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uz\OneDrive - Microsoft\Documents\hmsp-offers-latam\"/>
    </mc:Choice>
  </mc:AlternateContent>
  <bookViews>
    <workbookView xWindow="0" yWindow="0" windowWidth="19200" windowHeight="6585"/>
  </bookViews>
  <sheets>
    <sheet name="model" sheetId="6" r:id="rId1"/>
    <sheet name="price_list" sheetId="5" r:id="rId2"/>
    <sheet name="cost model" sheetId="7" r:id="rId3"/>
    <sheet name="Sheet5" sheetId="1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" i="6" l="1"/>
  <c r="D43" i="6"/>
  <c r="C43" i="6"/>
  <c r="I33" i="7"/>
  <c r="I34" i="7"/>
  <c r="I35" i="7"/>
  <c r="I36" i="7"/>
  <c r="I37" i="7"/>
  <c r="I38" i="7"/>
  <c r="I39" i="7"/>
  <c r="I32" i="7"/>
  <c r="H32" i="7"/>
  <c r="H33" i="7"/>
  <c r="H34" i="7"/>
  <c r="H35" i="7"/>
  <c r="H36" i="7"/>
  <c r="H37" i="7"/>
  <c r="H38" i="7"/>
  <c r="H39" i="7"/>
  <c r="C26" i="7"/>
  <c r="E26" i="7" s="1"/>
  <c r="C25" i="7"/>
  <c r="C24" i="7"/>
  <c r="K24" i="7"/>
  <c r="K28" i="7" s="1"/>
  <c r="C28" i="7"/>
  <c r="J28" i="7" s="1"/>
  <c r="G147" i="5"/>
  <c r="C22" i="7"/>
  <c r="Q9" i="11"/>
  <c r="Q10" i="11"/>
  <c r="Q8" i="11"/>
  <c r="Q4" i="11"/>
  <c r="Q5" i="11"/>
  <c r="Q6" i="11"/>
  <c r="Q7" i="11"/>
  <c r="Q3" i="11"/>
  <c r="E28" i="7" l="1"/>
  <c r="L28" i="7" s="1"/>
  <c r="I28" i="7"/>
  <c r="E25" i="7"/>
  <c r="L10" i="11"/>
  <c r="L9" i="11"/>
  <c r="L8" i="11"/>
  <c r="L7" i="11"/>
  <c r="L6" i="11"/>
  <c r="L5" i="11"/>
  <c r="L4" i="11"/>
  <c r="L3" i="11"/>
  <c r="C23" i="7" l="1"/>
  <c r="F23" i="7" l="1"/>
  <c r="C5" i="7"/>
  <c r="F22" i="7"/>
  <c r="G22" i="7"/>
  <c r="F21" i="7"/>
  <c r="G21" i="7"/>
  <c r="E24" i="7"/>
  <c r="D23" i="7"/>
  <c r="D22" i="7"/>
  <c r="E22" i="7"/>
  <c r="E21" i="7"/>
  <c r="D21" i="7"/>
  <c r="N20" i="5"/>
  <c r="N19" i="5"/>
  <c r="N18" i="5"/>
  <c r="N17" i="5"/>
  <c r="N16" i="5"/>
  <c r="N86" i="5"/>
  <c r="N87" i="5"/>
  <c r="N88" i="5"/>
  <c r="N89" i="5"/>
  <c r="N90" i="5"/>
  <c r="N91" i="5"/>
  <c r="N103" i="5"/>
  <c r="R103" i="5" s="1"/>
  <c r="N102" i="5"/>
  <c r="R102" i="5" s="1"/>
  <c r="N101" i="5"/>
  <c r="R101" i="5" s="1"/>
  <c r="N100" i="5"/>
  <c r="R100" i="5" s="1"/>
  <c r="N99" i="5"/>
  <c r="R99" i="5" s="1"/>
  <c r="N105" i="5"/>
  <c r="N106" i="5"/>
  <c r="N107" i="5"/>
  <c r="N108" i="5"/>
  <c r="N104" i="5"/>
  <c r="N80" i="5"/>
  <c r="R80" i="5" s="1"/>
  <c r="N79" i="5"/>
  <c r="R79" i="5" s="1"/>
  <c r="N78" i="5"/>
  <c r="R78" i="5" s="1"/>
  <c r="N77" i="5"/>
  <c r="R77" i="5" s="1"/>
  <c r="N76" i="5"/>
  <c r="R76" i="5" s="1"/>
  <c r="N81" i="5"/>
  <c r="N82" i="5"/>
  <c r="N83" i="5"/>
  <c r="N84" i="5"/>
  <c r="N85" i="5"/>
  <c r="N65" i="5"/>
  <c r="R65" i="5" s="1"/>
  <c r="N64" i="5"/>
  <c r="R64" i="5" s="1"/>
  <c r="N63" i="5"/>
  <c r="R63" i="5" s="1"/>
  <c r="N62" i="5"/>
  <c r="R62" i="5" s="1"/>
  <c r="N61" i="5"/>
  <c r="R61" i="5" s="1"/>
  <c r="N60" i="5"/>
  <c r="R60" i="5" s="1"/>
  <c r="N59" i="5"/>
  <c r="R59" i="5" s="1"/>
  <c r="N58" i="5"/>
  <c r="R58" i="5" s="1"/>
  <c r="N57" i="5"/>
  <c r="R57" i="5" s="1"/>
  <c r="N56" i="5"/>
  <c r="R56" i="5" s="1"/>
  <c r="N40" i="5"/>
  <c r="R40" i="5" s="1"/>
  <c r="N41" i="5"/>
  <c r="R41" i="5" s="1"/>
  <c r="N42" i="5"/>
  <c r="R42" i="5" s="1"/>
  <c r="N43" i="5"/>
  <c r="R43" i="5" s="1"/>
  <c r="N44" i="5"/>
  <c r="R44" i="5" s="1"/>
  <c r="N45" i="5"/>
  <c r="R45" i="5" s="1"/>
  <c r="N46" i="5"/>
  <c r="R46" i="5" s="1"/>
  <c r="N47" i="5"/>
  <c r="R47" i="5" s="1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8" i="5"/>
  <c r="N49" i="5"/>
  <c r="N50" i="5"/>
  <c r="N51" i="5"/>
  <c r="N52" i="5"/>
  <c r="N53" i="5"/>
  <c r="N54" i="5"/>
  <c r="N55" i="5"/>
  <c r="N66" i="5"/>
  <c r="N67" i="5"/>
  <c r="N68" i="5"/>
  <c r="N69" i="5"/>
  <c r="N70" i="5"/>
  <c r="N71" i="5"/>
  <c r="N72" i="5"/>
  <c r="N73" i="5"/>
  <c r="N74" i="5"/>
  <c r="N75" i="5"/>
  <c r="N21" i="5"/>
  <c r="L27" i="7" l="1"/>
  <c r="L26" i="7"/>
  <c r="L25" i="7"/>
  <c r="L21" i="7"/>
  <c r="H22" i="7"/>
  <c r="D13" i="7" s="1"/>
  <c r="F24" i="7"/>
  <c r="G24" i="7"/>
  <c r="L24" i="7"/>
  <c r="L22" i="7"/>
  <c r="D24" i="7"/>
  <c r="E23" i="7"/>
  <c r="L23" i="7" s="1"/>
  <c r="G23" i="7"/>
  <c r="H23" i="7"/>
  <c r="H21" i="7"/>
  <c r="E12" i="7" s="1"/>
  <c r="E9" i="7" s="1"/>
  <c r="C13" i="7" l="1"/>
  <c r="E13" i="7"/>
  <c r="E14" i="7" s="1"/>
  <c r="H24" i="7"/>
  <c r="C12" i="7"/>
  <c r="C9" i="7" s="1"/>
  <c r="C31" i="7" s="1"/>
  <c r="D12" i="7"/>
  <c r="F94" i="6"/>
  <c r="Y101" i="6" s="1"/>
  <c r="F95" i="6"/>
  <c r="Y102" i="6" s="1"/>
  <c r="F96" i="6"/>
  <c r="Y103" i="6" s="1"/>
  <c r="F93" i="6"/>
  <c r="Y100" i="6" s="1"/>
  <c r="U102" i="6"/>
  <c r="U103" i="6"/>
  <c r="U104" i="6"/>
  <c r="U105" i="6"/>
  <c r="U106" i="6"/>
  <c r="U107" i="6"/>
  <c r="U108" i="6"/>
  <c r="U109" i="6"/>
  <c r="U110" i="6"/>
  <c r="U111" i="6"/>
  <c r="U112" i="6"/>
  <c r="U101" i="6"/>
  <c r="C16" i="6"/>
  <c r="C15" i="6"/>
  <c r="E17" i="7" l="1"/>
  <c r="E16" i="7"/>
  <c r="E15" i="7"/>
  <c r="D14" i="7"/>
  <c r="D9" i="7"/>
  <c r="C14" i="7"/>
  <c r="D31" i="7" s="1"/>
  <c r="B112" i="6"/>
  <c r="B111" i="6"/>
  <c r="B110" i="6"/>
  <c r="B109" i="6"/>
  <c r="B108" i="6"/>
  <c r="B107" i="6"/>
  <c r="B106" i="6"/>
  <c r="B105" i="6"/>
  <c r="D104" i="6"/>
  <c r="B104" i="6"/>
  <c r="D103" i="6"/>
  <c r="B103" i="6"/>
  <c r="D102" i="6"/>
  <c r="B102" i="6"/>
  <c r="D101" i="6"/>
  <c r="B101" i="6"/>
  <c r="D100" i="6"/>
  <c r="B100" i="6"/>
  <c r="C80" i="6"/>
  <c r="C81" i="6" s="1"/>
  <c r="P100" i="6" s="1"/>
  <c r="R100" i="6" s="1"/>
  <c r="C11" i="6"/>
  <c r="C12" i="6" s="1"/>
  <c r="D17" i="7" l="1"/>
  <c r="D15" i="7"/>
  <c r="D16" i="7"/>
  <c r="C15" i="7"/>
  <c r="E31" i="7" s="1"/>
  <c r="C16" i="7"/>
  <c r="F31" i="7" s="1"/>
  <c r="C17" i="7"/>
  <c r="G31" i="7" s="1"/>
  <c r="H31" i="7" s="1"/>
  <c r="C45" i="6"/>
  <c r="D45" i="6"/>
  <c r="E45" i="6"/>
  <c r="D112" i="6"/>
  <c r="D110" i="6"/>
  <c r="D108" i="6"/>
  <c r="D106" i="6"/>
  <c r="D111" i="6"/>
  <c r="D109" i="6"/>
  <c r="D107" i="6"/>
  <c r="D105" i="6"/>
  <c r="J8" i="5"/>
  <c r="I8" i="5"/>
  <c r="J7" i="5"/>
  <c r="I7" i="5"/>
  <c r="J6" i="5"/>
  <c r="I6" i="5"/>
  <c r="J5" i="5"/>
  <c r="I5" i="5"/>
  <c r="I4" i="5"/>
  <c r="J4" i="5"/>
  <c r="I3" i="5"/>
  <c r="J3" i="5"/>
  <c r="C60" i="6" l="1" a="1"/>
  <c r="C60" i="6" s="1"/>
  <c r="C47" i="6"/>
  <c r="C48" i="6" s="1"/>
  <c r="C51" i="6"/>
  <c r="D47" i="6"/>
  <c r="D48" i="6" s="1"/>
  <c r="D51" i="6"/>
  <c r="E47" i="6"/>
  <c r="E51" i="6"/>
  <c r="C61" i="6" l="1"/>
  <c r="E69" i="6" s="1"/>
  <c r="C62" i="6"/>
  <c r="E70" i="6" s="1"/>
  <c r="C49" i="6"/>
  <c r="D49" i="6"/>
  <c r="E52" i="6"/>
  <c r="C52" i="6"/>
  <c r="E49" i="6"/>
  <c r="E48" i="6"/>
  <c r="D52" i="6"/>
  <c r="D60" i="6" a="1"/>
  <c r="C54" i="6"/>
  <c r="C55" i="6"/>
  <c r="C68" i="6"/>
  <c r="E68" i="6"/>
  <c r="D68" i="6"/>
  <c r="D69" i="6" l="1"/>
  <c r="C69" i="6"/>
  <c r="D70" i="6"/>
  <c r="C70" i="6"/>
  <c r="C56" i="6"/>
  <c r="C57" i="6" s="1"/>
  <c r="D62" i="6"/>
  <c r="D61" i="6"/>
  <c r="D60" i="6"/>
  <c r="E103" i="6"/>
  <c r="E101" i="6"/>
  <c r="E102" i="6"/>
  <c r="E104" i="6"/>
  <c r="E100" i="6"/>
  <c r="E107" i="6"/>
  <c r="E109" i="6"/>
  <c r="E106" i="6"/>
  <c r="E111" i="6"/>
  <c r="E110" i="6"/>
  <c r="E105" i="6"/>
  <c r="E112" i="6"/>
  <c r="E108" i="6"/>
  <c r="C71" i="6" l="1"/>
  <c r="C72" i="6" s="1"/>
  <c r="F101" i="6"/>
  <c r="Q101" i="6"/>
  <c r="S101" i="6" s="1"/>
  <c r="I101" i="6"/>
  <c r="O101" i="6"/>
  <c r="P101" i="6" s="1"/>
  <c r="R101" i="6" s="1"/>
  <c r="F111" i="6"/>
  <c r="Q111" i="6"/>
  <c r="S111" i="6" s="1"/>
  <c r="I111" i="6"/>
  <c r="O111" i="6"/>
  <c r="P111" i="6" s="1"/>
  <c r="R111" i="6" s="1"/>
  <c r="O110" i="6"/>
  <c r="P110" i="6" s="1"/>
  <c r="R110" i="6" s="1"/>
  <c r="F110" i="6"/>
  <c r="Q110" i="6"/>
  <c r="S110" i="6" s="1"/>
  <c r="I110" i="6"/>
  <c r="O108" i="6"/>
  <c r="P108" i="6" s="1"/>
  <c r="R108" i="6" s="1"/>
  <c r="F108" i="6"/>
  <c r="Q108" i="6"/>
  <c r="S108" i="6" s="1"/>
  <c r="I108" i="6"/>
  <c r="F100" i="6"/>
  <c r="I100" i="6"/>
  <c r="Q100" i="6"/>
  <c r="S100" i="6" s="1"/>
  <c r="T100" i="6" s="1"/>
  <c r="V100" i="6" s="1"/>
  <c r="F103" i="6"/>
  <c r="Q103" i="6"/>
  <c r="S103" i="6" s="1"/>
  <c r="I103" i="6"/>
  <c r="O103" i="6"/>
  <c r="P103" i="6" s="1"/>
  <c r="R103" i="6" s="1"/>
  <c r="O112" i="6"/>
  <c r="P112" i="6" s="1"/>
  <c r="R112" i="6" s="1"/>
  <c r="Q112" i="6"/>
  <c r="S112" i="6" s="1"/>
  <c r="I112" i="6"/>
  <c r="F112" i="6"/>
  <c r="O106" i="6"/>
  <c r="P106" i="6" s="1"/>
  <c r="R106" i="6" s="1"/>
  <c r="F106" i="6"/>
  <c r="Q106" i="6"/>
  <c r="S106" i="6" s="1"/>
  <c r="I106" i="6"/>
  <c r="O104" i="6"/>
  <c r="P104" i="6" s="1"/>
  <c r="R104" i="6" s="1"/>
  <c r="F104" i="6"/>
  <c r="Q104" i="6"/>
  <c r="S104" i="6" s="1"/>
  <c r="I104" i="6"/>
  <c r="E71" i="6"/>
  <c r="E72" i="6" s="1"/>
  <c r="F107" i="6"/>
  <c r="Q107" i="6"/>
  <c r="S107" i="6" s="1"/>
  <c r="I107" i="6"/>
  <c r="O107" i="6"/>
  <c r="P107" i="6" s="1"/>
  <c r="R107" i="6" s="1"/>
  <c r="F105" i="6"/>
  <c r="Q105" i="6"/>
  <c r="S105" i="6" s="1"/>
  <c r="I105" i="6"/>
  <c r="O105" i="6"/>
  <c r="P105" i="6" s="1"/>
  <c r="R105" i="6" s="1"/>
  <c r="F109" i="6"/>
  <c r="Q109" i="6"/>
  <c r="S109" i="6" s="1"/>
  <c r="I109" i="6"/>
  <c r="O109" i="6"/>
  <c r="P109" i="6" s="1"/>
  <c r="R109" i="6" s="1"/>
  <c r="O102" i="6"/>
  <c r="P102" i="6" s="1"/>
  <c r="R102" i="6" s="1"/>
  <c r="F102" i="6"/>
  <c r="I102" i="6"/>
  <c r="Q102" i="6"/>
  <c r="S102" i="6" s="1"/>
  <c r="D71" i="6"/>
  <c r="D72" i="6" s="1"/>
  <c r="T103" i="6" l="1"/>
  <c r="V103" i="6" s="1"/>
  <c r="T109" i="6"/>
  <c r="V109" i="6" s="1"/>
  <c r="T105" i="6"/>
  <c r="V105" i="6" s="1"/>
  <c r="T107" i="6"/>
  <c r="V107" i="6" s="1"/>
  <c r="T104" i="6"/>
  <c r="V104" i="6" s="1"/>
  <c r="T106" i="6"/>
  <c r="V106" i="6" s="1"/>
  <c r="T111" i="6"/>
  <c r="V111" i="6" s="1"/>
  <c r="T101" i="6"/>
  <c r="V101" i="6" s="1"/>
  <c r="T112" i="6"/>
  <c r="V112" i="6" s="1"/>
  <c r="T102" i="6"/>
  <c r="V102" i="6" s="1"/>
  <c r="T108" i="6"/>
  <c r="V108" i="6" s="1"/>
  <c r="T110" i="6"/>
  <c r="V110" i="6" s="1"/>
  <c r="C74" i="6"/>
  <c r="C75" i="6"/>
  <c r="C76" i="6" l="1"/>
  <c r="J111" i="6"/>
  <c r="K111" i="6" s="1"/>
  <c r="J110" i="6"/>
  <c r="K110" i="6" s="1"/>
  <c r="J107" i="6"/>
  <c r="K107" i="6" s="1"/>
  <c r="J109" i="6"/>
  <c r="K109" i="6" s="1"/>
  <c r="J102" i="6"/>
  <c r="K102" i="6" s="1"/>
  <c r="J112" i="6"/>
  <c r="K112" i="6" s="1"/>
  <c r="J106" i="6"/>
  <c r="K106" i="6" s="1"/>
  <c r="J101" i="6"/>
  <c r="K101" i="6" s="1"/>
  <c r="J108" i="6"/>
  <c r="K108" i="6" s="1"/>
  <c r="J105" i="6"/>
  <c r="K105" i="6" s="1"/>
  <c r="J100" i="6"/>
  <c r="K100" i="6" s="1"/>
  <c r="J103" i="6"/>
  <c r="K103" i="6" s="1"/>
  <c r="J104" i="6"/>
  <c r="K104" i="6" s="1"/>
  <c r="G111" i="6"/>
  <c r="G103" i="6"/>
  <c r="G106" i="6"/>
  <c r="G107" i="6"/>
  <c r="G109" i="6"/>
  <c r="G108" i="6"/>
  <c r="G101" i="6"/>
  <c r="G100" i="6"/>
  <c r="G112" i="6"/>
  <c r="G104" i="6"/>
  <c r="G105" i="6"/>
  <c r="G102" i="6"/>
  <c r="M102" i="6" s="1"/>
  <c r="N102" i="6" s="1"/>
  <c r="G110" i="6"/>
  <c r="M110" i="6" l="1"/>
  <c r="N110" i="6" s="1"/>
  <c r="M112" i="6"/>
  <c r="N112" i="6" s="1"/>
  <c r="M101" i="6"/>
  <c r="N101" i="6" s="1"/>
  <c r="M105" i="6"/>
  <c r="N105" i="6" s="1"/>
  <c r="M104" i="6"/>
  <c r="N104" i="6" s="1"/>
  <c r="M108" i="6"/>
  <c r="N108" i="6" s="1"/>
  <c r="M103" i="6"/>
  <c r="N103" i="6" s="1"/>
  <c r="M109" i="6"/>
  <c r="N109" i="6" s="1"/>
  <c r="M111" i="6"/>
  <c r="N111" i="6" s="1"/>
  <c r="M107" i="6"/>
  <c r="N107" i="6" s="1"/>
  <c r="M100" i="6"/>
  <c r="N100" i="6" s="1"/>
  <c r="M106" i="6"/>
  <c r="N106" i="6" s="1"/>
  <c r="H105" i="6"/>
  <c r="H108" i="6"/>
  <c r="H103" i="6"/>
  <c r="H106" i="6"/>
  <c r="H104" i="6"/>
  <c r="H110" i="6"/>
  <c r="H112" i="6"/>
  <c r="H109" i="6"/>
  <c r="H111" i="6"/>
  <c r="H101" i="6"/>
  <c r="H102" i="6"/>
  <c r="H100" i="6"/>
  <c r="H107" i="6"/>
  <c r="C25" i="6" l="1"/>
  <c r="D25" i="6"/>
  <c r="F25" i="6" s="1"/>
  <c r="W110" i="6"/>
  <c r="X110" i="6" s="1"/>
  <c r="AI110" i="6"/>
  <c r="Z110" i="6"/>
  <c r="W107" i="6"/>
  <c r="X107" i="6" s="1"/>
  <c r="AI107" i="6"/>
  <c r="Z107" i="6"/>
  <c r="W111" i="6"/>
  <c r="X111" i="6" s="1"/>
  <c r="AI111" i="6"/>
  <c r="Z111" i="6"/>
  <c r="W104" i="6"/>
  <c r="X104" i="6" s="1"/>
  <c r="Z104" i="6"/>
  <c r="AI104" i="6"/>
  <c r="W105" i="6"/>
  <c r="X105" i="6" s="1"/>
  <c r="AI105" i="6"/>
  <c r="Z105" i="6"/>
  <c r="W101" i="6"/>
  <c r="X101" i="6" s="1"/>
  <c r="AI101" i="6"/>
  <c r="Z101" i="6"/>
  <c r="W108" i="6"/>
  <c r="X108" i="6" s="1"/>
  <c r="Z108" i="6"/>
  <c r="AI108" i="6"/>
  <c r="W100" i="6"/>
  <c r="X100" i="6" s="1"/>
  <c r="AI100" i="6"/>
  <c r="Z100" i="6"/>
  <c r="W109" i="6"/>
  <c r="AI109" i="6"/>
  <c r="AK110" i="6" s="1"/>
  <c r="Z109" i="6"/>
  <c r="AB110" i="6" s="1"/>
  <c r="W106" i="6"/>
  <c r="X106" i="6" s="1"/>
  <c r="AI106" i="6"/>
  <c r="AK107" i="6" s="1"/>
  <c r="Z106" i="6"/>
  <c r="AB107" i="6" s="1"/>
  <c r="W102" i="6"/>
  <c r="X102" i="6" s="1"/>
  <c r="AI102" i="6"/>
  <c r="Z102" i="6"/>
  <c r="Z112" i="6"/>
  <c r="AI112" i="6"/>
  <c r="W103" i="6"/>
  <c r="X103" i="6" s="1"/>
  <c r="AI103" i="6"/>
  <c r="Z103" i="6"/>
  <c r="E25" i="6"/>
  <c r="W112" i="6"/>
  <c r="X112" i="6" s="1"/>
  <c r="D26" i="6" s="1"/>
  <c r="F26" i="6" s="1"/>
  <c r="X109" i="6"/>
  <c r="L112" i="6"/>
  <c r="L103" i="6"/>
  <c r="L111" i="6"/>
  <c r="L105" i="6"/>
  <c r="L104" i="6"/>
  <c r="L102" i="6"/>
  <c r="L110" i="6"/>
  <c r="L108" i="6"/>
  <c r="L106" i="6"/>
  <c r="L101" i="6"/>
  <c r="L109" i="6"/>
  <c r="L107" i="6"/>
  <c r="L100" i="6"/>
  <c r="AK105" i="6" l="1"/>
  <c r="AK103" i="6"/>
  <c r="AK112" i="6"/>
  <c r="AK106" i="6"/>
  <c r="AK111" i="6"/>
  <c r="AJ100" i="6"/>
  <c r="AP100" i="6"/>
  <c r="AN103" i="6"/>
  <c r="AN105" i="6"/>
  <c r="AN107" i="6"/>
  <c r="AN109" i="6"/>
  <c r="AN111" i="6"/>
  <c r="AM100" i="6"/>
  <c r="AK101" i="6"/>
  <c r="AN102" i="6"/>
  <c r="AN108" i="6"/>
  <c r="AO100" i="6"/>
  <c r="AP104" i="6"/>
  <c r="AP108" i="6"/>
  <c r="AP110" i="6"/>
  <c r="AO104" i="6"/>
  <c r="AO110" i="6"/>
  <c r="AP101" i="6"/>
  <c r="AP103" i="6"/>
  <c r="AP105" i="6"/>
  <c r="AP107" i="6"/>
  <c r="AP109" i="6"/>
  <c r="AP111" i="6"/>
  <c r="AN101" i="6"/>
  <c r="AN104" i="6"/>
  <c r="AN110" i="6"/>
  <c r="AN112" i="6"/>
  <c r="D23" i="6" s="1"/>
  <c r="F23" i="6" s="1"/>
  <c r="AP102" i="6"/>
  <c r="AP106" i="6"/>
  <c r="AP112" i="6"/>
  <c r="D28" i="6" s="1"/>
  <c r="AO102" i="6"/>
  <c r="AO106" i="6"/>
  <c r="AO112" i="6"/>
  <c r="D24" i="6" s="1"/>
  <c r="F24" i="6" s="1"/>
  <c r="AN100" i="6"/>
  <c r="AN106" i="6"/>
  <c r="AO108" i="6"/>
  <c r="AO105" i="6"/>
  <c r="AO111" i="6"/>
  <c r="AO103" i="6"/>
  <c r="AO101" i="6"/>
  <c r="AO109" i="6"/>
  <c r="AO107" i="6"/>
  <c r="C26" i="6"/>
  <c r="E26" i="6" s="1"/>
  <c r="AK104" i="6"/>
  <c r="AK109" i="6"/>
  <c r="AM106" i="6"/>
  <c r="AM103" i="6"/>
  <c r="AM111" i="6"/>
  <c r="AK102" i="6"/>
  <c r="AM110" i="6"/>
  <c r="AM107" i="6"/>
  <c r="AM102" i="6"/>
  <c r="AM104" i="6"/>
  <c r="AM105" i="6"/>
  <c r="AM101" i="6"/>
  <c r="AM112" i="6"/>
  <c r="D22" i="6" s="1"/>
  <c r="F22" i="6" s="1"/>
  <c r="AM109" i="6"/>
  <c r="AM108" i="6"/>
  <c r="AK108" i="6"/>
  <c r="AB109" i="6"/>
  <c r="AB104" i="6"/>
  <c r="AA100" i="6"/>
  <c r="AG102" i="6"/>
  <c r="AG106" i="6"/>
  <c r="AG110" i="6"/>
  <c r="AG100" i="6"/>
  <c r="AE104" i="6"/>
  <c r="AE108" i="6"/>
  <c r="AE112" i="6"/>
  <c r="C23" i="6" s="1"/>
  <c r="AG104" i="6"/>
  <c r="AG112" i="6"/>
  <c r="C28" i="6" s="1"/>
  <c r="AE102" i="6"/>
  <c r="AE110" i="6"/>
  <c r="AE103" i="6"/>
  <c r="AE107" i="6"/>
  <c r="AE111" i="6"/>
  <c r="AD100" i="6"/>
  <c r="AG103" i="6"/>
  <c r="AG107" i="6"/>
  <c r="AG111" i="6"/>
  <c r="AE105" i="6"/>
  <c r="AE109" i="6"/>
  <c r="AE101" i="6"/>
  <c r="AG108" i="6"/>
  <c r="AE106" i="6"/>
  <c r="AE100" i="6"/>
  <c r="AG105" i="6"/>
  <c r="AG109" i="6"/>
  <c r="AG101" i="6"/>
  <c r="AB101" i="6"/>
  <c r="AF105" i="6"/>
  <c r="AF103" i="6"/>
  <c r="AF100" i="6"/>
  <c r="AF104" i="6"/>
  <c r="AF109" i="6"/>
  <c r="AF110" i="6"/>
  <c r="AF106" i="6"/>
  <c r="AF112" i="6"/>
  <c r="C24" i="6" s="1"/>
  <c r="E24" i="6" s="1"/>
  <c r="AF111" i="6"/>
  <c r="AF102" i="6"/>
  <c r="AF108" i="6"/>
  <c r="AF107" i="6"/>
  <c r="AF101" i="6"/>
  <c r="AB106" i="6"/>
  <c r="AB105" i="6"/>
  <c r="AB111" i="6"/>
  <c r="AB102" i="6"/>
  <c r="AD110" i="6"/>
  <c r="AD111" i="6"/>
  <c r="AD102" i="6"/>
  <c r="AD112" i="6"/>
  <c r="C22" i="6" s="1"/>
  <c r="AD106" i="6"/>
  <c r="AD109" i="6"/>
  <c r="AD107" i="6"/>
  <c r="AD101" i="6"/>
  <c r="AD108" i="6"/>
  <c r="AD105" i="6"/>
  <c r="AD103" i="6"/>
  <c r="AD104" i="6"/>
  <c r="AB108" i="6"/>
  <c r="AB103" i="6"/>
  <c r="AB112" i="6"/>
  <c r="D30" i="6" l="1"/>
  <c r="F30" i="6" s="1"/>
  <c r="AJ101" i="6"/>
  <c r="AL101" i="6" s="1"/>
  <c r="AQ100" i="6"/>
  <c r="C30" i="6"/>
  <c r="E30" i="6" s="1"/>
  <c r="AA101" i="6"/>
  <c r="AC101" i="6" s="1"/>
  <c r="E22" i="6"/>
  <c r="AH100" i="6"/>
  <c r="AQ101" i="6" l="1"/>
  <c r="AJ102" i="6"/>
  <c r="AL102" i="6" s="1"/>
  <c r="AH101" i="6"/>
  <c r="AA102" i="6"/>
  <c r="AH102" i="6" s="1"/>
  <c r="AJ103" i="6" l="1"/>
  <c r="AQ103" i="6" s="1"/>
  <c r="AQ102" i="6"/>
  <c r="AA103" i="6"/>
  <c r="AC103" i="6" s="1"/>
  <c r="AC102" i="6"/>
  <c r="AJ104" i="6" l="1"/>
  <c r="AL104" i="6" s="1"/>
  <c r="AL103" i="6"/>
  <c r="AH103" i="6"/>
  <c r="AA104" i="6"/>
  <c r="AC104" i="6" s="1"/>
  <c r="AJ105" i="6" l="1"/>
  <c r="AL105" i="6" s="1"/>
  <c r="AQ104" i="6"/>
  <c r="AA105" i="6"/>
  <c r="AC105" i="6" s="1"/>
  <c r="AH104" i="6"/>
  <c r="AJ106" i="6" l="1"/>
  <c r="AL106" i="6" s="1"/>
  <c r="AQ105" i="6"/>
  <c r="AA106" i="6"/>
  <c r="AC106" i="6" s="1"/>
  <c r="AH105" i="6"/>
  <c r="AJ107" i="6" l="1"/>
  <c r="AL107" i="6" s="1"/>
  <c r="AQ106" i="6"/>
  <c r="AA107" i="6"/>
  <c r="AC107" i="6" s="1"/>
  <c r="AH106" i="6"/>
  <c r="AQ107" i="6" l="1"/>
  <c r="AJ108" i="6"/>
  <c r="AL108" i="6" s="1"/>
  <c r="AA108" i="6"/>
  <c r="AC108" i="6" s="1"/>
  <c r="AH107" i="6"/>
  <c r="AJ109" i="6" l="1"/>
  <c r="AL109" i="6" s="1"/>
  <c r="AQ108" i="6"/>
  <c r="AA109" i="6"/>
  <c r="AC109" i="6" s="1"/>
  <c r="AH108" i="6"/>
  <c r="AQ109" i="6" l="1"/>
  <c r="AJ110" i="6"/>
  <c r="AL110" i="6" s="1"/>
  <c r="AA110" i="6"/>
  <c r="AC110" i="6" s="1"/>
  <c r="AH109" i="6"/>
  <c r="E23" i="6"/>
  <c r="AJ111" i="6" l="1"/>
  <c r="AL111" i="6" s="1"/>
  <c r="AQ110" i="6"/>
  <c r="AA111" i="6"/>
  <c r="AC111" i="6" s="1"/>
  <c r="AH110" i="6"/>
  <c r="AJ112" i="6" l="1"/>
  <c r="AQ112" i="6" s="1"/>
  <c r="D27" i="6" s="1"/>
  <c r="AQ111" i="6"/>
  <c r="AH111" i="6"/>
  <c r="AA112" i="6"/>
  <c r="AC112" i="6" s="1"/>
  <c r="C29" i="6" s="1"/>
  <c r="E29" i="6" s="1"/>
  <c r="AH112" i="6" l="1"/>
  <c r="C27" i="6" s="1"/>
  <c r="AL112" i="6"/>
  <c r="D29" i="6" s="1"/>
  <c r="F29" i="6" s="1"/>
</calcChain>
</file>

<file path=xl/sharedStrings.xml><?xml version="1.0" encoding="utf-8"?>
<sst xmlns="http://schemas.openxmlformats.org/spreadsheetml/2006/main" count="867" uniqueCount="349">
  <si>
    <t>month</t>
  </si>
  <si>
    <t>CSP discount %</t>
  </si>
  <si>
    <t>discounted price</t>
  </si>
  <si>
    <t>growth_rate</t>
  </si>
  <si>
    <t>MSFT revenue</t>
  </si>
  <si>
    <t>growth_period</t>
  </si>
  <si>
    <t>std</t>
  </si>
  <si>
    <t>prm</t>
  </si>
  <si>
    <t>adv</t>
  </si>
  <si>
    <t>LRS-HOT</t>
  </si>
  <si>
    <t>GRS-HOT</t>
  </si>
  <si>
    <t>RA-GRS-HOT</t>
  </si>
  <si>
    <t>min (GB)</t>
  </si>
  <si>
    <t>max (GB)</t>
  </si>
  <si>
    <t>min (TB)</t>
  </si>
  <si>
    <t>max (TB)</t>
  </si>
  <si>
    <t>unit price</t>
  </si>
  <si>
    <t>LRS-COOL</t>
  </si>
  <si>
    <t>GRS-COOL</t>
  </si>
  <si>
    <t>RA-GRS-COOL</t>
  </si>
  <si>
    <t>Category</t>
  </si>
  <si>
    <t>Type</t>
  </si>
  <si>
    <t>storage</t>
  </si>
  <si>
    <t>estimated retail price (ERP) of plan</t>
  </si>
  <si>
    <t>FY17 rebate</t>
  </si>
  <si>
    <t>net cost for partner</t>
  </si>
  <si>
    <t>% of total sales in $</t>
  </si>
  <si>
    <t>% of total sales in units</t>
  </si>
  <si>
    <t>gross margin in $</t>
  </si>
  <si>
    <t>gross margin in %</t>
  </si>
  <si>
    <t>base plans</t>
  </si>
  <si>
    <t>project svcs</t>
  </si>
  <si>
    <t>managed svcs</t>
  </si>
  <si>
    <t>ip svcs</t>
  </si>
  <si>
    <t>complementary services (upsell add-ons)</t>
  </si>
  <si>
    <t>average expected gross margin in %</t>
  </si>
  <si>
    <t>average ticket price for upsell add-ons</t>
  </si>
  <si>
    <t>average ticket cost for base plans</t>
  </si>
  <si>
    <t>expected attach rate % across all plans</t>
  </si>
  <si>
    <t>add-on price for STD plan</t>
  </si>
  <si>
    <t>add-on price for ADV plan</t>
  </si>
  <si>
    <t>add-on price for PRM plan</t>
  </si>
  <si>
    <t>STD</t>
  </si>
  <si>
    <t>ADV</t>
  </si>
  <si>
    <t>PRM</t>
  </si>
  <si>
    <t>average add-on unit price</t>
  </si>
  <si>
    <t>average add-on gross margin</t>
  </si>
  <si>
    <t>average ticket GM for upsell add-ons</t>
  </si>
  <si>
    <t>average GM for base plans</t>
  </si>
  <si>
    <t>average ticket GM for upsell add-ons %</t>
  </si>
  <si>
    <t>average GM for base plans %</t>
  </si>
  <si>
    <t>avrg work hours/mo</t>
  </si>
  <si>
    <t>avrg work minutes/mo</t>
  </si>
  <si>
    <t>avrg service time per unit for project svcs (minutes)</t>
  </si>
  <si>
    <t># req FTEs for prj svcs</t>
  </si>
  <si>
    <t># req FTEs for mngd svcs</t>
  </si>
  <si>
    <t xml:space="preserve">avg support monthly calls per unit </t>
  </si>
  <si>
    <t>NPV</t>
  </si>
  <si>
    <t>last month MRR for partner</t>
  </si>
  <si>
    <t>sales proportion</t>
  </si>
  <si>
    <t>lower peak of acum</t>
  </si>
  <si>
    <t>lower peak of cashflow</t>
  </si>
  <si>
    <t>payback</t>
  </si>
  <si>
    <t>payback month</t>
  </si>
  <si>
    <t>breakeven month</t>
  </si>
  <si>
    <t>breakeven</t>
  </si>
  <si>
    <t>IRR</t>
  </si>
  <si>
    <t>MIRR</t>
  </si>
  <si>
    <t>lowest acum peak</t>
  </si>
  <si>
    <t>lowest cashflow peak</t>
  </si>
  <si>
    <t>reinvest rate (monthly)</t>
  </si>
  <si>
    <t>base plans sold (in units)</t>
  </si>
  <si>
    <t>base plans revenue (in $)</t>
  </si>
  <si>
    <t>upsell revenue (in $)</t>
  </si>
  <si>
    <t>total sales (in $)</t>
  </si>
  <si>
    <t>sales forecast</t>
  </si>
  <si>
    <t>Disaster Recovery as a Service</t>
  </si>
  <si>
    <t>last month of growth</t>
  </si>
  <si>
    <t>initial month of growth</t>
  </si>
  <si>
    <t>expected MSFT MRR by last month of growth</t>
  </si>
  <si>
    <t>expected MSFT MRR by initial month of growth</t>
  </si>
  <si>
    <t>cost of capital rate (monthly)</t>
  </si>
  <si>
    <t>next 12month rebate (FY17 secured; FY18 expected)</t>
  </si>
  <si>
    <t>last month expected GM % for partner (top-down)</t>
  </si>
  <si>
    <t>financial results</t>
  </si>
  <si>
    <t xml:space="preserve">sales forecast </t>
  </si>
  <si>
    <t>top-down costs analysis</t>
  </si>
  <si>
    <t>average retail price (ARP) for base plans</t>
  </si>
  <si>
    <t>unit price as % of ARP | ERP</t>
  </si>
  <si>
    <t>bottom-up costs analysis</t>
  </si>
  <si>
    <t>base plans gm (in $)</t>
  </si>
  <si>
    <t>upsell gm (in $)</t>
  </si>
  <si>
    <t>top-down cost analysis</t>
  </si>
  <si>
    <t>net seats added (in units)</t>
  </si>
  <si>
    <t>prj + mngd svcs costs (in $)</t>
  </si>
  <si>
    <t>ip svcs costs (in $)</t>
  </si>
  <si>
    <t>avg monthly cost per FTE for prj svcs</t>
  </si>
  <si>
    <t>avg monthly cost per FTE for mngd svcs</t>
  </si>
  <si>
    <t>avrg service time per unit for mngd svcs (minutes)</t>
  </si>
  <si>
    <t># req FTEs for prj svcs (min)</t>
  </si>
  <si>
    <t># req FTEs for mngd svcs (min)</t>
  </si>
  <si>
    <t>avg monthly amortization costs for ip svcs</t>
  </si>
  <si>
    <t>bottom-up analysis</t>
  </si>
  <si>
    <t>set-up investments</t>
  </si>
  <si>
    <t>month 0</t>
  </si>
  <si>
    <t>month 1</t>
  </si>
  <si>
    <t>month 2</t>
  </si>
  <si>
    <t>month 3</t>
  </si>
  <si>
    <t>model assumptions (inputs=orange; parameters=yellow)</t>
  </si>
  <si>
    <t>model outputs</t>
  </si>
  <si>
    <t>hardware or software</t>
  </si>
  <si>
    <t>implementation</t>
  </si>
  <si>
    <t>operations</t>
  </si>
  <si>
    <t>total</t>
  </si>
  <si>
    <t>cashflow (top-down)</t>
  </si>
  <si>
    <t>cashflow (bottom-up)</t>
  </si>
  <si>
    <t>acum (top-down)</t>
  </si>
  <si>
    <t>acum (bottom-up)</t>
  </si>
  <si>
    <t>financial results (top-down)</t>
  </si>
  <si>
    <t>top-down</t>
  </si>
  <si>
    <t>bottom-up</t>
  </si>
  <si>
    <t>financial results (bottom-up)</t>
  </si>
  <si>
    <t>check</t>
  </si>
  <si>
    <t>total cogs top-down (in $)</t>
  </si>
  <si>
    <t>total gm top-down (in $)</t>
  </si>
  <si>
    <t>total gm top-down (in %)</t>
  </si>
  <si>
    <t>upsell cogs top-down (in $)</t>
  </si>
  <si>
    <t>total cogs bottom-up (in $)</t>
  </si>
  <si>
    <t>total gm bottom-up (in $)</t>
  </si>
  <si>
    <t>total gm bottom-up (in %)</t>
  </si>
  <si>
    <t>recovery services</t>
  </si>
  <si>
    <t>asr (to azure)</t>
  </si>
  <si>
    <t>asr (to on-prem)</t>
  </si>
  <si>
    <t>max months of projection</t>
  </si>
  <si>
    <t>rdsh</t>
  </si>
  <si>
    <t>Meter Category</t>
  </si>
  <si>
    <t>Meter Subcategory</t>
  </si>
  <si>
    <t>USD</t>
  </si>
  <si>
    <t>Virtual Machines</t>
  </si>
  <si>
    <t>A0 VM (Windows)</t>
  </si>
  <si>
    <t>A1 VM (Windows)</t>
  </si>
  <si>
    <t>A10 VM (Windows)</t>
  </si>
  <si>
    <t>A11 VM (Windows)</t>
  </si>
  <si>
    <t>A2 VM (Windows)</t>
  </si>
  <si>
    <t>A3 VM (Windows)</t>
  </si>
  <si>
    <t>A4 VM (Windows)</t>
  </si>
  <si>
    <t>A5 VM (Windows)</t>
  </si>
  <si>
    <t>A6 VM (Windows)</t>
  </si>
  <si>
    <t>A7 VM (Windows)</t>
  </si>
  <si>
    <t>A8 VM (Windows)</t>
  </si>
  <si>
    <t>A9 VM (Windows)</t>
  </si>
  <si>
    <t>BASIC.A0 VM (Windows)</t>
  </si>
  <si>
    <t>BASIC.A1 VM (Windows)</t>
  </si>
  <si>
    <t>BASIC.A2 VM (Windows)</t>
  </si>
  <si>
    <t>BASIC.A3 VM (Windows)</t>
  </si>
  <si>
    <t>BASIC.A4 VM (Windows)</t>
  </si>
  <si>
    <t>Standard_A1_v2 VM (Windows)</t>
  </si>
  <si>
    <t>Standard_A2_v2 VM (Windows)</t>
  </si>
  <si>
    <t>Standard_A2m_v2 VM (Windows)</t>
  </si>
  <si>
    <t>Standard_A4_v2 VM (Windows)</t>
  </si>
  <si>
    <t>Standard_A4m_v2 VM (Windows)</t>
  </si>
  <si>
    <t>Standard_A8_v2 VM (Windows)</t>
  </si>
  <si>
    <t>Standard_A8m_v2 VM (Windows)</t>
  </si>
  <si>
    <t>Standard_D1 VM (Windows)</t>
  </si>
  <si>
    <t>Standard_D1_v2 VM (Windows)</t>
  </si>
  <si>
    <t>Standard_D11 VM (Windows)</t>
  </si>
  <si>
    <t>Standard_D11_v2 VM (Windows)</t>
  </si>
  <si>
    <t>Standard_D12 VM (Windows)</t>
  </si>
  <si>
    <t>Standard_D12_v2 VM (Windows)</t>
  </si>
  <si>
    <t>Standard_D13 VM (Windows)</t>
  </si>
  <si>
    <t>Standard_D13_v2 VM (Windows)</t>
  </si>
  <si>
    <t>Standard_D14 VM (Windows)</t>
  </si>
  <si>
    <t>Standard_D14_v2 VM (Windows)</t>
  </si>
  <si>
    <t>Standard_D15_v2 VM (Windows)</t>
  </si>
  <si>
    <t>Standard_D2 VM (Windows)</t>
  </si>
  <si>
    <t>Standard_D2_v2 VM (Windows)</t>
  </si>
  <si>
    <t>Standard_D3 VM (Windows)</t>
  </si>
  <si>
    <t>Standard_D3_v2 VM (Windows)</t>
  </si>
  <si>
    <t>Standard_D4 VM (Windows)</t>
  </si>
  <si>
    <t>Standard_D4_v2 VM (Windows)</t>
  </si>
  <si>
    <t>Standard_D5_v2 VM (Windows)</t>
  </si>
  <si>
    <t>Standard_F1 VM (Windows)</t>
  </si>
  <si>
    <t>Standard_F16 VM (Windows)</t>
  </si>
  <si>
    <t>Standard_F2 VM (Windows)</t>
  </si>
  <si>
    <t>Standard_F4 VM (Windows)</t>
  </si>
  <si>
    <t>Standard_F8 VM (Windows)</t>
  </si>
  <si>
    <t>Standard_H16 VM (Windows)</t>
  </si>
  <si>
    <t>Standard_H16m VM (Windows)</t>
  </si>
  <si>
    <t>Standard_H16mr VM (Windows)</t>
  </si>
  <si>
    <t>Standard_H16r VM (Windows)</t>
  </si>
  <si>
    <t>Standard_H8 VM (Windows)</t>
  </si>
  <si>
    <t>Standard_H8m VM (Windows)</t>
  </si>
  <si>
    <t>Standard_NC12 VM (Windows)</t>
  </si>
  <si>
    <t>Standard_NC24 VM (Windows)</t>
  </si>
  <si>
    <t>Standard_NC24r VM (Windows)</t>
  </si>
  <si>
    <t>Standard_NC6 VM (Windows)</t>
  </si>
  <si>
    <t>Standard_NV12 VM (Windows)</t>
  </si>
  <si>
    <t>Standard_NV24 VM (Windows)</t>
  </si>
  <si>
    <t>Standard_NV6 VM (Windows)</t>
  </si>
  <si>
    <t>role</t>
  </si>
  <si>
    <t>vm</t>
  </si>
  <si>
    <t>hours/day</t>
  </si>
  <si>
    <t>rdgw/rdweb</t>
  </si>
  <si>
    <t>ram</t>
  </si>
  <si>
    <t>vcpus</t>
  </si>
  <si>
    <t>entry</t>
  </si>
  <si>
    <t>local disk</t>
  </si>
  <si>
    <t>general</t>
  </si>
  <si>
    <t>memory</t>
  </si>
  <si>
    <t>gpu</t>
  </si>
  <si>
    <t>gpu (rdma)</t>
  </si>
  <si>
    <t>perf</t>
  </si>
  <si>
    <t>perf (rdma)</t>
  </si>
  <si>
    <t>compute</t>
  </si>
  <si>
    <t>ACU</t>
  </si>
  <si>
    <t>US South Central</t>
  </si>
  <si>
    <t>Standard_G1 VM (Windows)</t>
  </si>
  <si>
    <t>US West</t>
  </si>
  <si>
    <t>Standard_G2 VM (Windows)</t>
  </si>
  <si>
    <t>Standard_G3 VM (Windows)</t>
  </si>
  <si>
    <t>Standard_G4 VM (Windows)</t>
  </si>
  <si>
    <t>Standard_G5 VM (Windows)</t>
  </si>
  <si>
    <t>max data disks</t>
  </si>
  <si>
    <t>IOPS/disk</t>
  </si>
  <si>
    <t>max NICs</t>
  </si>
  <si>
    <t>bandwidth</t>
  </si>
  <si>
    <t>low</t>
  </si>
  <si>
    <t>moderate</t>
  </si>
  <si>
    <t>high</t>
  </si>
  <si>
    <t>very high</t>
  </si>
  <si>
    <t>extrem high</t>
  </si>
  <si>
    <t>Standard_DS1 VM (Windows)</t>
  </si>
  <si>
    <t>Standard_DS2 VM (Windows)</t>
  </si>
  <si>
    <t>Standard_DS3 VM (Windows)</t>
  </si>
  <si>
    <t>Standard_DS4 VM (Windows)</t>
  </si>
  <si>
    <t>Standard_DS11 VM (Windows)</t>
  </si>
  <si>
    <t>Standard_DS12 VM (Windows)</t>
  </si>
  <si>
    <t>Standard_DS13 VM (Windows)</t>
  </si>
  <si>
    <t>Standard_DS14 VM (Windows)</t>
  </si>
  <si>
    <t>max iops</t>
  </si>
  <si>
    <t>max Mbps</t>
  </si>
  <si>
    <t>Standard_DS1_v2 VM (Windows)</t>
  </si>
  <si>
    <t>Standard_DS2_v2 VM (Windows)</t>
  </si>
  <si>
    <t>Standard_DS3_v2 VM (Windows)</t>
  </si>
  <si>
    <t>Standard_DS4_v2 VM (Windows)</t>
  </si>
  <si>
    <t>Standard_DS5_v2 VM (Windows)</t>
  </si>
  <si>
    <t>Standard_DS11_v2 VM (Windows)</t>
  </si>
  <si>
    <t>Standard_DS12_v2 VM (Windows)</t>
  </si>
  <si>
    <t>Standard_DS13_v2 VM (Windows)</t>
  </si>
  <si>
    <t>Standard_DS14_v2 VM (Windows)</t>
  </si>
  <si>
    <t>Standard_DS15_v2 VM (Windows)</t>
  </si>
  <si>
    <t>KB per IO</t>
  </si>
  <si>
    <t>Standard_FS1 VM (Windows)</t>
  </si>
  <si>
    <t>Standard_FS2 VM (Windows)</t>
  </si>
  <si>
    <t>Standard_FS4 VM (Windows)</t>
  </si>
  <si>
    <t>Standard_FS8 VM (Windows)</t>
  </si>
  <si>
    <t>Standard_FS16 VM (Windows)</t>
  </si>
  <si>
    <t>Standard_GS1 VM (Windows)</t>
  </si>
  <si>
    <t>Standard_GS2 VM (Windows)</t>
  </si>
  <si>
    <t>Standard_GS3 VM (Windows)</t>
  </si>
  <si>
    <t>Standard_GS4 VM (Windows)</t>
  </si>
  <si>
    <t>Standard_GS5 VM (Windows)</t>
  </si>
  <si>
    <t>gpus</t>
  </si>
  <si>
    <t>kind</t>
  </si>
  <si>
    <t>region</t>
  </si>
  <si>
    <t># instances</t>
  </si>
  <si>
    <t>cost/hour</t>
  </si>
  <si>
    <t>total cost/mo</t>
  </si>
  <si>
    <t>days/week</t>
  </si>
  <si>
    <t>total hours/mo</t>
  </si>
  <si>
    <t>rdcb/rdsm/rdlic</t>
  </si>
  <si>
    <t>dc/fs</t>
  </si>
  <si>
    <t>light</t>
  </si>
  <si>
    <t>medium</t>
  </si>
  <si>
    <t>heavy</t>
  </si>
  <si>
    <t>rdsh users/cpu</t>
  </si>
  <si>
    <t>rdsh ram/user (MB)</t>
  </si>
  <si>
    <t>rdgw connections/cpu</t>
  </si>
  <si>
    <t>rdgw Mbps/connection</t>
  </si>
  <si>
    <t>rdsh max users cpu</t>
  </si>
  <si>
    <t>vCPUs</t>
  </si>
  <si>
    <t>ACU/vCPU</t>
  </si>
  <si>
    <t>ACUs/server</t>
  </si>
  <si>
    <t>rdgw max connections cpu</t>
  </si>
  <si>
    <t>max users in farm</t>
  </si>
  <si>
    <t>cost/mo-user</t>
  </si>
  <si>
    <t>max capacity</t>
  </si>
  <si>
    <t>cost/user-mo</t>
  </si>
  <si>
    <t>fixed cost azure infra</t>
  </si>
  <si>
    <t>Region</t>
  </si>
  <si>
    <t>Name</t>
  </si>
  <si>
    <t>Data Services</t>
  </si>
  <si>
    <t>SQL Database</t>
  </si>
  <si>
    <t>Basic Database Days</t>
  </si>
  <si>
    <t>Free Database Days</t>
  </si>
  <si>
    <t>Premium P1 Database Days</t>
  </si>
  <si>
    <t>Premium P1 Secondary Geo Database Days</t>
  </si>
  <si>
    <t>Premium P11 Database Days</t>
  </si>
  <si>
    <t>Premium P11 Secondary Geo Database Days</t>
  </si>
  <si>
    <t>Premium P15 Database Days</t>
  </si>
  <si>
    <t>Premium P15 Secondary Geo Database Days</t>
  </si>
  <si>
    <t>Premium P18 Database Days</t>
  </si>
  <si>
    <t>Premium P18 Secondary Geo Database Days</t>
  </si>
  <si>
    <t>Premium P2 Database Days</t>
  </si>
  <si>
    <t>Premium P2 Secondary Geo Database Days</t>
  </si>
  <si>
    <t>Premium P4 Database Days</t>
  </si>
  <si>
    <t>Premium P4 Secondary Geo Database Days</t>
  </si>
  <si>
    <t>Premium P6 Database Days</t>
  </si>
  <si>
    <t>Premium P6 Secondary Geo Database Days</t>
  </si>
  <si>
    <t>Standard S0 Database Days</t>
  </si>
  <si>
    <t>Standard S0 Secondary Database Days</t>
  </si>
  <si>
    <t>Standard S1 Database Days</t>
  </si>
  <si>
    <t>Standard S1 Secondary Database Days</t>
  </si>
  <si>
    <t>Standard S2 Database Days</t>
  </si>
  <si>
    <t>Standard S2 Secondary Database Days</t>
  </si>
  <si>
    <t>Standard S3 Database Days</t>
  </si>
  <si>
    <t>Standard S3 Secondary Database Days</t>
  </si>
  <si>
    <t>Standard S4 Database Days</t>
  </si>
  <si>
    <t>Standard S4 Secondary Database Days</t>
  </si>
  <si>
    <t>DTUs</t>
  </si>
  <si>
    <t>Max Concurrent Sessions</t>
  </si>
  <si>
    <t>cbdb</t>
  </si>
  <si>
    <t>cbdb (secondary)</t>
  </si>
  <si>
    <t>public ip</t>
  </si>
  <si>
    <t>Public IP Addresses</t>
  </si>
  <si>
    <t>Locally Redundant</t>
  </si>
  <si>
    <t>Premium Storage - Page Blob/P10 (Units)</t>
  </si>
  <si>
    <t>Premium Storage - Page Blob/P20 (Units)</t>
  </si>
  <si>
    <t>Premium Storage - Page Blob/P30 (Units)</t>
  </si>
  <si>
    <t>GB</t>
  </si>
  <si>
    <t>IOPS</t>
  </si>
  <si>
    <t>price</t>
  </si>
  <si>
    <t>IOPS per disk</t>
  </si>
  <si>
    <t>storage GB/user</t>
  </si>
  <si>
    <t>storage IOPS/user</t>
  </si>
  <si>
    <t>rdgw</t>
  </si>
  <si>
    <t>dcfs</t>
  </si>
  <si>
    <t># disks</t>
  </si>
  <si>
    <t># sofs servers</t>
  </si>
  <si>
    <t>disks</t>
  </si>
  <si>
    <t>Standard Storage LRS HOT</t>
  </si>
  <si>
    <t>DB</t>
  </si>
  <si>
    <t>DB secondary</t>
  </si>
  <si>
    <t>NA</t>
  </si>
  <si>
    <t>RAM</t>
  </si>
  <si>
    <t>MAX CAP USRS</t>
  </si>
  <si>
    <t>$/USR</t>
  </si>
  <si>
    <t>traffic</t>
  </si>
  <si>
    <t>rds 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</si>
</sst>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%"/>
    <numFmt numFmtId="165" formatCode="_-&quot;$&quot;\ * #,##0.0_-;\-&quot;$&quot;\ * #,##0.0_-;_-&quot;$&quot;\ * &quot;-&quot;_-;_-@_-"/>
    <numFmt numFmtId="166" formatCode="_-&quot;$&quot;\ * #,##0.00_-;\-&quot;$&quot;\ * #,##0.00_-;_-&quot;$&quot;\ * &quot;-&quot;_-;_-@_-"/>
    <numFmt numFmtId="167" formatCode="_-* #,##0.00_-;\-* #,##0.00_-;_-* &quot;-&quot;_-;_-@_-"/>
    <numFmt numFmtId="168" formatCode="_-&quot;$&quot;\ * #,##0.0000_-;\-&quot;$&quot;\ * #,##0.0000_-;_-&quot;$&quot;\ * &quot;-&quot;_-;_-@_-"/>
    <numFmt numFmtId="169" formatCode="_-&quot;$&quot;\ * #,##0.0_-;\-&quot;$&quot;\ * #,##0.0_-;_-&quot;$&quot;\ * &quot;-&quot;?_-;_-@_-"/>
    <numFmt numFmtId="170" formatCode="_-* #,##0.0_-;\-* #,##0.0_-;_-* &quot;-&quot;_-;_-@_-"/>
    <numFmt numFmtId="171" formatCode="_-&quot;$&quot;\ * #,##0.0000_-;\-&quot;$&quot;\ * #,##0.0000_-;_-&quot;$&quot;\ * &quot;-&quot;????_-;_-@_-"/>
    <numFmt numFmtId="172" formatCode="_-* #,##0_-;\-* #,##0_-;_-* &quot;-&quot;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93">
    <xf numFmtId="0" fontId="0" fillId="0" borderId="0" xfId="0"/>
    <xf numFmtId="9" fontId="0" fillId="0" borderId="0" xfId="0" applyNumberFormat="1"/>
    <xf numFmtId="41" fontId="0" fillId="0" borderId="0" xfId="1" applyFont="1"/>
    <xf numFmtId="42" fontId="0" fillId="0" borderId="0" xfId="2" applyFont="1"/>
    <xf numFmtId="0" fontId="2" fillId="0" borderId="0" xfId="0" applyFont="1"/>
    <xf numFmtId="42" fontId="0" fillId="2" borderId="0" xfId="2" applyFont="1" applyFill="1"/>
    <xf numFmtId="164" fontId="0" fillId="0" borderId="0" xfId="3" applyNumberFormat="1" applyFont="1"/>
    <xf numFmtId="44" fontId="0" fillId="0" borderId="0" xfId="0" applyNumberFormat="1"/>
    <xf numFmtId="166" fontId="0" fillId="0" borderId="0" xfId="2" applyNumberFormat="1" applyFont="1" applyFill="1"/>
    <xf numFmtId="9" fontId="0" fillId="0" borderId="0" xfId="3" applyFont="1" applyFill="1"/>
    <xf numFmtId="164" fontId="0" fillId="0" borderId="0" xfId="3" applyNumberFormat="1" applyFont="1" applyFill="1"/>
    <xf numFmtId="167" fontId="0" fillId="0" borderId="0" xfId="0" applyNumberFormat="1"/>
    <xf numFmtId="42" fontId="0" fillId="0" borderId="0" xfId="0" applyNumberFormat="1"/>
    <xf numFmtId="9" fontId="0" fillId="0" borderId="0" xfId="0" applyNumberFormat="1" applyFill="1"/>
    <xf numFmtId="3" fontId="0" fillId="0" borderId="0" xfId="0" applyNumberFormat="1"/>
    <xf numFmtId="10" fontId="0" fillId="0" borderId="0" xfId="3" applyNumberFormat="1" applyFont="1" applyFill="1"/>
    <xf numFmtId="2" fontId="0" fillId="0" borderId="0" xfId="0" applyNumberFormat="1"/>
    <xf numFmtId="41" fontId="0" fillId="0" borderId="0" xfId="1" applyFont="1" applyFill="1"/>
    <xf numFmtId="41" fontId="0" fillId="2" borderId="0" xfId="1" applyFont="1" applyFill="1"/>
    <xf numFmtId="166" fontId="0" fillId="0" borderId="0" xfId="2" applyNumberFormat="1" applyFont="1"/>
    <xf numFmtId="168" fontId="0" fillId="0" borderId="0" xfId="2" applyNumberFormat="1" applyFont="1"/>
    <xf numFmtId="165" fontId="0" fillId="0" borderId="0" xfId="2" applyNumberFormat="1" applyFont="1" applyFill="1"/>
    <xf numFmtId="169" fontId="0" fillId="0" borderId="0" xfId="0" applyNumberFormat="1"/>
    <xf numFmtId="167" fontId="0" fillId="0" borderId="0" xfId="1" applyNumberFormat="1" applyFont="1"/>
    <xf numFmtId="164" fontId="0" fillId="3" borderId="0" xfId="3" applyNumberFormat="1" applyFont="1" applyFill="1"/>
    <xf numFmtId="10" fontId="2" fillId="0" borderId="0" xfId="3" applyNumberFormat="1" applyFont="1" applyFill="1" applyAlignment="1">
      <alignment wrapText="1"/>
    </xf>
    <xf numFmtId="165" fontId="0" fillId="3" borderId="0" xfId="2" applyNumberFormat="1" applyFont="1" applyFill="1"/>
    <xf numFmtId="166" fontId="0" fillId="0" borderId="0" xfId="0" applyNumberFormat="1"/>
    <xf numFmtId="166" fontId="2" fillId="0" borderId="0" xfId="0" applyNumberFormat="1" applyFont="1"/>
    <xf numFmtId="167" fontId="0" fillId="2" borderId="0" xfId="1" applyNumberFormat="1" applyFont="1" applyFill="1"/>
    <xf numFmtId="0" fontId="2" fillId="0" borderId="0" xfId="0" applyFont="1" applyAlignment="1">
      <alignment wrapText="1"/>
    </xf>
    <xf numFmtId="0" fontId="2" fillId="0" borderId="0" xfId="0" applyFont="1" applyFill="1"/>
    <xf numFmtId="0" fontId="0" fillId="0" borderId="0" xfId="0" applyFill="1"/>
    <xf numFmtId="2" fontId="0" fillId="0" borderId="0" xfId="0" applyNumberFormat="1" applyFill="1"/>
    <xf numFmtId="0" fontId="2" fillId="0" borderId="0" xfId="0" applyFont="1" applyFill="1" applyAlignment="1">
      <alignment wrapText="1"/>
    </xf>
    <xf numFmtId="0" fontId="3" fillId="0" borderId="0" xfId="0" applyFont="1"/>
    <xf numFmtId="42" fontId="2" fillId="3" borderId="0" xfId="2" applyFont="1" applyFill="1"/>
    <xf numFmtId="9" fontId="0" fillId="4" borderId="0" xfId="3" applyFont="1" applyFill="1"/>
    <xf numFmtId="165" fontId="0" fillId="4" borderId="0" xfId="2" applyNumberFormat="1" applyFont="1" applyFill="1"/>
    <xf numFmtId="9" fontId="0" fillId="4" borderId="0" xfId="0" applyNumberFormat="1" applyFill="1"/>
    <xf numFmtId="3" fontId="0" fillId="4" borderId="0" xfId="0" applyNumberFormat="1" applyFill="1"/>
    <xf numFmtId="0" fontId="0" fillId="4" borderId="0" xfId="0" applyFill="1"/>
    <xf numFmtId="41" fontId="2" fillId="3" borderId="0" xfId="1" applyFont="1" applyFill="1"/>
    <xf numFmtId="164" fontId="2" fillId="3" borderId="0" xfId="3" applyNumberFormat="1" applyFont="1" applyFill="1"/>
    <xf numFmtId="0" fontId="0" fillId="5" borderId="0" xfId="0" applyFill="1"/>
    <xf numFmtId="42" fontId="0" fillId="5" borderId="0" xfId="2" applyFont="1" applyFill="1"/>
    <xf numFmtId="41" fontId="0" fillId="5" borderId="0" xfId="1" applyFont="1" applyFill="1"/>
    <xf numFmtId="42" fontId="0" fillId="5" borderId="0" xfId="0" applyNumberFormat="1" applyFill="1"/>
    <xf numFmtId="164" fontId="0" fillId="5" borderId="0" xfId="3" applyNumberFormat="1" applyFont="1" applyFill="1"/>
    <xf numFmtId="167" fontId="0" fillId="5" borderId="0" xfId="1" applyNumberFormat="1" applyFont="1" applyFill="1"/>
    <xf numFmtId="9" fontId="0" fillId="5" borderId="0" xfId="0" applyNumberFormat="1" applyFill="1"/>
    <xf numFmtId="164" fontId="0" fillId="4" borderId="0" xfId="3" applyNumberFormat="1" applyFont="1" applyFill="1"/>
    <xf numFmtId="164" fontId="0" fillId="2" borderId="0" xfId="0" applyNumberFormat="1" applyFill="1"/>
    <xf numFmtId="9" fontId="0" fillId="3" borderId="0" xfId="3" applyFont="1" applyFill="1"/>
    <xf numFmtId="0" fontId="4" fillId="7" borderId="0" xfId="0" applyFont="1" applyFill="1" applyAlignment="1">
      <alignment horizontal="center"/>
    </xf>
    <xf numFmtId="170" fontId="0" fillId="0" borderId="0" xfId="0" applyNumberFormat="1"/>
    <xf numFmtId="170" fontId="0" fillId="5" borderId="0" xfId="0" applyNumberFormat="1" applyFill="1"/>
    <xf numFmtId="164" fontId="2" fillId="0" borderId="0" xfId="3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10" fontId="2" fillId="0" borderId="0" xfId="3" applyNumberFormat="1" applyFont="1" applyFill="1" applyAlignment="1">
      <alignment vertical="top" wrapText="1"/>
    </xf>
    <xf numFmtId="42" fontId="0" fillId="3" borderId="0" xfId="2" applyFont="1" applyFill="1"/>
    <xf numFmtId="0" fontId="2" fillId="5" borderId="0" xfId="0" applyFont="1" applyFill="1"/>
    <xf numFmtId="9" fontId="0" fillId="0" borderId="0" xfId="3" applyFont="1"/>
    <xf numFmtId="9" fontId="0" fillId="5" borderId="0" xfId="3" applyFont="1" applyFill="1"/>
    <xf numFmtId="0" fontId="2" fillId="6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4" fillId="9" borderId="0" xfId="0" applyFont="1" applyFill="1" applyAlignment="1"/>
    <xf numFmtId="0" fontId="0" fillId="2" borderId="0" xfId="0" applyFill="1"/>
    <xf numFmtId="165" fontId="0" fillId="2" borderId="0" xfId="2" applyNumberFormat="1" applyFont="1" applyFill="1"/>
    <xf numFmtId="0" fontId="6" fillId="0" borderId="0" xfId="4" applyFont="1" applyAlignment="1">
      <alignment horizontal="center"/>
    </xf>
    <xf numFmtId="0" fontId="5" fillId="0" borderId="0" xfId="4"/>
    <xf numFmtId="0" fontId="5" fillId="0" borderId="0" xfId="4" applyFill="1"/>
    <xf numFmtId="0" fontId="6" fillId="0" borderId="0" xfId="4" applyFont="1" applyFill="1" applyAlignment="1">
      <alignment horizontal="center"/>
    </xf>
    <xf numFmtId="170" fontId="0" fillId="0" borderId="0" xfId="1" applyNumberFormat="1" applyFont="1"/>
    <xf numFmtId="43" fontId="0" fillId="0" borderId="0" xfId="0" applyNumberFormat="1"/>
    <xf numFmtId="165" fontId="0" fillId="0" borderId="0" xfId="2" applyNumberFormat="1" applyFont="1"/>
    <xf numFmtId="170" fontId="0" fillId="2" borderId="0" xfId="1" applyNumberFormat="1" applyFont="1" applyFill="1"/>
    <xf numFmtId="166" fontId="5" fillId="0" borderId="0" xfId="2" applyNumberFormat="1" applyFont="1"/>
    <xf numFmtId="168" fontId="5" fillId="0" borderId="0" xfId="2" applyNumberFormat="1" applyFont="1"/>
    <xf numFmtId="41" fontId="5" fillId="0" borderId="0" xfId="1" applyFont="1"/>
    <xf numFmtId="170" fontId="2" fillId="0" borderId="0" xfId="0" applyNumberFormat="1" applyFont="1"/>
    <xf numFmtId="0" fontId="6" fillId="0" borderId="0" xfId="4" applyFont="1"/>
    <xf numFmtId="0" fontId="6" fillId="0" borderId="0" xfId="4" applyFont="1" applyFill="1"/>
    <xf numFmtId="171" fontId="0" fillId="0" borderId="0" xfId="0" applyNumberFormat="1"/>
    <xf numFmtId="172" fontId="0" fillId="0" borderId="0" xfId="0" applyNumberFormat="1"/>
    <xf numFmtId="0" fontId="7" fillId="0" borderId="0" xfId="0" applyFont="1"/>
    <xf numFmtId="168" fontId="7" fillId="0" borderId="0" xfId="2" applyNumberFormat="1" applyFont="1"/>
    <xf numFmtId="0" fontId="8" fillId="0" borderId="0" xfId="4" applyFont="1"/>
    <xf numFmtId="41" fontId="8" fillId="0" borderId="0" xfId="1" applyFont="1"/>
    <xf numFmtId="41" fontId="7" fillId="0" borderId="0" xfId="1" applyFont="1"/>
    <xf numFmtId="41" fontId="5" fillId="2" borderId="0" xfId="1" applyFont="1" applyFill="1"/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</cellXfs>
  <cellStyles count="5">
    <cellStyle name="Comma [0]" xfId="1" builtinId="6"/>
    <cellStyle name="Currency [0]" xfId="2" builtinId="7"/>
    <cellStyle name="Normal" xfId="0" builtinId="0"/>
    <cellStyle name="Normal 3 2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Revenue and Costs projections (top-down approach)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areaChart>
        <c:grouping val="standard"/>
        <c:varyColors val="0"/>
        <c:ser>
          <c:idx val="2"/>
          <c:order val="1"/>
          <c:tx>
            <c:strRef>
              <c:f>model!$AA$99</c:f>
              <c:strCache>
                <c:ptCount val="1"/>
                <c:pt idx="0">
                  <c:v>acum (top-down)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val>
            <c:numRef>
              <c:f>model!$AA$100:$AA$112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-2000</c:v>
                </c:pt>
                <c:pt idx="2">
                  <c:v>-3000</c:v>
                </c:pt>
                <c:pt idx="3">
                  <c:v>-4000</c:v>
                </c:pt>
                <c:pt idx="4">
                  <c:v>-3085.4779411764703</c:v>
                </c:pt>
                <c:pt idx="5">
                  <c:v>-1865.9431755491662</c:v>
                </c:pt>
                <c:pt idx="6">
                  <c:v>-239.66742831687975</c:v>
                </c:pt>
                <c:pt idx="7">
                  <c:v>1929.0061352247992</c:v>
                </c:pt>
                <c:pt idx="8">
                  <c:v>4820.9788115736383</c:v>
                </c:pt>
                <c:pt idx="9">
                  <c:v>8677.4863567155444</c:v>
                </c:pt>
                <c:pt idx="10">
                  <c:v>13820.221821461842</c:v>
                </c:pt>
                <c:pt idx="11">
                  <c:v>20678.169783647445</c:v>
                </c:pt>
                <c:pt idx="12">
                  <c:v>29823.390371882735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9-4725-BCFD-B5E247298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96928"/>
        <c:axId val="490099552"/>
      </c:areaChart>
      <c:barChart>
        <c:barDir val="col"/>
        <c:grouping val="clustered"/>
        <c:varyColors val="0"/>
        <c:ser>
          <c:idx val="3"/>
          <c:order val="2"/>
          <c:tx>
            <c:strRef>
              <c:f>model!$Z$99</c:f>
              <c:strCache>
                <c:ptCount val="1"/>
                <c:pt idx="0">
                  <c:v>cashflow (top-down)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model!$Z$100:$Z$112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-1000</c:v>
                </c:pt>
                <c:pt idx="2">
                  <c:v>-1000</c:v>
                </c:pt>
                <c:pt idx="3">
                  <c:v>-1000</c:v>
                </c:pt>
                <c:pt idx="4">
                  <c:v>914.52205882352951</c:v>
                </c:pt>
                <c:pt idx="5">
                  <c:v>1219.5347656273041</c:v>
                </c:pt>
                <c:pt idx="6">
                  <c:v>1626.2757472322864</c:v>
                </c:pt>
                <c:pt idx="7">
                  <c:v>2168.673563541679</c:v>
                </c:pt>
                <c:pt idx="8">
                  <c:v>2891.9726763488388</c:v>
                </c:pt>
                <c:pt idx="9">
                  <c:v>3856.5075451419052</c:v>
                </c:pt>
                <c:pt idx="10">
                  <c:v>5142.735464746298</c:v>
                </c:pt>
                <c:pt idx="11">
                  <c:v>6857.9479621856026</c:v>
                </c:pt>
                <c:pt idx="12">
                  <c:v>9145.2205882352901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49-4725-BCFD-B5E247298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096928"/>
        <c:axId val="490099552"/>
      </c:barChart>
      <c:lineChart>
        <c:grouping val="standard"/>
        <c:varyColors val="0"/>
        <c:ser>
          <c:idx val="0"/>
          <c:order val="0"/>
          <c:tx>
            <c:strRef>
              <c:f>model!$H$99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model!$H$100:$H$112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2415.4411764705883</c:v>
                </c:pt>
                <c:pt idx="5">
                  <c:v>3221.0425769533222</c:v>
                </c:pt>
                <c:pt idx="6">
                  <c:v>4295.3293102778389</c:v>
                </c:pt>
                <c:pt idx="7">
                  <c:v>5727.913693454806</c:v>
                </c:pt>
                <c:pt idx="8">
                  <c:v>7638.2956718037676</c:v>
                </c:pt>
                <c:pt idx="9">
                  <c:v>10185.830983550681</c:v>
                </c:pt>
                <c:pt idx="10">
                  <c:v>13583.023920958063</c:v>
                </c:pt>
                <c:pt idx="11">
                  <c:v>18113.253512184685</c:v>
                </c:pt>
                <c:pt idx="12">
                  <c:v>24154.411764705874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49-4725-BCFD-B5E247298214}"/>
            </c:ext>
          </c:extLst>
        </c:ser>
        <c:ser>
          <c:idx val="4"/>
          <c:order val="3"/>
          <c:tx>
            <c:strRef>
              <c:f>model!$N$99</c:f>
              <c:strCache>
                <c:ptCount val="1"/>
                <c:pt idx="0">
                  <c:v>total cogs top-down (in $)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model!$N$100:$N$112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1500.9191176470588</c:v>
                </c:pt>
                <c:pt idx="5">
                  <c:v>2001.5078113260181</c:v>
                </c:pt>
                <c:pt idx="6">
                  <c:v>2669.0535630455524</c:v>
                </c:pt>
                <c:pt idx="7">
                  <c:v>3559.240129913127</c:v>
                </c:pt>
                <c:pt idx="8">
                  <c:v>4746.3229954549288</c:v>
                </c:pt>
                <c:pt idx="9">
                  <c:v>6329.3234384087755</c:v>
                </c:pt>
                <c:pt idx="10">
                  <c:v>8440.2884562117652</c:v>
                </c:pt>
                <c:pt idx="11">
                  <c:v>11255.305549999082</c:v>
                </c:pt>
                <c:pt idx="12">
                  <c:v>15009.191176470584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49-4725-BCFD-B5E247298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096928"/>
        <c:axId val="490099552"/>
      </c:lineChart>
      <c:catAx>
        <c:axId val="49009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9552"/>
        <c:crosses val="autoZero"/>
        <c:auto val="1"/>
        <c:lblAlgn val="ctr"/>
        <c:lblOffset val="100"/>
        <c:noMultiLvlLbl val="0"/>
      </c:catAx>
      <c:valAx>
        <c:axId val="4900995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Revenue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model!$F$99</c:f>
              <c:strCache>
                <c:ptCount val="1"/>
                <c:pt idx="0">
                  <c:v>base plans revenue (in $)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model!$F$100:$F$112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1470.5882352941176</c:v>
                </c:pt>
                <c:pt idx="5">
                  <c:v>1961.0609296519467</c:v>
                </c:pt>
                <c:pt idx="6">
                  <c:v>2615.1167794690036</c:v>
                </c:pt>
                <c:pt idx="7">
                  <c:v>3487.3142730318455</c:v>
                </c:pt>
                <c:pt idx="8">
                  <c:v>4650.4083237770274</c:v>
                </c:pt>
                <c:pt idx="9">
                  <c:v>6201.4191680673848</c:v>
                </c:pt>
                <c:pt idx="10">
                  <c:v>8269.7253704463092</c:v>
                </c:pt>
                <c:pt idx="11">
                  <c:v>11027.856019594938</c:v>
                </c:pt>
                <c:pt idx="12">
                  <c:v>14705.882352941171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F-409D-8193-DF9FF51A931A}"/>
            </c:ext>
          </c:extLst>
        </c:ser>
        <c:ser>
          <c:idx val="2"/>
          <c:order val="2"/>
          <c:tx>
            <c:strRef>
              <c:f>model!$G$99</c:f>
              <c:strCache>
                <c:ptCount val="1"/>
                <c:pt idx="0">
                  <c:v>upsell revenue (in $)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model!$G$100:$G$112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944.85294117647061</c:v>
                </c:pt>
                <c:pt idx="5">
                  <c:v>1259.9816473013757</c:v>
                </c:pt>
                <c:pt idx="6">
                  <c:v>1680.212530808835</c:v>
                </c:pt>
                <c:pt idx="7">
                  <c:v>2240.5994204229605</c:v>
                </c:pt>
                <c:pt idx="8">
                  <c:v>2987.8873480267403</c:v>
                </c:pt>
                <c:pt idx="9">
                  <c:v>3984.411815483295</c:v>
                </c:pt>
                <c:pt idx="10">
                  <c:v>5313.298550511754</c:v>
                </c:pt>
                <c:pt idx="11">
                  <c:v>7085.3974925897473</c:v>
                </c:pt>
                <c:pt idx="12">
                  <c:v>9448.5294117647027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7F-409D-8193-DF9FF51A9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454816"/>
        <c:axId val="731456456"/>
      </c:barChart>
      <c:lineChart>
        <c:grouping val="standard"/>
        <c:varyColors val="0"/>
        <c:ser>
          <c:idx val="0"/>
          <c:order val="0"/>
          <c:tx>
            <c:strRef>
              <c:f>model!$H$99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model!$H$100:$H$112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2415.4411764705883</c:v>
                </c:pt>
                <c:pt idx="5">
                  <c:v>3221.0425769533222</c:v>
                </c:pt>
                <c:pt idx="6">
                  <c:v>4295.3293102778389</c:v>
                </c:pt>
                <c:pt idx="7">
                  <c:v>5727.913693454806</c:v>
                </c:pt>
                <c:pt idx="8">
                  <c:v>7638.2956718037676</c:v>
                </c:pt>
                <c:pt idx="9">
                  <c:v>10185.830983550681</c:v>
                </c:pt>
                <c:pt idx="10">
                  <c:v>13583.023920958063</c:v>
                </c:pt>
                <c:pt idx="11">
                  <c:v>18113.253512184685</c:v>
                </c:pt>
                <c:pt idx="12">
                  <c:v>24154.411764705874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7F-409D-8193-DF9FF51A9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4816"/>
        <c:axId val="731456456"/>
      </c:lineChart>
      <c:catAx>
        <c:axId val="7314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6456"/>
        <c:crosses val="autoZero"/>
        <c:auto val="1"/>
        <c:lblAlgn val="ctr"/>
        <c:lblOffset val="100"/>
        <c:noMultiLvlLbl val="0"/>
      </c:catAx>
      <c:valAx>
        <c:axId val="731456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Gross Margin Composition (top-down)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model!$I$99</c:f>
              <c:strCache>
                <c:ptCount val="1"/>
                <c:pt idx="0">
                  <c:v>base plans gm (in $)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model!$I$100:$I$112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470.58823529411779</c:v>
                </c:pt>
                <c:pt idx="5">
                  <c:v>627.53949748862317</c:v>
                </c:pt>
                <c:pt idx="6">
                  <c:v>836.83736943008148</c:v>
                </c:pt>
                <c:pt idx="7">
                  <c:v>1115.9405673701908</c:v>
                </c:pt>
                <c:pt idx="8">
                  <c:v>1488.1306636086492</c:v>
                </c:pt>
                <c:pt idx="9">
                  <c:v>1984.454133781564</c:v>
                </c:pt>
                <c:pt idx="10">
                  <c:v>2646.3121185428199</c:v>
                </c:pt>
                <c:pt idx="11">
                  <c:v>3528.9139262703811</c:v>
                </c:pt>
                <c:pt idx="12">
                  <c:v>4705.8823529411766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A-48D9-8B61-184FF7813811}"/>
            </c:ext>
          </c:extLst>
        </c:ser>
        <c:ser>
          <c:idx val="2"/>
          <c:order val="2"/>
          <c:tx>
            <c:strRef>
              <c:f>model!$J$99</c:f>
              <c:strCache>
                <c:ptCount val="1"/>
                <c:pt idx="0">
                  <c:v>upsell gm (in $)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model!$J$100:$J$112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443.93382352941182</c:v>
                </c:pt>
                <c:pt idx="5">
                  <c:v>591.99526813868147</c:v>
                </c:pt>
                <c:pt idx="6">
                  <c:v>789.43837780220565</c:v>
                </c:pt>
                <c:pt idx="7">
                  <c:v>1052.7329961714884</c:v>
                </c:pt>
                <c:pt idx="8">
                  <c:v>1403.8420127401903</c:v>
                </c:pt>
                <c:pt idx="9">
                  <c:v>1872.0534113603421</c:v>
                </c:pt>
                <c:pt idx="10">
                  <c:v>2496.4233462034799</c:v>
                </c:pt>
                <c:pt idx="11">
                  <c:v>3329.0340359152219</c:v>
                </c:pt>
                <c:pt idx="12">
                  <c:v>4439.3382352941171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4A-48D9-8B61-184FF7813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454816"/>
        <c:axId val="731456456"/>
      </c:barChart>
      <c:lineChart>
        <c:grouping val="standard"/>
        <c:varyColors val="0"/>
        <c:ser>
          <c:idx val="0"/>
          <c:order val="0"/>
          <c:tx>
            <c:strRef>
              <c:f>model!$K$99</c:f>
              <c:strCache>
                <c:ptCount val="1"/>
                <c:pt idx="0">
                  <c:v>total gm top-down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model!$K$100:$K$112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914.52205882352962</c:v>
                </c:pt>
                <c:pt idx="5">
                  <c:v>1219.5347656273048</c:v>
                </c:pt>
                <c:pt idx="6">
                  <c:v>1626.2757472322871</c:v>
                </c:pt>
                <c:pt idx="7">
                  <c:v>2168.673563541679</c:v>
                </c:pt>
                <c:pt idx="8">
                  <c:v>2891.9726763488397</c:v>
                </c:pt>
                <c:pt idx="9">
                  <c:v>3856.5075451419061</c:v>
                </c:pt>
                <c:pt idx="10">
                  <c:v>5142.7354647462998</c:v>
                </c:pt>
                <c:pt idx="11">
                  <c:v>6857.9479621856026</c:v>
                </c:pt>
                <c:pt idx="12">
                  <c:v>9145.2205882352937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4A-48D9-8B61-184FF7813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4816"/>
        <c:axId val="731456456"/>
      </c:lineChart>
      <c:catAx>
        <c:axId val="7314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6456"/>
        <c:crosses val="autoZero"/>
        <c:auto val="1"/>
        <c:lblAlgn val="ctr"/>
        <c:lblOffset val="100"/>
        <c:noMultiLvlLbl val="0"/>
      </c:catAx>
      <c:valAx>
        <c:axId val="731456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Composition of Revenue and Units by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model!$B$50</c:f>
              <c:strCache>
                <c:ptCount val="1"/>
                <c:pt idx="0">
                  <c:v>% of total sales in units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8FAA-478B-A494-967BF92852E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8FAA-478B-A494-967BF92852E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8FAA-478B-A494-967BF92852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model!$C$34:$E$34</c:f>
              <c:strCache>
                <c:ptCount val="3"/>
                <c:pt idx="0">
                  <c:v>std</c:v>
                </c:pt>
                <c:pt idx="1">
                  <c:v>adv</c:v>
                </c:pt>
                <c:pt idx="2">
                  <c:v>prm</c:v>
                </c:pt>
              </c:strCache>
            </c:strRef>
          </c:cat>
          <c:val>
            <c:numRef>
              <c:f>model!$C$50:$E$50</c:f>
              <c:numCache>
                <c:formatCode>0%</c:formatCode>
                <c:ptCount val="3"/>
                <c:pt idx="0">
                  <c:v>0.6</c:v>
                </c:pt>
                <c:pt idx="1">
                  <c:v>0.2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AA-478B-A494-967BF92852EF}"/>
            </c:ext>
          </c:extLst>
        </c:ser>
        <c:ser>
          <c:idx val="1"/>
          <c:order val="1"/>
          <c:tx>
            <c:strRef>
              <c:f>model!$B$52</c:f>
              <c:strCache>
                <c:ptCount val="1"/>
                <c:pt idx="0">
                  <c:v>% of total sales in $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8-8FAA-478B-A494-967BF92852E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A-8FAA-478B-A494-967BF92852E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C-8FAA-478B-A494-967BF92852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model!$C$34:$E$34</c:f>
              <c:strCache>
                <c:ptCount val="3"/>
                <c:pt idx="0">
                  <c:v>std</c:v>
                </c:pt>
                <c:pt idx="1">
                  <c:v>adv</c:v>
                </c:pt>
                <c:pt idx="2">
                  <c:v>prm</c:v>
                </c:pt>
              </c:strCache>
            </c:strRef>
          </c:cat>
          <c:val>
            <c:numRef>
              <c:f>model!$C$52:$E$52</c:f>
              <c:numCache>
                <c:formatCode>0%</c:formatCode>
                <c:ptCount val="3"/>
                <c:pt idx="0">
                  <c:v>0.6403376545070848</c:v>
                </c:pt>
                <c:pt idx="1">
                  <c:v>0.20862224902019899</c:v>
                </c:pt>
                <c:pt idx="2">
                  <c:v>0.15104009647271632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FAA-478B-A494-967BF9285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Revenue and Costs projections (bottom-up approach)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areaChart>
        <c:grouping val="standard"/>
        <c:varyColors val="0"/>
        <c:ser>
          <c:idx val="2"/>
          <c:order val="1"/>
          <c:tx>
            <c:strRef>
              <c:f>model!$AJ$99</c:f>
              <c:strCache>
                <c:ptCount val="1"/>
                <c:pt idx="0">
                  <c:v>acum (bottom-up)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val>
            <c:numRef>
              <c:f>model!$AJ$100:$AJ$112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-2500</c:v>
                </c:pt>
                <c:pt idx="2">
                  <c:v>-4000</c:v>
                </c:pt>
                <c:pt idx="3">
                  <c:v>-5500</c:v>
                </c:pt>
                <c:pt idx="4">
                  <c:v>-7084.5588235294117</c:v>
                </c:pt>
                <c:pt idx="5">
                  <c:v>-8197.0376787394125</c:v>
                </c:pt>
                <c:pt idx="6">
                  <c:v>-8679.9877785004974</c:v>
                </c:pt>
                <c:pt idx="7">
                  <c:v>-8323.4477907073469</c:v>
                </c:pt>
                <c:pt idx="8">
                  <c:v>-6847.4297790719584</c:v>
                </c:pt>
                <c:pt idx="9">
                  <c:v>-3878.5638298070999</c:v>
                </c:pt>
                <c:pt idx="10">
                  <c:v>1081.0468392474731</c:v>
                </c:pt>
                <c:pt idx="11">
                  <c:v>8695.3582581076007</c:v>
                </c:pt>
                <c:pt idx="12">
                  <c:v>19849.770022813478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2-4A55-B947-1D3AAF123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96928"/>
        <c:axId val="490099552"/>
      </c:areaChart>
      <c:barChart>
        <c:barDir val="col"/>
        <c:grouping val="clustered"/>
        <c:varyColors val="0"/>
        <c:ser>
          <c:idx val="3"/>
          <c:order val="2"/>
          <c:tx>
            <c:strRef>
              <c:f>model!$AI$99</c:f>
              <c:strCache>
                <c:ptCount val="1"/>
                <c:pt idx="0">
                  <c:v>cashflow (bottom-up)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model!$AI$100:$AI$112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-1500</c:v>
                </c:pt>
                <c:pt idx="2">
                  <c:v>-1500</c:v>
                </c:pt>
                <c:pt idx="3">
                  <c:v>-1500</c:v>
                </c:pt>
                <c:pt idx="4">
                  <c:v>-1584.5588235294117</c:v>
                </c:pt>
                <c:pt idx="5">
                  <c:v>-1112.4788552100017</c:v>
                </c:pt>
                <c:pt idx="6">
                  <c:v>-482.95009976108395</c:v>
                </c:pt>
                <c:pt idx="7">
                  <c:v>356.53998779315043</c:v>
                </c:pt>
                <c:pt idx="8">
                  <c:v>1476.0180116353886</c:v>
                </c:pt>
                <c:pt idx="9">
                  <c:v>2968.8659492648585</c:v>
                </c:pt>
                <c:pt idx="10">
                  <c:v>4959.610669054573</c:v>
                </c:pt>
                <c:pt idx="11">
                  <c:v>7614.3114188601285</c:v>
                </c:pt>
                <c:pt idx="12">
                  <c:v>11154.411764705876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2-4A55-B947-1D3AAF123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096928"/>
        <c:axId val="490099552"/>
      </c:barChart>
      <c:lineChart>
        <c:grouping val="standard"/>
        <c:varyColors val="0"/>
        <c:ser>
          <c:idx val="0"/>
          <c:order val="0"/>
          <c:tx>
            <c:strRef>
              <c:f>model!$H$99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model!$H$100:$H$112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2415.4411764705883</c:v>
                </c:pt>
                <c:pt idx="5">
                  <c:v>3221.0425769533222</c:v>
                </c:pt>
                <c:pt idx="6">
                  <c:v>4295.3293102778389</c:v>
                </c:pt>
                <c:pt idx="7">
                  <c:v>5727.913693454806</c:v>
                </c:pt>
                <c:pt idx="8">
                  <c:v>7638.2956718037676</c:v>
                </c:pt>
                <c:pt idx="9">
                  <c:v>10185.830983550681</c:v>
                </c:pt>
                <c:pt idx="10">
                  <c:v>13583.023920958063</c:v>
                </c:pt>
                <c:pt idx="11">
                  <c:v>18113.253512184685</c:v>
                </c:pt>
                <c:pt idx="12">
                  <c:v>24154.411764705874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12-4A55-B947-1D3AAF123A2A}"/>
            </c:ext>
          </c:extLst>
        </c:ser>
        <c:ser>
          <c:idx val="4"/>
          <c:order val="3"/>
          <c:tx>
            <c:strRef>
              <c:f>model!$V$99</c:f>
              <c:strCache>
                <c:ptCount val="1"/>
                <c:pt idx="0">
                  <c:v>total cogs bottom-up (in $)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model!$V$100:$V$112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4000</c:v>
                </c:pt>
                <c:pt idx="5">
                  <c:v>4333.5214321633239</c:v>
                </c:pt>
                <c:pt idx="6">
                  <c:v>4778.2794100389228</c:v>
                </c:pt>
                <c:pt idx="7">
                  <c:v>5371.3737056616555</c:v>
                </c:pt>
                <c:pt idx="8">
                  <c:v>6162.277660168379</c:v>
                </c:pt>
                <c:pt idx="9">
                  <c:v>7216.9650342858222</c:v>
                </c:pt>
                <c:pt idx="10">
                  <c:v>8623.4132519034902</c:v>
                </c:pt>
                <c:pt idx="11">
                  <c:v>10498.942093324556</c:v>
                </c:pt>
                <c:pt idx="12">
                  <c:v>12999.999999999998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12-4A55-B947-1D3AAF123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096928"/>
        <c:axId val="490099552"/>
      </c:lineChart>
      <c:catAx>
        <c:axId val="49009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9552"/>
        <c:crosses val="autoZero"/>
        <c:auto val="1"/>
        <c:lblAlgn val="ctr"/>
        <c:lblOffset val="100"/>
        <c:noMultiLvlLbl val="0"/>
      </c:catAx>
      <c:valAx>
        <c:axId val="4900995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Costs Composition (bottom-up)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1"/>
          <c:tx>
            <c:strRef>
              <c:f>model!$D$99</c:f>
              <c:strCache>
                <c:ptCount val="1"/>
                <c:pt idx="0">
                  <c:v>MSFT revenue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model!$D$100:$D$112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1000</c:v>
                </c:pt>
                <c:pt idx="5">
                  <c:v>1333.5214321633239</c:v>
                </c:pt>
                <c:pt idx="6">
                  <c:v>1778.2794100389228</c:v>
                </c:pt>
                <c:pt idx="7">
                  <c:v>2371.3737056616551</c:v>
                </c:pt>
                <c:pt idx="8">
                  <c:v>3162.277660168379</c:v>
                </c:pt>
                <c:pt idx="9">
                  <c:v>4216.9650342858222</c:v>
                </c:pt>
                <c:pt idx="10">
                  <c:v>5623.4132519034902</c:v>
                </c:pt>
                <c:pt idx="11">
                  <c:v>7498.9420933245574</c:v>
                </c:pt>
                <c:pt idx="12">
                  <c:v>9999.9999999999982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A5-4E23-8CC7-A621CAD6425A}"/>
            </c:ext>
          </c:extLst>
        </c:ser>
        <c:ser>
          <c:idx val="2"/>
          <c:order val="2"/>
          <c:tx>
            <c:strRef>
              <c:f>model!$T$99</c:f>
              <c:strCache>
                <c:ptCount val="1"/>
                <c:pt idx="0">
                  <c:v>prj + mngd svcs costs (in $)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model!$T$100:$T$112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2500</c:v>
                </c:pt>
                <c:pt idx="5">
                  <c:v>2500</c:v>
                </c:pt>
                <c:pt idx="6">
                  <c:v>2500</c:v>
                </c:pt>
                <c:pt idx="7">
                  <c:v>2500</c:v>
                </c:pt>
                <c:pt idx="8">
                  <c:v>2500</c:v>
                </c:pt>
                <c:pt idx="9">
                  <c:v>2500</c:v>
                </c:pt>
                <c:pt idx="10">
                  <c:v>2500</c:v>
                </c:pt>
                <c:pt idx="11">
                  <c:v>2500</c:v>
                </c:pt>
                <c:pt idx="12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A5-4E23-8CC7-A621CAD6425A}"/>
            </c:ext>
          </c:extLst>
        </c:ser>
        <c:ser>
          <c:idx val="1"/>
          <c:order val="3"/>
          <c:tx>
            <c:strRef>
              <c:f>model!$U$99</c:f>
              <c:strCache>
                <c:ptCount val="1"/>
                <c:pt idx="0">
                  <c:v>ip svcs costs (in $)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model!$U$100:$U$112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5-4E23-8CC7-A621CAD64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454816"/>
        <c:axId val="731456456"/>
      </c:barChart>
      <c:lineChart>
        <c:grouping val="standard"/>
        <c:varyColors val="0"/>
        <c:ser>
          <c:idx val="0"/>
          <c:order val="0"/>
          <c:tx>
            <c:strRef>
              <c:f>model!$V$99</c:f>
              <c:strCache>
                <c:ptCount val="1"/>
                <c:pt idx="0">
                  <c:v>total cogs bottom-up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model!$V$100:$V$112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4000</c:v>
                </c:pt>
                <c:pt idx="5">
                  <c:v>4333.5214321633239</c:v>
                </c:pt>
                <c:pt idx="6">
                  <c:v>4778.2794100389228</c:v>
                </c:pt>
                <c:pt idx="7">
                  <c:v>5371.3737056616555</c:v>
                </c:pt>
                <c:pt idx="8">
                  <c:v>6162.277660168379</c:v>
                </c:pt>
                <c:pt idx="9">
                  <c:v>7216.9650342858222</c:v>
                </c:pt>
                <c:pt idx="10">
                  <c:v>8623.4132519034902</c:v>
                </c:pt>
                <c:pt idx="11">
                  <c:v>10498.942093324556</c:v>
                </c:pt>
                <c:pt idx="12">
                  <c:v>12999.999999999998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A5-4E23-8CC7-A621CAD6425A}"/>
            </c:ext>
          </c:extLst>
        </c:ser>
        <c:ser>
          <c:idx val="4"/>
          <c:order val="4"/>
          <c:tx>
            <c:strRef>
              <c:f>model!$H$99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model!$H$100:$H$112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2415.4411764705883</c:v>
                </c:pt>
                <c:pt idx="5">
                  <c:v>3221.0425769533222</c:v>
                </c:pt>
                <c:pt idx="6">
                  <c:v>4295.3293102778389</c:v>
                </c:pt>
                <c:pt idx="7">
                  <c:v>5727.913693454806</c:v>
                </c:pt>
                <c:pt idx="8">
                  <c:v>7638.2956718037676</c:v>
                </c:pt>
                <c:pt idx="9">
                  <c:v>10185.830983550681</c:v>
                </c:pt>
                <c:pt idx="10">
                  <c:v>13583.023920958063</c:v>
                </c:pt>
                <c:pt idx="11">
                  <c:v>18113.253512184685</c:v>
                </c:pt>
                <c:pt idx="12">
                  <c:v>24154.411764705874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A5-4E23-8CC7-A621CAD64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4816"/>
        <c:axId val="731456456"/>
      </c:lineChart>
      <c:catAx>
        <c:axId val="7314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6456"/>
        <c:crosses val="autoZero"/>
        <c:auto val="1"/>
        <c:lblAlgn val="ctr"/>
        <c:lblOffset val="100"/>
        <c:noMultiLvlLbl val="0"/>
      </c:catAx>
      <c:valAx>
        <c:axId val="731456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405012</xdr:colOff>
      <xdr:row>2</xdr:row>
      <xdr:rowOff>174606</xdr:rowOff>
    </xdr:from>
    <xdr:to>
      <xdr:col>11</xdr:col>
      <xdr:colOff>418941</xdr:colOff>
      <xdr:row>26</xdr:row>
      <xdr:rowOff>85892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C28FDC-59BA-4705-A1D6-6C6339D9E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636135</xdr:colOff>
      <xdr:row>27</xdr:row>
      <xdr:rowOff>135386</xdr:rowOff>
    </xdr:from>
    <xdr:to>
      <xdr:col>17</xdr:col>
      <xdr:colOff>228242</xdr:colOff>
      <xdr:row>43</xdr:row>
      <xdr:rowOff>76245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6DB23E-B3FA-44E7-86AA-BCEE4EF1E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401413</xdr:colOff>
      <xdr:row>44</xdr:row>
      <xdr:rowOff>97287</xdr:rowOff>
    </xdr:from>
    <xdr:to>
      <xdr:col>11</xdr:col>
      <xdr:colOff>415342</xdr:colOff>
      <xdr:row>59</xdr:row>
      <xdr:rowOff>49714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D75706-927A-4DA5-B919-A6795415E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408213</xdr:colOff>
      <xdr:row>27</xdr:row>
      <xdr:rowOff>119740</xdr:rowOff>
    </xdr:from>
    <xdr:to>
      <xdr:col>11</xdr:col>
      <xdr:colOff>421821</xdr:colOff>
      <xdr:row>43</xdr:row>
      <xdr:rowOff>60597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4FE811-0CA5-46EF-809B-12187DE6B7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612319</xdr:colOff>
      <xdr:row>2</xdr:row>
      <xdr:rowOff>176894</xdr:rowOff>
    </xdr:from>
    <xdr:to>
      <xdr:col>17</xdr:col>
      <xdr:colOff>204426</xdr:colOff>
      <xdr:row>26</xdr:row>
      <xdr:rowOff>88180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666A683-12F9-4B4E-B1D5-90ABBAF61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625928</xdr:colOff>
      <xdr:row>44</xdr:row>
      <xdr:rowOff>115662</xdr:rowOff>
    </xdr:from>
    <xdr:to>
      <xdr:col>17</xdr:col>
      <xdr:colOff>218035</xdr:colOff>
      <xdr:row>59</xdr:row>
      <xdr:rowOff>68089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B15ED2-EA68-4D0B-88D0-0C921221B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36"/>
  <sheetViews>
    <sheetView tabSelected="1" topLeftCell="A31" zoomScale="70" zoomScaleNormal="70" workbookViewId="0">
      <selection activeCell="C57" sqref="C57"/>
    </sheetView>
  </sheetViews>
  <sheetFormatPr defaultRowHeight="14.25" x14ac:dyDescent="0.45"/>
  <cols>
    <col min="2" max="2" width="44.53125" customWidth="1"/>
    <col min="3" max="5" width="15.265625" customWidth="1"/>
    <col min="6" max="6" width="13.1328125" customWidth="1"/>
    <col min="7" max="7" width="12.46484375" bestFit="1" customWidth="1"/>
    <col min="8" max="8" width="10.73046875" bestFit="1" customWidth="1"/>
    <col min="9" max="9" width="12.19921875" bestFit="1" customWidth="1"/>
    <col min="10" max="10" width="10.73046875" customWidth="1"/>
    <col min="13" max="14" width="11.6640625" customWidth="1"/>
    <col min="15" max="15" width="9.59765625" customWidth="1"/>
    <col min="16" max="16" width="9.3984375" customWidth="1"/>
    <col min="17" max="17" width="9.59765625" customWidth="1"/>
    <col min="20" max="20" width="10.3984375" bestFit="1" customWidth="1"/>
    <col min="21" max="21" width="10.59765625" customWidth="1"/>
    <col min="22" max="22" width="10.86328125" customWidth="1"/>
    <col min="23" max="23" width="11.33203125" customWidth="1"/>
    <col min="24" max="24" width="9.53125" customWidth="1"/>
    <col min="25" max="25" width="11.796875" customWidth="1"/>
    <col min="26" max="43" width="10.59765625" customWidth="1"/>
  </cols>
  <sheetData>
    <row r="2" spans="2:6" ht="21" x14ac:dyDescent="0.65">
      <c r="B2" s="35" t="s">
        <v>76</v>
      </c>
    </row>
    <row r="3" spans="2:6" x14ac:dyDescent="0.45">
      <c r="B3" s="4"/>
      <c r="C3" s="4"/>
    </row>
    <row r="4" spans="2:6" x14ac:dyDescent="0.45">
      <c r="B4" s="91" t="s">
        <v>108</v>
      </c>
      <c r="C4" s="91"/>
      <c r="D4" s="91"/>
      <c r="E4" s="91"/>
      <c r="F4" s="91"/>
    </row>
    <row r="5" spans="2:6" x14ac:dyDescent="0.45">
      <c r="B5" s="4"/>
      <c r="C5" s="4"/>
    </row>
    <row r="6" spans="2:6" x14ac:dyDescent="0.45">
      <c r="B6" s="4" t="s">
        <v>80</v>
      </c>
      <c r="C6" s="40">
        <v>1000</v>
      </c>
      <c r="D6" t="s">
        <v>85</v>
      </c>
    </row>
    <row r="7" spans="2:6" x14ac:dyDescent="0.45">
      <c r="B7" s="4" t="s">
        <v>79</v>
      </c>
      <c r="C7" s="40">
        <v>10000</v>
      </c>
      <c r="D7" t="s">
        <v>85</v>
      </c>
    </row>
    <row r="8" spans="2:6" x14ac:dyDescent="0.45">
      <c r="B8" s="4" t="s">
        <v>78</v>
      </c>
      <c r="C8" s="41">
        <v>4</v>
      </c>
      <c r="D8" t="s">
        <v>85</v>
      </c>
    </row>
    <row r="9" spans="2:6" x14ac:dyDescent="0.45">
      <c r="B9" s="4" t="s">
        <v>77</v>
      </c>
      <c r="C9" s="40">
        <v>12</v>
      </c>
      <c r="D9" t="s">
        <v>85</v>
      </c>
    </row>
    <row r="10" spans="2:6" x14ac:dyDescent="0.45">
      <c r="B10" s="4" t="s">
        <v>133</v>
      </c>
      <c r="C10" s="40">
        <v>12</v>
      </c>
      <c r="D10" t="s">
        <v>85</v>
      </c>
    </row>
    <row r="11" spans="2:6" x14ac:dyDescent="0.45">
      <c r="B11" s="4" t="s">
        <v>5</v>
      </c>
      <c r="C11" s="14">
        <f>C9-C8</f>
        <v>8</v>
      </c>
    </row>
    <row r="12" spans="2:6" x14ac:dyDescent="0.45">
      <c r="B12" s="4" t="s">
        <v>3</v>
      </c>
      <c r="C12" s="15">
        <f>EXP(LN($C$7/$C$6)/$C$11)-1</f>
        <v>0.33352143216332397</v>
      </c>
    </row>
    <row r="13" spans="2:6" x14ac:dyDescent="0.45">
      <c r="B13" s="4" t="s">
        <v>1</v>
      </c>
      <c r="C13" s="51">
        <v>0.15</v>
      </c>
      <c r="D13" t="s">
        <v>86</v>
      </c>
    </row>
    <row r="14" spans="2:6" x14ac:dyDescent="0.45">
      <c r="B14" s="4" t="s">
        <v>82</v>
      </c>
      <c r="C14" s="51">
        <v>0.2</v>
      </c>
      <c r="D14" t="s">
        <v>86</v>
      </c>
    </row>
    <row r="15" spans="2:6" x14ac:dyDescent="0.45">
      <c r="B15" s="4" t="s">
        <v>81</v>
      </c>
      <c r="C15" s="52">
        <f>NOMINAL(30%,12)/12</f>
        <v>2.2104450593615876E-2</v>
      </c>
      <c r="D15" t="s">
        <v>84</v>
      </c>
    </row>
    <row r="16" spans="2:6" x14ac:dyDescent="0.45">
      <c r="B16" s="4" t="s">
        <v>70</v>
      </c>
      <c r="C16" s="52">
        <f>NOMINAL(6%,12)/12</f>
        <v>4.8675505653430484E-3</v>
      </c>
      <c r="D16" t="s">
        <v>84</v>
      </c>
    </row>
    <row r="19" spans="2:6" x14ac:dyDescent="0.45">
      <c r="B19" s="91" t="s">
        <v>109</v>
      </c>
      <c r="C19" s="91"/>
      <c r="D19" s="91"/>
      <c r="E19" s="91"/>
      <c r="F19" s="91"/>
    </row>
    <row r="21" spans="2:6" x14ac:dyDescent="0.45">
      <c r="B21" s="4"/>
      <c r="C21" s="4" t="s">
        <v>119</v>
      </c>
      <c r="D21" s="4" t="s">
        <v>120</v>
      </c>
      <c r="E21" s="4" t="s">
        <v>122</v>
      </c>
      <c r="F21" s="4" t="s">
        <v>122</v>
      </c>
    </row>
    <row r="22" spans="2:6" x14ac:dyDescent="0.45">
      <c r="B22" s="4" t="s">
        <v>57</v>
      </c>
      <c r="C22" s="36">
        <f>INDEX($AD$100:$AD$112,$C$10+1,0)</f>
        <v>23501.402342889676</v>
      </c>
      <c r="D22" s="36">
        <f>INDEX($AM$100:$AM$112,$C$10+1,0)</f>
        <v>14355.352941655068</v>
      </c>
      <c r="E22" t="str">
        <f>IF(C22&gt;=0,"good!","warnning!")</f>
        <v>good!</v>
      </c>
      <c r="F22" t="str">
        <f>IF(D22&gt;=0,"good!","warnning!")</f>
        <v>good!</v>
      </c>
    </row>
    <row r="23" spans="2:6" x14ac:dyDescent="0.45">
      <c r="B23" s="4" t="s">
        <v>66</v>
      </c>
      <c r="C23" s="43">
        <f>INDEX($AE$100:$AE$112,$C$10+1,0)</f>
        <v>0.32401440049766816</v>
      </c>
      <c r="D23" s="43">
        <f>INDEX($AN$100:$AN$112,$C$10+1,0)</f>
        <v>0.15706315780659463</v>
      </c>
      <c r="E23" t="str">
        <f>IF(C23&gt;=C15,"good!","warnning!")</f>
        <v>good!</v>
      </c>
      <c r="F23" t="str">
        <f>IF(D23&gt;=C15,"good!","warnning!")</f>
        <v>good!</v>
      </c>
    </row>
    <row r="24" spans="2:6" x14ac:dyDescent="0.45">
      <c r="B24" s="4" t="s">
        <v>67</v>
      </c>
      <c r="C24" s="43">
        <f>INDEX($AF$100:$AF$112,$C$10+1,0)</f>
        <v>0.19905740333346267</v>
      </c>
      <c r="D24" s="43">
        <f>INDEX($AO$100:$AO$112,$C$10+1,0)</f>
        <v>0.11024570636706743</v>
      </c>
      <c r="E24" t="str">
        <f>IF(C24&gt;=C15,"good!","warnning!")</f>
        <v>good!</v>
      </c>
      <c r="F24" t="str">
        <f>IF(D24&gt;=C15,"good!","warnning!")</f>
        <v>good!</v>
      </c>
    </row>
    <row r="25" spans="2:6" x14ac:dyDescent="0.45">
      <c r="B25" s="4" t="s">
        <v>58</v>
      </c>
      <c r="C25" s="36">
        <f>INDEX($H$100:$H$112,$C$10+1,0)</f>
        <v>24154.411764705874</v>
      </c>
      <c r="D25" s="36">
        <f>INDEX($H$100:$H$112,$C$10+1,0)</f>
        <v>24154.411764705874</v>
      </c>
      <c r="E25" t="str">
        <f>IF(C25&gt;=2*C7,"good!","warnning!")</f>
        <v>good!</v>
      </c>
      <c r="F25" t="str">
        <f>IF(D25&gt;=2*C7,"good!","warnning!")</f>
        <v>good!</v>
      </c>
    </row>
    <row r="26" spans="2:6" x14ac:dyDescent="0.45">
      <c r="B26" s="4" t="s">
        <v>83</v>
      </c>
      <c r="C26" s="43">
        <f>INDEX($L$100:$L$112,$C$10+1,0)</f>
        <v>0.37861491628614929</v>
      </c>
      <c r="D26" s="43">
        <f>INDEX($X$100:$X$112,$C$10+1,0)</f>
        <v>0.46179604261796031</v>
      </c>
      <c r="E26" t="str">
        <f>IF(C26&gt;=(1-(1-$C$13)*(1-$C$14)),"good!","warnning!")</f>
        <v>good!</v>
      </c>
      <c r="F26" t="str">
        <f>IF(D26&gt;=(1-(1-$C$13)*(1-$C$14)),"good!","warnning!")</f>
        <v>good!</v>
      </c>
    </row>
    <row r="27" spans="2:6" x14ac:dyDescent="0.45">
      <c r="B27" s="4" t="s">
        <v>60</v>
      </c>
      <c r="C27" s="36">
        <f>INDEX($AH$100:$AH$112,$C$10+1,0)</f>
        <v>-4000</v>
      </c>
      <c r="D27" s="36">
        <f>INDEX($AQ$100:$AQ$112,$C$10+1,0)</f>
        <v>-8679.9877785004974</v>
      </c>
    </row>
    <row r="28" spans="2:6" x14ac:dyDescent="0.45">
      <c r="B28" s="4" t="s">
        <v>61</v>
      </c>
      <c r="C28" s="36">
        <f>INDEX($AG$100:$AG$112,$C$10+1,0)</f>
        <v>-1000</v>
      </c>
      <c r="D28" s="36">
        <f>INDEX($AP$100:$AP$112,$C$10+1,0)</f>
        <v>-1584.5588235294117</v>
      </c>
    </row>
    <row r="29" spans="2:6" x14ac:dyDescent="0.45">
      <c r="B29" s="4" t="s">
        <v>63</v>
      </c>
      <c r="C29" s="42">
        <f>INDEX($C$100:$C$112,MATCH("payback",$AC$100:$AC$112,0),0)</f>
        <v>7</v>
      </c>
      <c r="D29" s="42">
        <f>INDEX($C$100:$C$112,MATCH("payback",$AL$100:$AL$112,0),0)</f>
        <v>10</v>
      </c>
      <c r="E29" t="str">
        <f>IF(C29&lt;=12,"good!","warnning!")</f>
        <v>good!</v>
      </c>
      <c r="F29" t="str">
        <f>IF(D29&lt;=12,"good!","warnning!")</f>
        <v>good!</v>
      </c>
    </row>
    <row r="30" spans="2:6" x14ac:dyDescent="0.45">
      <c r="B30" s="4" t="s">
        <v>64</v>
      </c>
      <c r="C30" s="42">
        <f>INDEX($C$100:$C$112,MATCH("breakeven",$AB$100:$AB$112,0),0)</f>
        <v>4</v>
      </c>
      <c r="D30" s="42">
        <f>INDEX($C$100:$C$112,MATCH("breakeven",$AK$100:$AK$112,0),0)</f>
        <v>7</v>
      </c>
      <c r="E30" t="str">
        <f>IF(C30&lt;=12,"good!","warnning!")</f>
        <v>good!</v>
      </c>
      <c r="F30" t="str">
        <f>IF(D30&lt;=12,"good!","warnning!")</f>
        <v>good!</v>
      </c>
    </row>
    <row r="31" spans="2:6" x14ac:dyDescent="0.45">
      <c r="C31" s="15"/>
    </row>
    <row r="32" spans="2:6" x14ac:dyDescent="0.45">
      <c r="B32" s="91" t="s">
        <v>86</v>
      </c>
      <c r="C32" s="91"/>
      <c r="D32" s="91"/>
      <c r="E32" s="91"/>
      <c r="F32" s="91"/>
    </row>
    <row r="34" spans="2:13" x14ac:dyDescent="0.45">
      <c r="B34" s="4" t="s">
        <v>30</v>
      </c>
      <c r="C34" s="58" t="s">
        <v>6</v>
      </c>
      <c r="D34" s="59" t="s">
        <v>8</v>
      </c>
      <c r="E34" s="58" t="s">
        <v>7</v>
      </c>
      <c r="F34" s="58"/>
    </row>
    <row r="35" spans="2:13" x14ac:dyDescent="0.45">
      <c r="B35" s="4" t="s">
        <v>288</v>
      </c>
      <c r="C35" s="68">
        <v>3.4117647058823528</v>
      </c>
      <c r="D35" s="68">
        <v>3.1764705882352944</v>
      </c>
      <c r="E35" s="68">
        <v>2.8235294117647061</v>
      </c>
    </row>
    <row r="36" spans="2:13" x14ac:dyDescent="0.45">
      <c r="B36" s="4" t="s">
        <v>347</v>
      </c>
      <c r="C36" s="68">
        <v>1</v>
      </c>
      <c r="D36" s="68">
        <v>1</v>
      </c>
      <c r="E36" s="68">
        <v>1</v>
      </c>
    </row>
    <row r="37" spans="2:13" x14ac:dyDescent="0.45">
      <c r="B37" s="4" t="s">
        <v>348</v>
      </c>
      <c r="C37" s="68">
        <v>6</v>
      </c>
      <c r="D37" s="68">
        <v>6</v>
      </c>
      <c r="E37" s="68">
        <v>6</v>
      </c>
    </row>
    <row r="38" spans="2:13" x14ac:dyDescent="0.45">
      <c r="B38" s="4"/>
      <c r="C38" s="76"/>
      <c r="D38" s="76"/>
      <c r="E38" s="76"/>
    </row>
    <row r="39" spans="2:13" x14ac:dyDescent="0.45">
      <c r="B39" s="4"/>
      <c r="C39" s="5"/>
      <c r="D39" s="5"/>
      <c r="E39" s="5"/>
    </row>
    <row r="40" spans="2:13" x14ac:dyDescent="0.45">
      <c r="B40" s="4"/>
      <c r="C40" s="68"/>
      <c r="D40" s="68"/>
      <c r="E40" s="68"/>
    </row>
    <row r="41" spans="2:13" x14ac:dyDescent="0.45">
      <c r="B41" s="4"/>
      <c r="C41" s="67"/>
      <c r="D41" s="67"/>
      <c r="E41" s="67"/>
    </row>
    <row r="42" spans="2:13" x14ac:dyDescent="0.45">
      <c r="B42" s="4"/>
      <c r="C42" s="67"/>
      <c r="D42" s="68"/>
      <c r="E42" s="68"/>
    </row>
    <row r="43" spans="2:13" x14ac:dyDescent="0.45">
      <c r="B43" s="4" t="s">
        <v>23</v>
      </c>
      <c r="C43" s="38">
        <f>SUM(C35:C42)</f>
        <v>10.411764705882353</v>
      </c>
      <c r="D43" s="38">
        <f>SUM(D35:D42)</f>
        <v>10.176470588235293</v>
      </c>
      <c r="E43" s="38">
        <f>SUM(E35:E42)</f>
        <v>9.8235294117647065</v>
      </c>
    </row>
    <row r="44" spans="2:13" x14ac:dyDescent="0.45">
      <c r="B44" s="4" t="s">
        <v>1</v>
      </c>
      <c r="C44" s="9">
        <v>0.15</v>
      </c>
      <c r="D44" s="9">
        <v>0.15</v>
      </c>
      <c r="E44" s="9">
        <v>0.15</v>
      </c>
    </row>
    <row r="45" spans="2:13" x14ac:dyDescent="0.45">
      <c r="B45" s="4" t="s">
        <v>2</v>
      </c>
      <c r="C45" s="21">
        <f>C43*(1-C44)</f>
        <v>8.85</v>
      </c>
      <c r="D45" s="21">
        <f>D43*(1-D44)</f>
        <v>8.6499999999999986</v>
      </c>
      <c r="E45" s="21">
        <f>E43*(1-E44)</f>
        <v>8.35</v>
      </c>
      <c r="G45" s="2"/>
      <c r="H45" s="2"/>
      <c r="I45" s="2"/>
      <c r="J45" s="2"/>
      <c r="M45" s="2"/>
    </row>
    <row r="46" spans="2:13" x14ac:dyDescent="0.45">
      <c r="B46" s="4" t="s">
        <v>24</v>
      </c>
      <c r="C46" s="9">
        <v>0.2</v>
      </c>
      <c r="D46" s="9">
        <v>0.2</v>
      </c>
      <c r="E46" s="9">
        <v>0.2</v>
      </c>
      <c r="G46" s="3"/>
      <c r="H46" s="3"/>
      <c r="I46" s="3"/>
      <c r="J46" s="3"/>
      <c r="M46" s="3"/>
    </row>
    <row r="47" spans="2:13" x14ac:dyDescent="0.45">
      <c r="B47" s="4" t="s">
        <v>25</v>
      </c>
      <c r="C47" s="21">
        <f>C45*(1-C46)</f>
        <v>7.08</v>
      </c>
      <c r="D47" s="21">
        <f t="shared" ref="D47:E47" si="0">D45*(1-D46)</f>
        <v>6.919999999999999</v>
      </c>
      <c r="E47" s="21">
        <f t="shared" si="0"/>
        <v>6.68</v>
      </c>
    </row>
    <row r="48" spans="2:13" x14ac:dyDescent="0.45">
      <c r="B48" s="4" t="s">
        <v>29</v>
      </c>
      <c r="C48" s="10">
        <f>1-C47/C43</f>
        <v>0.32000000000000006</v>
      </c>
      <c r="D48" s="10">
        <f t="shared" ref="D48:E48" si="1">1-D47/D43</f>
        <v>0.32000000000000006</v>
      </c>
      <c r="E48" s="10">
        <f t="shared" si="1"/>
        <v>0.32000000000000006</v>
      </c>
      <c r="G48" s="2"/>
      <c r="H48" s="2"/>
      <c r="I48" s="2"/>
      <c r="J48" s="2"/>
      <c r="M48" s="2"/>
    </row>
    <row r="49" spans="2:13" x14ac:dyDescent="0.45">
      <c r="B49" s="4" t="s">
        <v>28</v>
      </c>
      <c r="C49" s="21">
        <f>C43-C47</f>
        <v>3.3317647058823532</v>
      </c>
      <c r="D49" s="21">
        <f t="shared" ref="D49:E49" si="2">D43-D47</f>
        <v>3.2564705882352944</v>
      </c>
      <c r="E49" s="21">
        <f t="shared" si="2"/>
        <v>3.1435294117647068</v>
      </c>
    </row>
    <row r="50" spans="2:13" x14ac:dyDescent="0.45">
      <c r="B50" s="25" t="s">
        <v>27</v>
      </c>
      <c r="C50" s="37">
        <v>0.6</v>
      </c>
      <c r="D50" s="37">
        <v>0.2</v>
      </c>
      <c r="E50" s="37">
        <v>0.15</v>
      </c>
    </row>
    <row r="51" spans="2:13" x14ac:dyDescent="0.45">
      <c r="B51" s="4" t="s">
        <v>59</v>
      </c>
      <c r="C51" s="23">
        <f>C50*C45</f>
        <v>5.31</v>
      </c>
      <c r="D51" s="23">
        <f>D50*D45</f>
        <v>1.7299999999999998</v>
      </c>
      <c r="E51" s="23">
        <f>E50*E45</f>
        <v>1.2524999999999999</v>
      </c>
    </row>
    <row r="52" spans="2:13" x14ac:dyDescent="0.45">
      <c r="B52" s="25" t="s">
        <v>26</v>
      </c>
      <c r="C52" s="53">
        <f>C51/SUM($C$51:$E$51)</f>
        <v>0.6403376545070848</v>
      </c>
      <c r="D52" s="53">
        <f>D51/SUM($C$51:$E$51)</f>
        <v>0.20862224902019899</v>
      </c>
      <c r="E52" s="53">
        <f>E51/SUM($C$51:$E$51)</f>
        <v>0.15104009647271632</v>
      </c>
    </row>
    <row r="53" spans="2:13" x14ac:dyDescent="0.45">
      <c r="D53" s="15"/>
    </row>
    <row r="54" spans="2:13" x14ac:dyDescent="0.45">
      <c r="B54" s="4" t="s">
        <v>37</v>
      </c>
      <c r="C54" s="26">
        <f>SUMPRODUCT(C50:E50,C47:E47)</f>
        <v>6.6339999999999995</v>
      </c>
      <c r="D54" s="15"/>
      <c r="G54" s="2"/>
    </row>
    <row r="55" spans="2:13" x14ac:dyDescent="0.45">
      <c r="B55" s="4" t="s">
        <v>87</v>
      </c>
      <c r="C55" s="26">
        <f>SUMPRODUCT(C43:E43,C50:E50)</f>
        <v>9.7558823529411747</v>
      </c>
      <c r="D55" s="15"/>
      <c r="E55" s="19"/>
      <c r="G55" s="2"/>
    </row>
    <row r="56" spans="2:13" x14ac:dyDescent="0.45">
      <c r="B56" s="4" t="s">
        <v>48</v>
      </c>
      <c r="C56" s="26">
        <f>SUMPRODUCT(C50:E50,C49:E49)</f>
        <v>3.121882352941177</v>
      </c>
      <c r="D56" s="8"/>
      <c r="E56" s="7"/>
      <c r="G56" s="2"/>
    </row>
    <row r="57" spans="2:13" x14ac:dyDescent="0.45">
      <c r="B57" s="4" t="s">
        <v>50</v>
      </c>
      <c r="C57" s="24">
        <f>C56/C55</f>
        <v>0.32000000000000012</v>
      </c>
      <c r="D57" s="8"/>
      <c r="E57" s="7"/>
      <c r="G57" s="19"/>
      <c r="H57" s="19"/>
      <c r="I57" s="19"/>
      <c r="J57" s="19"/>
      <c r="M57" s="19"/>
    </row>
    <row r="58" spans="2:13" x14ac:dyDescent="0.45">
      <c r="B58" s="4"/>
      <c r="C58" s="4"/>
      <c r="D58" s="15"/>
      <c r="G58" s="22"/>
      <c r="H58" s="22"/>
      <c r="I58" s="22"/>
      <c r="J58" s="22"/>
      <c r="M58" s="22"/>
    </row>
    <row r="59" spans="2:13" ht="42.75" x14ac:dyDescent="0.45">
      <c r="C59" s="58" t="s">
        <v>23</v>
      </c>
      <c r="D59" s="59" t="s">
        <v>27</v>
      </c>
      <c r="E59" s="58"/>
      <c r="F59" s="58"/>
      <c r="G59" s="22"/>
      <c r="H59" s="22"/>
      <c r="I59" s="22"/>
      <c r="J59" s="22"/>
      <c r="M59" s="22"/>
    </row>
    <row r="60" spans="2:13" x14ac:dyDescent="0.45">
      <c r="B60" s="4" t="s">
        <v>42</v>
      </c>
      <c r="C60" s="21">
        <f t="array" ref="C60:C62">TRANSPOSE(C43:E43)</f>
        <v>10.411764705882353</v>
      </c>
      <c r="D60" s="9">
        <f t="array" ref="D60:D62">TRANSPOSE(C50:E50)</f>
        <v>0.6</v>
      </c>
      <c r="G60" s="3"/>
      <c r="H60" s="3"/>
      <c r="I60" s="3"/>
      <c r="J60" s="3"/>
      <c r="K60" s="12"/>
      <c r="L60" s="27"/>
      <c r="M60" s="3"/>
    </row>
    <row r="61" spans="2:13" x14ac:dyDescent="0.45">
      <c r="B61" s="4" t="s">
        <v>43</v>
      </c>
      <c r="C61" s="21">
        <v>10.176470588235293</v>
      </c>
      <c r="D61" s="9">
        <v>0.2</v>
      </c>
      <c r="G61" s="3"/>
      <c r="H61" s="3"/>
      <c r="I61" s="3"/>
      <c r="J61" s="3"/>
      <c r="K61" s="12"/>
      <c r="L61" s="27"/>
      <c r="M61" s="3"/>
    </row>
    <row r="62" spans="2:13" x14ac:dyDescent="0.45">
      <c r="B62" s="4" t="s">
        <v>44</v>
      </c>
      <c r="C62" s="21">
        <v>9.8235294117647065</v>
      </c>
      <c r="D62" s="9">
        <v>0.15</v>
      </c>
      <c r="G62" s="3"/>
      <c r="H62" s="3"/>
      <c r="I62" s="3"/>
      <c r="J62" s="3"/>
      <c r="K62" s="12"/>
      <c r="L62" s="27"/>
      <c r="M62" s="3"/>
    </row>
    <row r="63" spans="2:13" x14ac:dyDescent="0.45">
      <c r="C63" s="15"/>
      <c r="D63" s="1"/>
      <c r="E63" s="1"/>
      <c r="G63" s="3"/>
      <c r="H63" s="3"/>
      <c r="I63" s="3"/>
      <c r="J63" s="3"/>
      <c r="K63" s="12"/>
      <c r="L63" s="27"/>
      <c r="M63" s="3"/>
    </row>
    <row r="64" spans="2:13" x14ac:dyDescent="0.45">
      <c r="B64" s="4" t="s">
        <v>34</v>
      </c>
      <c r="C64" s="58" t="s">
        <v>31</v>
      </c>
      <c r="D64" s="59" t="s">
        <v>32</v>
      </c>
      <c r="E64" s="58" t="s">
        <v>33</v>
      </c>
      <c r="F64" s="58"/>
      <c r="G64" s="3"/>
      <c r="H64" s="3"/>
      <c r="I64" s="3"/>
      <c r="J64" s="3"/>
      <c r="K64" s="12"/>
      <c r="L64" s="27"/>
      <c r="M64" s="3"/>
    </row>
    <row r="65" spans="2:13" x14ac:dyDescent="0.45">
      <c r="B65" t="s">
        <v>38</v>
      </c>
      <c r="C65" s="37">
        <v>0.75</v>
      </c>
      <c r="D65" s="37">
        <v>0.85</v>
      </c>
      <c r="E65" s="37">
        <v>0.35</v>
      </c>
      <c r="G65" s="3"/>
      <c r="H65" s="3"/>
      <c r="I65" s="3"/>
      <c r="J65" s="3"/>
      <c r="K65" s="12"/>
      <c r="L65" s="27"/>
      <c r="M65" s="3"/>
    </row>
    <row r="66" spans="2:13" x14ac:dyDescent="0.45">
      <c r="B66" t="s">
        <v>88</v>
      </c>
      <c r="C66" s="37">
        <v>0.25</v>
      </c>
      <c r="D66" s="37">
        <v>0.35</v>
      </c>
      <c r="E66" s="37">
        <v>0.45</v>
      </c>
      <c r="G66" s="3"/>
      <c r="H66" s="3"/>
      <c r="I66" s="3"/>
      <c r="J66" s="3"/>
      <c r="K66" s="12"/>
      <c r="L66" s="27"/>
      <c r="M66" s="3"/>
    </row>
    <row r="67" spans="2:13" x14ac:dyDescent="0.45">
      <c r="B67" t="s">
        <v>35</v>
      </c>
      <c r="C67" s="37">
        <v>0.35</v>
      </c>
      <c r="D67" s="39">
        <v>0.45</v>
      </c>
      <c r="E67" s="39">
        <v>0.65</v>
      </c>
      <c r="G67" s="3"/>
      <c r="H67" s="3"/>
      <c r="I67" s="3"/>
      <c r="J67" s="3"/>
      <c r="K67" s="12"/>
      <c r="L67" s="27"/>
      <c r="M67" s="3"/>
    </row>
    <row r="68" spans="2:13" x14ac:dyDescent="0.45">
      <c r="B68" t="s">
        <v>39</v>
      </c>
      <c r="C68" s="8">
        <f t="shared" ref="C68:E70" si="3">$C60*C$66</f>
        <v>2.6029411764705883</v>
      </c>
      <c r="D68" s="8">
        <f t="shared" si="3"/>
        <v>3.6441176470588235</v>
      </c>
      <c r="E68" s="8">
        <f t="shared" si="3"/>
        <v>4.6852941176470591</v>
      </c>
      <c r="G68" s="3"/>
      <c r="H68" s="3"/>
      <c r="I68" s="3"/>
      <c r="J68" s="3"/>
      <c r="K68" s="12"/>
      <c r="L68" s="27"/>
      <c r="M68" s="3"/>
    </row>
    <row r="69" spans="2:13" x14ac:dyDescent="0.45">
      <c r="B69" t="s">
        <v>40</v>
      </c>
      <c r="C69" s="8">
        <f t="shared" si="3"/>
        <v>2.5441176470588234</v>
      </c>
      <c r="D69" s="8">
        <f t="shared" si="3"/>
        <v>3.5617647058823523</v>
      </c>
      <c r="E69" s="8">
        <f t="shared" si="3"/>
        <v>4.5794117647058821</v>
      </c>
      <c r="K69" s="12"/>
      <c r="L69" s="28"/>
    </row>
    <row r="70" spans="2:13" x14ac:dyDescent="0.45">
      <c r="B70" t="s">
        <v>41</v>
      </c>
      <c r="C70" s="8">
        <f t="shared" si="3"/>
        <v>2.4558823529411766</v>
      </c>
      <c r="D70" s="8">
        <f t="shared" si="3"/>
        <v>3.4382352941176473</v>
      </c>
      <c r="E70" s="8">
        <f t="shared" si="3"/>
        <v>4.4205882352941179</v>
      </c>
      <c r="K70" s="16"/>
    </row>
    <row r="71" spans="2:13" x14ac:dyDescent="0.45">
      <c r="B71" t="s">
        <v>45</v>
      </c>
      <c r="C71" s="8">
        <f>SUMPRODUCT(C68:C70,$D$60:$D$62)*C65</f>
        <v>1.8292279411764703</v>
      </c>
      <c r="D71" s="8">
        <f>SUMPRODUCT(D68:D70,$D$60:$D$62)*D65</f>
        <v>2.9023749999999997</v>
      </c>
      <c r="E71" s="8">
        <f>SUMPRODUCT(E68:E70,$D$60:$D$62)*E65</f>
        <v>1.5365514705882353</v>
      </c>
      <c r="K71" s="16"/>
    </row>
    <row r="72" spans="2:13" x14ac:dyDescent="0.45">
      <c r="B72" t="s">
        <v>46</v>
      </c>
      <c r="C72" s="8">
        <f>C71*C67</f>
        <v>0.64022977941176451</v>
      </c>
      <c r="D72" s="8">
        <f>D71*D67</f>
        <v>1.3060687499999999</v>
      </c>
      <c r="E72" s="8">
        <f>E71*E67</f>
        <v>0.99875845588235301</v>
      </c>
      <c r="K72" s="16"/>
    </row>
    <row r="73" spans="2:13" s="32" customFormat="1" x14ac:dyDescent="0.45">
      <c r="B73"/>
      <c r="C73" s="15"/>
      <c r="D73" s="1"/>
      <c r="E73" s="1"/>
      <c r="F73"/>
      <c r="K73" s="33"/>
    </row>
    <row r="74" spans="2:13" s="32" customFormat="1" x14ac:dyDescent="0.45">
      <c r="B74" s="4" t="s">
        <v>36</v>
      </c>
      <c r="C74" s="26">
        <f>SUM(C71:E71)</f>
        <v>6.268154411764705</v>
      </c>
      <c r="D74" s="1"/>
      <c r="E74" s="1"/>
      <c r="F74"/>
      <c r="K74" s="33"/>
    </row>
    <row r="75" spans="2:13" s="32" customFormat="1" x14ac:dyDescent="0.45">
      <c r="B75" s="4" t="s">
        <v>47</v>
      </c>
      <c r="C75" s="26">
        <f>SUM(C72:E72)</f>
        <v>2.9450569852941175</v>
      </c>
      <c r="D75" s="1"/>
      <c r="E75" s="1"/>
      <c r="K75" s="33"/>
    </row>
    <row r="76" spans="2:13" s="32" customFormat="1" x14ac:dyDescent="0.45">
      <c r="B76" s="4" t="s">
        <v>49</v>
      </c>
      <c r="C76" s="24">
        <f>C75/C74</f>
        <v>0.46984435797665375</v>
      </c>
      <c r="D76" s="1"/>
      <c r="E76" s="1"/>
      <c r="K76" s="33"/>
    </row>
    <row r="77" spans="2:13" s="32" customFormat="1" x14ac:dyDescent="0.45">
      <c r="K77" s="33"/>
    </row>
    <row r="78" spans="2:13" s="32" customFormat="1" x14ac:dyDescent="0.45">
      <c r="B78" s="91" t="s">
        <v>89</v>
      </c>
      <c r="C78" s="91"/>
      <c r="D78" s="91"/>
      <c r="E78" s="91"/>
      <c r="F78" s="91"/>
      <c r="K78" s="33"/>
    </row>
    <row r="79" spans="2:13" s="32" customFormat="1" x14ac:dyDescent="0.45">
      <c r="B79" s="31"/>
      <c r="C79" s="10"/>
      <c r="D79" s="13"/>
      <c r="E79" s="13"/>
      <c r="K79" s="33"/>
    </row>
    <row r="80" spans="2:13" s="32" customFormat="1" x14ac:dyDescent="0.45">
      <c r="B80" s="31" t="s">
        <v>51</v>
      </c>
      <c r="C80" s="17">
        <f>(52-2)*5*8/12</f>
        <v>166.66666666666666</v>
      </c>
      <c r="D80" s="13"/>
      <c r="E80" s="13"/>
      <c r="K80" s="33"/>
    </row>
    <row r="81" spans="2:11" s="32" customFormat="1" x14ac:dyDescent="0.45">
      <c r="B81" s="31" t="s">
        <v>52</v>
      </c>
      <c r="C81" s="17">
        <f>C80*60</f>
        <v>10000</v>
      </c>
      <c r="D81" s="13"/>
      <c r="E81" s="13"/>
      <c r="K81" s="33"/>
    </row>
    <row r="82" spans="2:11" s="32" customFormat="1" x14ac:dyDescent="0.45">
      <c r="B82" s="34" t="s">
        <v>53</v>
      </c>
      <c r="C82" s="18">
        <v>10</v>
      </c>
      <c r="D82" s="13"/>
      <c r="E82" s="13"/>
      <c r="K82" s="33"/>
    </row>
    <row r="83" spans="2:11" s="32" customFormat="1" x14ac:dyDescent="0.45">
      <c r="B83" s="34" t="s">
        <v>98</v>
      </c>
      <c r="C83" s="18">
        <v>5</v>
      </c>
      <c r="D83" s="13"/>
      <c r="E83" s="13"/>
      <c r="K83" s="33"/>
    </row>
    <row r="84" spans="2:11" s="32" customFormat="1" x14ac:dyDescent="0.45">
      <c r="B84" s="34" t="s">
        <v>56</v>
      </c>
      <c r="C84" s="29">
        <v>0.5</v>
      </c>
      <c r="D84" s="13"/>
      <c r="E84" s="13"/>
      <c r="K84" s="33"/>
    </row>
    <row r="85" spans="2:11" s="32" customFormat="1" x14ac:dyDescent="0.45">
      <c r="B85" s="34" t="s">
        <v>96</v>
      </c>
      <c r="C85" s="5">
        <v>1500</v>
      </c>
      <c r="D85" s="13"/>
      <c r="E85" s="13"/>
      <c r="K85" s="33"/>
    </row>
    <row r="86" spans="2:11" s="32" customFormat="1" x14ac:dyDescent="0.45">
      <c r="B86" s="34" t="s">
        <v>97</v>
      </c>
      <c r="C86" s="5">
        <v>1000</v>
      </c>
      <c r="D86" s="13"/>
      <c r="E86" s="13"/>
      <c r="K86" s="33"/>
    </row>
    <row r="87" spans="2:11" s="32" customFormat="1" x14ac:dyDescent="0.45">
      <c r="B87" s="34" t="s">
        <v>101</v>
      </c>
      <c r="C87" s="5">
        <v>500</v>
      </c>
      <c r="D87" s="13"/>
      <c r="E87" s="13"/>
      <c r="K87" s="33"/>
    </row>
    <row r="88" spans="2:11" s="32" customFormat="1" x14ac:dyDescent="0.45">
      <c r="B88" s="34"/>
      <c r="C88" s="3"/>
      <c r="D88" s="13"/>
      <c r="E88" s="13"/>
      <c r="K88" s="33"/>
    </row>
    <row r="89" spans="2:11" s="32" customFormat="1" x14ac:dyDescent="0.45">
      <c r="B89" s="91" t="s">
        <v>103</v>
      </c>
      <c r="C89" s="91"/>
      <c r="D89" s="91"/>
      <c r="E89" s="91"/>
      <c r="F89" s="91"/>
      <c r="K89" s="33"/>
    </row>
    <row r="90" spans="2:11" s="32" customFormat="1" x14ac:dyDescent="0.45">
      <c r="B90" s="31"/>
      <c r="C90" s="10"/>
      <c r="D90" s="13"/>
      <c r="E90" s="13"/>
      <c r="K90" s="33"/>
    </row>
    <row r="91" spans="2:11" s="32" customFormat="1" x14ac:dyDescent="0.45">
      <c r="B91" s="31"/>
      <c r="C91" s="10"/>
      <c r="D91" s="13"/>
      <c r="E91" s="13"/>
      <c r="K91" s="33"/>
    </row>
    <row r="92" spans="2:11" s="32" customFormat="1" ht="28.5" x14ac:dyDescent="0.45">
      <c r="B92" s="31"/>
      <c r="C92" s="57" t="s">
        <v>110</v>
      </c>
      <c r="D92" s="57" t="s">
        <v>111</v>
      </c>
      <c r="E92" s="57" t="s">
        <v>112</v>
      </c>
      <c r="F92" s="57" t="s">
        <v>113</v>
      </c>
      <c r="K92" s="33"/>
    </row>
    <row r="93" spans="2:11" s="32" customFormat="1" x14ac:dyDescent="0.45">
      <c r="B93" s="31" t="s">
        <v>104</v>
      </c>
      <c r="C93" s="17"/>
      <c r="D93" s="5">
        <v>500</v>
      </c>
      <c r="E93" s="5">
        <v>500</v>
      </c>
      <c r="F93" s="60">
        <f>SUM(C93:E93)</f>
        <v>1000</v>
      </c>
      <c r="K93" s="33"/>
    </row>
    <row r="94" spans="2:11" s="32" customFormat="1" x14ac:dyDescent="0.45">
      <c r="B94" s="31" t="s">
        <v>105</v>
      </c>
      <c r="C94" s="17"/>
      <c r="D94" s="5">
        <v>500</v>
      </c>
      <c r="E94" s="5">
        <v>500</v>
      </c>
      <c r="F94" s="60">
        <f t="shared" ref="F94:F96" si="4">SUM(C94:E94)</f>
        <v>1000</v>
      </c>
      <c r="K94" s="33"/>
    </row>
    <row r="95" spans="2:11" s="32" customFormat="1" x14ac:dyDescent="0.45">
      <c r="B95" s="31" t="s">
        <v>106</v>
      </c>
      <c r="C95" s="17"/>
      <c r="D95" s="5">
        <v>500</v>
      </c>
      <c r="E95" s="5">
        <v>500</v>
      </c>
      <c r="F95" s="60">
        <f t="shared" si="4"/>
        <v>1000</v>
      </c>
      <c r="K95" s="33"/>
    </row>
    <row r="96" spans="2:11" s="32" customFormat="1" x14ac:dyDescent="0.45">
      <c r="B96" s="31" t="s">
        <v>107</v>
      </c>
      <c r="C96" s="17"/>
      <c r="D96" s="5">
        <v>500</v>
      </c>
      <c r="E96" s="5">
        <v>500</v>
      </c>
      <c r="F96" s="60">
        <f t="shared" si="4"/>
        <v>1000</v>
      </c>
      <c r="K96" s="33"/>
    </row>
    <row r="97" spans="2:43" x14ac:dyDescent="0.45">
      <c r="B97" s="34"/>
      <c r="C97" s="3"/>
    </row>
    <row r="98" spans="2:43" x14ac:dyDescent="0.45">
      <c r="B98" s="34"/>
      <c r="C98" s="3"/>
      <c r="D98" s="54" t="s">
        <v>75</v>
      </c>
      <c r="E98" s="54"/>
      <c r="F98" s="54"/>
      <c r="G98" s="54"/>
      <c r="H98" s="54"/>
      <c r="I98" s="92" t="s">
        <v>92</v>
      </c>
      <c r="J98" s="92"/>
      <c r="K98" s="92"/>
      <c r="L98" s="92"/>
      <c r="M98" s="92"/>
      <c r="N98" s="92"/>
      <c r="O98" s="66" t="s">
        <v>102</v>
      </c>
      <c r="P98" s="66"/>
      <c r="Q98" s="66"/>
      <c r="R98" s="66"/>
      <c r="S98" s="66"/>
      <c r="T98" s="66"/>
      <c r="U98" s="66"/>
      <c r="V98" s="66"/>
      <c r="W98" s="66"/>
      <c r="X98" s="66"/>
      <c r="Z98" s="91" t="s">
        <v>118</v>
      </c>
      <c r="AA98" s="91"/>
      <c r="AB98" s="91"/>
      <c r="AC98" s="91"/>
      <c r="AD98" s="91"/>
      <c r="AE98" s="91"/>
      <c r="AF98" s="91"/>
      <c r="AG98" s="91"/>
      <c r="AH98" s="91"/>
      <c r="AI98" s="92" t="s">
        <v>121</v>
      </c>
      <c r="AJ98" s="92"/>
      <c r="AK98" s="92"/>
      <c r="AL98" s="92"/>
      <c r="AM98" s="92"/>
      <c r="AN98" s="92"/>
      <c r="AO98" s="92"/>
      <c r="AP98" s="92"/>
      <c r="AQ98" s="92"/>
    </row>
    <row r="99" spans="2:43" ht="42.75" x14ac:dyDescent="0.45">
      <c r="B99" s="30"/>
      <c r="C99" s="58" t="s">
        <v>0</v>
      </c>
      <c r="D99" s="58" t="s">
        <v>4</v>
      </c>
      <c r="E99" s="58" t="s">
        <v>71</v>
      </c>
      <c r="F99" s="58" t="s">
        <v>72</v>
      </c>
      <c r="G99" s="58" t="s">
        <v>73</v>
      </c>
      <c r="H99" s="58" t="s">
        <v>74</v>
      </c>
      <c r="I99" s="58" t="s">
        <v>90</v>
      </c>
      <c r="J99" s="58" t="s">
        <v>91</v>
      </c>
      <c r="K99" s="64" t="s">
        <v>124</v>
      </c>
      <c r="L99" s="64" t="s">
        <v>125</v>
      </c>
      <c r="M99" s="58" t="s">
        <v>126</v>
      </c>
      <c r="N99" s="65" t="s">
        <v>123</v>
      </c>
      <c r="O99" s="58" t="s">
        <v>93</v>
      </c>
      <c r="P99" s="58" t="s">
        <v>54</v>
      </c>
      <c r="Q99" s="58" t="s">
        <v>55</v>
      </c>
      <c r="R99" s="58" t="s">
        <v>99</v>
      </c>
      <c r="S99" s="58" t="s">
        <v>100</v>
      </c>
      <c r="T99" s="58" t="s">
        <v>94</v>
      </c>
      <c r="U99" s="58" t="s">
        <v>95</v>
      </c>
      <c r="V99" s="65" t="s">
        <v>127</v>
      </c>
      <c r="W99" s="64" t="s">
        <v>128</v>
      </c>
      <c r="X99" s="64" t="s">
        <v>129</v>
      </c>
      <c r="Y99" s="58" t="s">
        <v>103</v>
      </c>
      <c r="Z99" s="58" t="s">
        <v>114</v>
      </c>
      <c r="AA99" s="58" t="s">
        <v>116</v>
      </c>
      <c r="AB99" s="58" t="s">
        <v>65</v>
      </c>
      <c r="AC99" s="58" t="s">
        <v>62</v>
      </c>
      <c r="AD99" s="58" t="s">
        <v>57</v>
      </c>
      <c r="AE99" s="58" t="s">
        <v>66</v>
      </c>
      <c r="AF99" s="58" t="s">
        <v>67</v>
      </c>
      <c r="AG99" s="58" t="s">
        <v>69</v>
      </c>
      <c r="AH99" s="58" t="s">
        <v>68</v>
      </c>
      <c r="AI99" s="58" t="s">
        <v>115</v>
      </c>
      <c r="AJ99" s="58" t="s">
        <v>117</v>
      </c>
      <c r="AK99" s="58" t="s">
        <v>65</v>
      </c>
      <c r="AL99" s="58" t="s">
        <v>62</v>
      </c>
      <c r="AM99" s="58" t="s">
        <v>57</v>
      </c>
      <c r="AN99" s="58" t="s">
        <v>66</v>
      </c>
      <c r="AO99" s="58" t="s">
        <v>67</v>
      </c>
      <c r="AP99" s="58" t="s">
        <v>69</v>
      </c>
      <c r="AQ99" s="58" t="s">
        <v>68</v>
      </c>
    </row>
    <row r="100" spans="2:43" x14ac:dyDescent="0.45">
      <c r="B100" s="4" t="str">
        <f t="shared" ref="B100:B112" si="5">IF($C$8=C100,$B$8,IF($C$9=C100,$B$9,""))</f>
        <v/>
      </c>
      <c r="C100">
        <v>0</v>
      </c>
      <c r="D100" s="3">
        <f t="shared" ref="D100:D112" si="6">IF($C$8=C100,$C$6,IF(C100&lt;$C$8,0,IF($C$9&lt;C100,$C$7,$C$6*(1+$C$12)^(C100-$C$8))))</f>
        <v>0</v>
      </c>
      <c r="E100" s="2">
        <f t="shared" ref="E100:E112" si="7">D100/$C$54</f>
        <v>0</v>
      </c>
      <c r="F100" s="3">
        <f t="shared" ref="F100:F112" si="8">E100*$C$55</f>
        <v>0</v>
      </c>
      <c r="G100" s="3">
        <f t="shared" ref="G100:G112" si="9">E100*$C$74</f>
        <v>0</v>
      </c>
      <c r="H100" s="12">
        <f t="shared" ref="H100:H112" si="10">F100+G100</f>
        <v>0</v>
      </c>
      <c r="I100" s="12">
        <f t="shared" ref="I100:I112" si="11">E100*$C$56</f>
        <v>0</v>
      </c>
      <c r="J100" s="12">
        <f t="shared" ref="J100:J112" si="12">E100*$C$75</f>
        <v>0</v>
      </c>
      <c r="K100" s="12">
        <f>I100+J100</f>
        <v>0</v>
      </c>
      <c r="L100" s="6" t="e">
        <f>K100/H100</f>
        <v>#DIV/0!</v>
      </c>
      <c r="M100" s="12">
        <f t="shared" ref="M100:M112" si="13">G100-J100</f>
        <v>0</v>
      </c>
      <c r="N100" s="12">
        <f t="shared" ref="N100:N112" si="14">D100+M100</f>
        <v>0</v>
      </c>
      <c r="O100" s="2">
        <v>0</v>
      </c>
      <c r="P100" s="23">
        <f t="shared" ref="P100:P112" si="15">(O100*$C$82)/$C$81</f>
        <v>0</v>
      </c>
      <c r="Q100" s="23">
        <f t="shared" ref="Q100:Q112" si="16">(E100*$C$83*$C$84)/$C$81</f>
        <v>0</v>
      </c>
      <c r="R100" s="55">
        <f>ROUNDUP(P100,0)</f>
        <v>0</v>
      </c>
      <c r="S100" s="55">
        <f>ROUNDUP(Q100,0)</f>
        <v>0</v>
      </c>
      <c r="T100" s="3">
        <f>R100*$C$85+S100*$C$86</f>
        <v>0</v>
      </c>
      <c r="U100" s="3">
        <v>0</v>
      </c>
      <c r="V100" s="12">
        <f t="shared" ref="V100:V112" si="17">D100+T100+U100</f>
        <v>0</v>
      </c>
      <c r="W100" s="12">
        <f t="shared" ref="W100:W112" si="18">H100-V100</f>
        <v>0</v>
      </c>
      <c r="X100" s="6" t="e">
        <f t="shared" ref="X100:X112" si="19">W100/H100</f>
        <v>#DIV/0!</v>
      </c>
      <c r="Y100" s="12">
        <f>F93</f>
        <v>1000</v>
      </c>
      <c r="Z100" s="12">
        <f t="shared" ref="Z100:Z112" si="20">H100-N100-Y100</f>
        <v>-1000</v>
      </c>
      <c r="AA100" s="12">
        <f>Z100</f>
        <v>-1000</v>
      </c>
      <c r="AD100" s="12">
        <f>Z100</f>
        <v>-1000</v>
      </c>
      <c r="AE100" s="1" t="str">
        <f>IFERROR(IRR(Z$100:Z100),"N/A")</f>
        <v>N/A</v>
      </c>
      <c r="AF100" s="1" t="str">
        <f>IFERROR(MIRR(Z$100:Z100,$C$15,$C$16),"N/A")</f>
        <v>N/A</v>
      </c>
      <c r="AG100" s="12">
        <f>MIN(Z$100:Z100)</f>
        <v>-1000</v>
      </c>
      <c r="AH100" s="12">
        <f>MIN(AA$100:AA100)</f>
        <v>-1000</v>
      </c>
      <c r="AI100" s="12">
        <f t="shared" ref="AI100:AI112" si="21">H100-V100-Y100</f>
        <v>-1000</v>
      </c>
      <c r="AJ100" s="12">
        <f>AI100</f>
        <v>-1000</v>
      </c>
      <c r="AM100" s="3">
        <f>AI100</f>
        <v>-1000</v>
      </c>
      <c r="AN100" s="62" t="str">
        <f>IFERROR(IRR(AI$100:AI100),"N/A")</f>
        <v>N/A</v>
      </c>
      <c r="AO100" s="62" t="str">
        <f>IFERROR(MIRR(AI$100:AI100,$C$15,$C$16),"N/A")</f>
        <v>N/A</v>
      </c>
      <c r="AP100" s="3">
        <f>MIN(AI$100:AI100)</f>
        <v>-1000</v>
      </c>
      <c r="AQ100" s="3">
        <f>MIN(AJ$100:AJ100)</f>
        <v>-1000</v>
      </c>
    </row>
    <row r="101" spans="2:43" x14ac:dyDescent="0.45">
      <c r="B101" s="4" t="str">
        <f t="shared" si="5"/>
        <v/>
      </c>
      <c r="C101">
        <v>1</v>
      </c>
      <c r="D101" s="3">
        <f t="shared" si="6"/>
        <v>0</v>
      </c>
      <c r="E101" s="2">
        <f t="shared" si="7"/>
        <v>0</v>
      </c>
      <c r="F101" s="3">
        <f t="shared" si="8"/>
        <v>0</v>
      </c>
      <c r="G101" s="3">
        <f t="shared" si="9"/>
        <v>0</v>
      </c>
      <c r="H101" s="12">
        <f t="shared" si="10"/>
        <v>0</v>
      </c>
      <c r="I101" s="12">
        <f t="shared" si="11"/>
        <v>0</v>
      </c>
      <c r="J101" s="12">
        <f t="shared" si="12"/>
        <v>0</v>
      </c>
      <c r="K101" s="12">
        <f t="shared" ref="K101:K112" si="22">I101+J101</f>
        <v>0</v>
      </c>
      <c r="L101" s="6" t="e">
        <f t="shared" ref="L101:L112" si="23">K101/H101</f>
        <v>#DIV/0!</v>
      </c>
      <c r="M101" s="12">
        <f t="shared" si="13"/>
        <v>0</v>
      </c>
      <c r="N101" s="12">
        <f t="shared" si="14"/>
        <v>0</v>
      </c>
      <c r="O101" s="2">
        <f t="shared" ref="O101:O112" si="24">E101-E100</f>
        <v>0</v>
      </c>
      <c r="P101" s="23">
        <f t="shared" si="15"/>
        <v>0</v>
      </c>
      <c r="Q101" s="23">
        <f t="shared" si="16"/>
        <v>0</v>
      </c>
      <c r="R101" s="55">
        <f t="shared" ref="R101:R112" si="25">ROUNDUP(P101,0)</f>
        <v>0</v>
      </c>
      <c r="S101" s="55">
        <f t="shared" ref="S101:S112" si="26">ROUNDUP(Q101,0)</f>
        <v>0</v>
      </c>
      <c r="T101" s="3">
        <f t="shared" ref="T101:T112" si="27">R101*$C$85+S101*$C$86</f>
        <v>0</v>
      </c>
      <c r="U101" s="3">
        <f t="shared" ref="U101:U112" si="28">$C$87</f>
        <v>500</v>
      </c>
      <c r="V101" s="12">
        <f t="shared" si="17"/>
        <v>500</v>
      </c>
      <c r="W101" s="12">
        <f t="shared" si="18"/>
        <v>-500</v>
      </c>
      <c r="X101" s="6" t="e">
        <f t="shared" si="19"/>
        <v>#DIV/0!</v>
      </c>
      <c r="Y101" s="12">
        <f t="shared" ref="Y101:Y103" si="29">F94</f>
        <v>1000</v>
      </c>
      <c r="Z101" s="12">
        <f t="shared" si="20"/>
        <v>-1000</v>
      </c>
      <c r="AA101" s="12">
        <f t="shared" ref="AA101:AA112" si="30">Z101+AA100</f>
        <v>-2000</v>
      </c>
      <c r="AB101" t="str">
        <f t="shared" ref="AB101:AB112" si="31">IF(AND(Z100&lt;0,Z101&gt;=0),"breakeven","")</f>
        <v/>
      </c>
      <c r="AC101" t="str">
        <f t="shared" ref="AC101:AC112" si="32">IF(AND(AA100&lt;0,AA101&gt;=0),"payback","")</f>
        <v/>
      </c>
      <c r="AD101" s="3">
        <f>NPV($C$15,Z$101:Z101)+$Z$100</f>
        <v>-1978.3735893325011</v>
      </c>
      <c r="AE101" s="1" t="str">
        <f>IFERROR(IRR(Z$100:Z101),"N/A")</f>
        <v>N/A</v>
      </c>
      <c r="AF101" s="1">
        <f>IFERROR(MIRR(Z$100:Z101,$C$15,$C$16),"N/A")</f>
        <v>-1</v>
      </c>
      <c r="AG101" s="12">
        <f>MIN(Z$100:Z101)</f>
        <v>-1000</v>
      </c>
      <c r="AH101" s="12">
        <f>MIN(AA$100:AA101)</f>
        <v>-2000</v>
      </c>
      <c r="AI101" s="12">
        <f t="shared" si="21"/>
        <v>-1500</v>
      </c>
      <c r="AJ101" s="12">
        <f t="shared" ref="AJ101:AJ112" si="33">AI101+AJ100</f>
        <v>-2500</v>
      </c>
      <c r="AK101" t="str">
        <f>IF(AND(AI100&lt;0,AI101&gt;=0),"breakeven","")</f>
        <v/>
      </c>
      <c r="AL101" t="str">
        <f>IF(AND(AJ100&lt;0,AJ101&gt;=0),"payback","")</f>
        <v/>
      </c>
      <c r="AM101" s="3">
        <f>NPV($C$15,AI$101:AI101)+$AI$100</f>
        <v>-2467.5603839987516</v>
      </c>
      <c r="AN101" s="62" t="str">
        <f>IFERROR(IRR(AI$100:AI101),"N/A")</f>
        <v>N/A</v>
      </c>
      <c r="AO101" s="62">
        <f>IFERROR(MIRR(AI$100:AI101,$C$15,$C$16),"N/A")</f>
        <v>-1</v>
      </c>
      <c r="AP101" s="3">
        <f>MIN(AI$100:AI101)</f>
        <v>-1500</v>
      </c>
      <c r="AQ101" s="3">
        <f>MIN(AJ$100:AJ101)</f>
        <v>-2500</v>
      </c>
    </row>
    <row r="102" spans="2:43" x14ac:dyDescent="0.45">
      <c r="B102" s="4" t="str">
        <f t="shared" si="5"/>
        <v/>
      </c>
      <c r="C102">
        <v>2</v>
      </c>
      <c r="D102" s="3">
        <f t="shared" si="6"/>
        <v>0</v>
      </c>
      <c r="E102" s="2">
        <f t="shared" si="7"/>
        <v>0</v>
      </c>
      <c r="F102" s="3">
        <f t="shared" si="8"/>
        <v>0</v>
      </c>
      <c r="G102" s="3">
        <f t="shared" si="9"/>
        <v>0</v>
      </c>
      <c r="H102" s="12">
        <f t="shared" si="10"/>
        <v>0</v>
      </c>
      <c r="I102" s="12">
        <f t="shared" si="11"/>
        <v>0</v>
      </c>
      <c r="J102" s="12">
        <f t="shared" si="12"/>
        <v>0</v>
      </c>
      <c r="K102" s="12">
        <f t="shared" si="22"/>
        <v>0</v>
      </c>
      <c r="L102" s="6" t="e">
        <f t="shared" si="23"/>
        <v>#DIV/0!</v>
      </c>
      <c r="M102" s="12">
        <f t="shared" si="13"/>
        <v>0</v>
      </c>
      <c r="N102" s="12">
        <f t="shared" si="14"/>
        <v>0</v>
      </c>
      <c r="O102" s="2">
        <f t="shared" si="24"/>
        <v>0</v>
      </c>
      <c r="P102" s="23">
        <f t="shared" si="15"/>
        <v>0</v>
      </c>
      <c r="Q102" s="23">
        <f t="shared" si="16"/>
        <v>0</v>
      </c>
      <c r="R102" s="55">
        <f t="shared" si="25"/>
        <v>0</v>
      </c>
      <c r="S102" s="55">
        <f t="shared" si="26"/>
        <v>0</v>
      </c>
      <c r="T102" s="3">
        <f t="shared" si="27"/>
        <v>0</v>
      </c>
      <c r="U102" s="3">
        <f t="shared" si="28"/>
        <v>500</v>
      </c>
      <c r="V102" s="12">
        <f t="shared" si="17"/>
        <v>500</v>
      </c>
      <c r="W102" s="12">
        <f t="shared" si="18"/>
        <v>-500</v>
      </c>
      <c r="X102" s="6" t="e">
        <f t="shared" si="19"/>
        <v>#DIV/0!</v>
      </c>
      <c r="Y102" s="12">
        <f t="shared" si="29"/>
        <v>1000</v>
      </c>
      <c r="Z102" s="12">
        <f t="shared" si="20"/>
        <v>-1000</v>
      </c>
      <c r="AA102" s="12">
        <f t="shared" si="30"/>
        <v>-3000</v>
      </c>
      <c r="AB102" t="str">
        <f t="shared" si="31"/>
        <v/>
      </c>
      <c r="AC102" t="str">
        <f t="shared" si="32"/>
        <v/>
      </c>
      <c r="AD102" s="3">
        <f>NPV($C$15,Z$101:Z102)+$Z$100</f>
        <v>-2935.5884696358626</v>
      </c>
      <c r="AE102" s="1" t="str">
        <f>IFERROR(IRR(Z$100:Z102),"N/A")</f>
        <v>N/A</v>
      </c>
      <c r="AF102" s="1">
        <f>IFERROR(MIRR(Z$100:Z102,$C$15,$C$16),"N/A")</f>
        <v>-1</v>
      </c>
      <c r="AG102" s="12">
        <f>MIN(Z$100:Z102)</f>
        <v>-1000</v>
      </c>
      <c r="AH102" s="12">
        <f>MIN(AA$100:AA102)</f>
        <v>-3000</v>
      </c>
      <c r="AI102" s="12">
        <f t="shared" si="21"/>
        <v>-1500</v>
      </c>
      <c r="AJ102" s="12">
        <f t="shared" si="33"/>
        <v>-4000</v>
      </c>
      <c r="AK102" t="str">
        <f t="shared" ref="AK102:AK112" si="34">IF(AND(AI101&lt;0,AI102&gt;=0),"breakeven","")</f>
        <v/>
      </c>
      <c r="AL102" t="str">
        <f t="shared" ref="AL102:AL112" si="35">IF(AND(AJ101&lt;0,AJ102&gt;=0),"payback","")</f>
        <v/>
      </c>
      <c r="AM102" s="3">
        <f>NPV($C$15,AI$101:AI102)+$AI$100</f>
        <v>-3903.3827044537938</v>
      </c>
      <c r="AN102" s="62" t="str">
        <f>IFERROR(IRR(AI$100:AI102),"N/A")</f>
        <v>N/A</v>
      </c>
      <c r="AO102" s="62">
        <f>IFERROR(MIRR(AI$100:AI102,$C$15,$C$16),"N/A")</f>
        <v>-1</v>
      </c>
      <c r="AP102" s="3">
        <f>MIN(AI$100:AI102)</f>
        <v>-1500</v>
      </c>
      <c r="AQ102" s="3">
        <f>MIN(AJ$100:AJ102)</f>
        <v>-4000</v>
      </c>
    </row>
    <row r="103" spans="2:43" x14ac:dyDescent="0.45">
      <c r="B103" s="4" t="str">
        <f t="shared" si="5"/>
        <v/>
      </c>
      <c r="C103">
        <v>3</v>
      </c>
      <c r="D103" s="3">
        <f t="shared" si="6"/>
        <v>0</v>
      </c>
      <c r="E103" s="2">
        <f t="shared" si="7"/>
        <v>0</v>
      </c>
      <c r="F103" s="3">
        <f t="shared" si="8"/>
        <v>0</v>
      </c>
      <c r="G103" s="3">
        <f t="shared" si="9"/>
        <v>0</v>
      </c>
      <c r="H103" s="12">
        <f t="shared" si="10"/>
        <v>0</v>
      </c>
      <c r="I103" s="12">
        <f t="shared" si="11"/>
        <v>0</v>
      </c>
      <c r="J103" s="12">
        <f t="shared" si="12"/>
        <v>0</v>
      </c>
      <c r="K103" s="12">
        <f t="shared" si="22"/>
        <v>0</v>
      </c>
      <c r="L103" s="6" t="e">
        <f t="shared" si="23"/>
        <v>#DIV/0!</v>
      </c>
      <c r="M103" s="12">
        <f t="shared" si="13"/>
        <v>0</v>
      </c>
      <c r="N103" s="12">
        <f t="shared" si="14"/>
        <v>0</v>
      </c>
      <c r="O103" s="2">
        <f t="shared" si="24"/>
        <v>0</v>
      </c>
      <c r="P103" s="23">
        <f t="shared" si="15"/>
        <v>0</v>
      </c>
      <c r="Q103" s="23">
        <f t="shared" si="16"/>
        <v>0</v>
      </c>
      <c r="R103" s="55">
        <f t="shared" si="25"/>
        <v>0</v>
      </c>
      <c r="S103" s="55">
        <f t="shared" si="26"/>
        <v>0</v>
      </c>
      <c r="T103" s="3">
        <f t="shared" si="27"/>
        <v>0</v>
      </c>
      <c r="U103" s="3">
        <f t="shared" si="28"/>
        <v>500</v>
      </c>
      <c r="V103" s="12">
        <f t="shared" si="17"/>
        <v>500</v>
      </c>
      <c r="W103" s="12">
        <f t="shared" si="18"/>
        <v>-500</v>
      </c>
      <c r="X103" s="6" t="e">
        <f t="shared" si="19"/>
        <v>#DIV/0!</v>
      </c>
      <c r="Y103" s="12">
        <f t="shared" si="29"/>
        <v>1000</v>
      </c>
      <c r="Z103" s="12">
        <f t="shared" si="20"/>
        <v>-1000</v>
      </c>
      <c r="AA103" s="12">
        <f t="shared" si="30"/>
        <v>-4000</v>
      </c>
      <c r="AB103" t="str">
        <f t="shared" si="31"/>
        <v/>
      </c>
      <c r="AC103" t="str">
        <f t="shared" si="32"/>
        <v/>
      </c>
      <c r="AD103" s="3">
        <f>NPV($C$15,Z$101:Z103)+$Z$100</f>
        <v>-3872.1022278407427</v>
      </c>
      <c r="AE103" s="1" t="str">
        <f>IFERROR(IRR(Z$100:Z103),"N/A")</f>
        <v>N/A</v>
      </c>
      <c r="AF103" s="1">
        <f>IFERROR(MIRR(Z$100:Z103,$C$15,$C$16),"N/A")</f>
        <v>-1</v>
      </c>
      <c r="AG103" s="12">
        <f>MIN(Z$100:Z103)</f>
        <v>-1000</v>
      </c>
      <c r="AH103" s="12">
        <f>MIN(AA$100:AA103)</f>
        <v>-4000</v>
      </c>
      <c r="AI103" s="12">
        <f t="shared" si="21"/>
        <v>-1500</v>
      </c>
      <c r="AJ103" s="12">
        <f t="shared" si="33"/>
        <v>-5500</v>
      </c>
      <c r="AK103" t="str">
        <f t="shared" si="34"/>
        <v/>
      </c>
      <c r="AL103" t="str">
        <f t="shared" si="35"/>
        <v/>
      </c>
      <c r="AM103" s="3">
        <f>NPV($C$15,AI$101:AI103)+$AI$100</f>
        <v>-5308.1533417611145</v>
      </c>
      <c r="AN103" s="62" t="str">
        <f>IFERROR(IRR(AI$100:AI103),"N/A")</f>
        <v>N/A</v>
      </c>
      <c r="AO103" s="62">
        <f>IFERROR(MIRR(AI$100:AI103,$C$15,$C$16),"N/A")</f>
        <v>-1</v>
      </c>
      <c r="AP103" s="3">
        <f>MIN(AI$100:AI103)</f>
        <v>-1500</v>
      </c>
      <c r="AQ103" s="3">
        <f>MIN(AJ$100:AJ103)</f>
        <v>-5500</v>
      </c>
    </row>
    <row r="104" spans="2:43" x14ac:dyDescent="0.45">
      <c r="B104" s="4" t="str">
        <f t="shared" si="5"/>
        <v>initial month of growth</v>
      </c>
      <c r="C104">
        <v>4</v>
      </c>
      <c r="D104" s="3">
        <f t="shared" si="6"/>
        <v>1000</v>
      </c>
      <c r="E104" s="2">
        <f t="shared" si="7"/>
        <v>150.73861923424784</v>
      </c>
      <c r="F104" s="3">
        <f t="shared" si="8"/>
        <v>1470.5882352941176</v>
      </c>
      <c r="G104" s="3">
        <f t="shared" si="9"/>
        <v>944.85294117647061</v>
      </c>
      <c r="H104" s="12">
        <f t="shared" si="10"/>
        <v>2415.4411764705883</v>
      </c>
      <c r="I104" s="12">
        <f t="shared" si="11"/>
        <v>470.58823529411779</v>
      </c>
      <c r="J104" s="12">
        <f t="shared" si="12"/>
        <v>443.93382352941182</v>
      </c>
      <c r="K104" s="12">
        <f t="shared" si="22"/>
        <v>914.52205882352962</v>
      </c>
      <c r="L104" s="6">
        <f t="shared" si="23"/>
        <v>0.37861491628614924</v>
      </c>
      <c r="M104" s="12">
        <f t="shared" si="13"/>
        <v>500.91911764705878</v>
      </c>
      <c r="N104" s="12">
        <f t="shared" si="14"/>
        <v>1500.9191176470588</v>
      </c>
      <c r="O104" s="2">
        <f t="shared" si="24"/>
        <v>150.73861923424784</v>
      </c>
      <c r="P104" s="23">
        <f t="shared" si="15"/>
        <v>0.15073861923424783</v>
      </c>
      <c r="Q104" s="23">
        <f t="shared" si="16"/>
        <v>3.7684654808561958E-2</v>
      </c>
      <c r="R104" s="55">
        <f t="shared" si="25"/>
        <v>1</v>
      </c>
      <c r="S104" s="55">
        <f t="shared" si="26"/>
        <v>1</v>
      </c>
      <c r="T104" s="3">
        <f t="shared" si="27"/>
        <v>2500</v>
      </c>
      <c r="U104" s="3">
        <f t="shared" si="28"/>
        <v>500</v>
      </c>
      <c r="V104" s="12">
        <f t="shared" si="17"/>
        <v>4000</v>
      </c>
      <c r="W104" s="12">
        <f t="shared" si="18"/>
        <v>-1584.5588235294117</v>
      </c>
      <c r="X104" s="6">
        <f t="shared" si="19"/>
        <v>-0.65601217656012167</v>
      </c>
      <c r="Y104" s="12"/>
      <c r="Z104" s="12">
        <f t="shared" si="20"/>
        <v>914.52205882352951</v>
      </c>
      <c r="AA104" s="12">
        <f t="shared" si="30"/>
        <v>-3085.4779411764703</v>
      </c>
      <c r="AB104" t="str">
        <f t="shared" si="31"/>
        <v>breakeven</v>
      </c>
      <c r="AC104" t="str">
        <f t="shared" si="32"/>
        <v/>
      </c>
      <c r="AD104" s="3">
        <f>NPV($C$15,Z$101:Z104)+$Z$100</f>
        <v>-3034.1619471065442</v>
      </c>
      <c r="AE104" s="1" t="str">
        <f>IFERROR(IRR(Z$100:Z104),"N/A")</f>
        <v>N/A</v>
      </c>
      <c r="AF104" s="1">
        <f>IFERROR(MIRR(Z$100:Z104,$C$15,$C$16),"N/A")</f>
        <v>-0.30287309755230696</v>
      </c>
      <c r="AG104" s="12">
        <f>MIN(Z$100:Z104)</f>
        <v>-1000</v>
      </c>
      <c r="AH104" s="12">
        <f>MIN(AA$100:AA104)</f>
        <v>-4000</v>
      </c>
      <c r="AI104" s="12">
        <f t="shared" si="21"/>
        <v>-1584.5588235294117</v>
      </c>
      <c r="AJ104" s="12">
        <f t="shared" si="33"/>
        <v>-7084.5588235294117</v>
      </c>
      <c r="AK104" t="str">
        <f t="shared" si="34"/>
        <v/>
      </c>
      <c r="AL104" t="str">
        <f t="shared" si="35"/>
        <v/>
      </c>
      <c r="AM104" s="3">
        <f>NPV($C$15,AI$101:AI104)+$AI$100</f>
        <v>-6760.0217276764488</v>
      </c>
      <c r="AN104" s="62" t="str">
        <f>IFERROR(IRR(AI$100:AI104),"N/A")</f>
        <v>N/A</v>
      </c>
      <c r="AO104" s="62">
        <f>IFERROR(MIRR(AI$100:AI104,$C$15,$C$16),"N/A")</f>
        <v>-1</v>
      </c>
      <c r="AP104" s="3">
        <f>MIN(AI$100:AI104)</f>
        <v>-1584.5588235294117</v>
      </c>
      <c r="AQ104" s="3">
        <f>MIN(AJ$100:AJ104)</f>
        <v>-7084.5588235294117</v>
      </c>
    </row>
    <row r="105" spans="2:43" x14ac:dyDescent="0.45">
      <c r="B105" s="4" t="str">
        <f t="shared" si="5"/>
        <v/>
      </c>
      <c r="C105">
        <v>5</v>
      </c>
      <c r="D105" s="3">
        <f t="shared" si="6"/>
        <v>1333.5214321633239</v>
      </c>
      <c r="E105" s="2">
        <f t="shared" si="7"/>
        <v>201.01317940357612</v>
      </c>
      <c r="F105" s="3">
        <f t="shared" si="8"/>
        <v>1961.0609296519467</v>
      </c>
      <c r="G105" s="3">
        <f t="shared" si="9"/>
        <v>1259.9816473013757</v>
      </c>
      <c r="H105" s="12">
        <f t="shared" si="10"/>
        <v>3221.0425769533222</v>
      </c>
      <c r="I105" s="12">
        <f t="shared" si="11"/>
        <v>627.53949748862317</v>
      </c>
      <c r="J105" s="12">
        <f t="shared" si="12"/>
        <v>591.99526813868147</v>
      </c>
      <c r="K105" s="12">
        <f t="shared" si="22"/>
        <v>1219.5347656273048</v>
      </c>
      <c r="L105" s="6">
        <f t="shared" si="23"/>
        <v>0.37861491628614929</v>
      </c>
      <c r="M105" s="12">
        <f t="shared" si="13"/>
        <v>667.98637916269422</v>
      </c>
      <c r="N105" s="12">
        <f t="shared" si="14"/>
        <v>2001.5078113260181</v>
      </c>
      <c r="O105" s="2">
        <f t="shared" si="24"/>
        <v>50.274560169328282</v>
      </c>
      <c r="P105" s="23">
        <f t="shared" si="15"/>
        <v>5.0274560169328283E-2</v>
      </c>
      <c r="Q105" s="23">
        <f t="shared" si="16"/>
        <v>5.0253294850894033E-2</v>
      </c>
      <c r="R105" s="55">
        <f t="shared" si="25"/>
        <v>1</v>
      </c>
      <c r="S105" s="55">
        <f t="shared" si="26"/>
        <v>1</v>
      </c>
      <c r="T105" s="3">
        <f t="shared" si="27"/>
        <v>2500</v>
      </c>
      <c r="U105" s="3">
        <f t="shared" si="28"/>
        <v>500</v>
      </c>
      <c r="V105" s="12">
        <f t="shared" si="17"/>
        <v>4333.5214321633239</v>
      </c>
      <c r="W105" s="12">
        <f t="shared" si="18"/>
        <v>-1112.4788552100017</v>
      </c>
      <c r="X105" s="6">
        <f t="shared" si="19"/>
        <v>-0.34537850047988461</v>
      </c>
      <c r="Y105" s="12"/>
      <c r="Z105" s="12">
        <f t="shared" si="20"/>
        <v>1219.5347656273041</v>
      </c>
      <c r="AA105" s="12">
        <f t="shared" si="30"/>
        <v>-1865.9431755491662</v>
      </c>
      <c r="AB105" t="str">
        <f t="shared" si="31"/>
        <v/>
      </c>
      <c r="AC105" t="str">
        <f t="shared" si="32"/>
        <v/>
      </c>
      <c r="AD105" s="3">
        <f>NPV($C$15,Z$101:Z105)+$Z$100</f>
        <v>-1940.9162200352675</v>
      </c>
      <c r="AE105" s="1">
        <f>IFERROR(IRR(Z$100:Z105),"N/A")</f>
        <v>-0.19092057932185058</v>
      </c>
      <c r="AF105" s="1">
        <f>IFERROR(MIRR(Z$100:Z105,$C$15,$C$16),"N/A")</f>
        <v>-0.11195939222480777</v>
      </c>
      <c r="AG105" s="12">
        <f>MIN(Z$100:Z105)</f>
        <v>-1000</v>
      </c>
      <c r="AH105" s="12">
        <f>MIN(AA$100:AA105)</f>
        <v>-4000</v>
      </c>
      <c r="AI105" s="12">
        <f t="shared" si="21"/>
        <v>-1112.4788552100017</v>
      </c>
      <c r="AJ105" s="12">
        <f t="shared" si="33"/>
        <v>-8197.0376787394125</v>
      </c>
      <c r="AK105" t="str">
        <f t="shared" si="34"/>
        <v/>
      </c>
      <c r="AL105" t="str">
        <f t="shared" si="35"/>
        <v/>
      </c>
      <c r="AM105" s="3">
        <f>NPV($C$15,AI$101:AI105)+$AI$100</f>
        <v>-7757.2977293080094</v>
      </c>
      <c r="AN105" s="62" t="str">
        <f>IFERROR(IRR(AI$100:AI105),"N/A")</f>
        <v>N/A</v>
      </c>
      <c r="AO105" s="62">
        <f>IFERROR(MIRR(AI$100:AI105,$C$15,$C$16),"N/A")</f>
        <v>-1</v>
      </c>
      <c r="AP105" s="3">
        <f>MIN(AI$100:AI105)</f>
        <v>-1584.5588235294117</v>
      </c>
      <c r="AQ105" s="3">
        <f>MIN(AJ$100:AJ105)</f>
        <v>-8197.0376787394125</v>
      </c>
    </row>
    <row r="106" spans="2:43" x14ac:dyDescent="0.45">
      <c r="B106" s="4" t="str">
        <f t="shared" si="5"/>
        <v/>
      </c>
      <c r="C106">
        <v>6</v>
      </c>
      <c r="D106" s="3">
        <f t="shared" si="6"/>
        <v>1778.2794100389228</v>
      </c>
      <c r="E106" s="2">
        <f t="shared" si="7"/>
        <v>268.05538288196004</v>
      </c>
      <c r="F106" s="3">
        <f t="shared" si="8"/>
        <v>2615.1167794690036</v>
      </c>
      <c r="G106" s="3">
        <f t="shared" si="9"/>
        <v>1680.212530808835</v>
      </c>
      <c r="H106" s="12">
        <f t="shared" si="10"/>
        <v>4295.3293102778389</v>
      </c>
      <c r="I106" s="12">
        <f t="shared" si="11"/>
        <v>836.83736943008148</v>
      </c>
      <c r="J106" s="12">
        <f t="shared" si="12"/>
        <v>789.43837780220565</v>
      </c>
      <c r="K106" s="12">
        <f t="shared" si="22"/>
        <v>1626.2757472322871</v>
      </c>
      <c r="L106" s="6">
        <f t="shared" si="23"/>
        <v>0.37861491628614924</v>
      </c>
      <c r="M106" s="12">
        <f t="shared" si="13"/>
        <v>890.77415300662938</v>
      </c>
      <c r="N106" s="12">
        <f t="shared" si="14"/>
        <v>2669.0535630455524</v>
      </c>
      <c r="O106" s="2">
        <f t="shared" si="24"/>
        <v>67.042203478383925</v>
      </c>
      <c r="P106" s="23">
        <f t="shared" si="15"/>
        <v>6.7042203478383924E-2</v>
      </c>
      <c r="Q106" s="23">
        <f t="shared" si="16"/>
        <v>6.7013845720490003E-2</v>
      </c>
      <c r="R106" s="55">
        <f t="shared" si="25"/>
        <v>1</v>
      </c>
      <c r="S106" s="55">
        <f t="shared" si="26"/>
        <v>1</v>
      </c>
      <c r="T106" s="3">
        <f t="shared" si="27"/>
        <v>2500</v>
      </c>
      <c r="U106" s="3">
        <f t="shared" si="28"/>
        <v>500</v>
      </c>
      <c r="V106" s="12">
        <f t="shared" si="17"/>
        <v>4778.2794100389228</v>
      </c>
      <c r="W106" s="12">
        <f t="shared" si="18"/>
        <v>-482.95009976108395</v>
      </c>
      <c r="X106" s="6">
        <f t="shared" si="19"/>
        <v>-0.11243610556366046</v>
      </c>
      <c r="Y106" s="12"/>
      <c r="Z106" s="12">
        <f t="shared" si="20"/>
        <v>1626.2757472322864</v>
      </c>
      <c r="AA106" s="12">
        <f t="shared" si="30"/>
        <v>-239.66742831687975</v>
      </c>
      <c r="AB106" t="str">
        <f t="shared" si="31"/>
        <v/>
      </c>
      <c r="AC106" t="str">
        <f t="shared" si="32"/>
        <v/>
      </c>
      <c r="AD106" s="3">
        <f>NPV($C$15,Z$101:Z106)+$Z$100</f>
        <v>-514.57803432066021</v>
      </c>
      <c r="AE106" s="1">
        <f>IFERROR(IRR(Z$100:Z106),"N/A")</f>
        <v>-1.6631148424513964E-2</v>
      </c>
      <c r="AF106" s="1">
        <f>IFERROR(MIRR(Z$100:Z106,$C$15,$C$16),"N/A")</f>
        <v>-4.2154185068984384E-3</v>
      </c>
      <c r="AG106" s="12">
        <f>MIN(Z$100:Z106)</f>
        <v>-1000</v>
      </c>
      <c r="AH106" s="12">
        <f>MIN(AA$100:AA106)</f>
        <v>-4000</v>
      </c>
      <c r="AI106" s="12">
        <f t="shared" si="21"/>
        <v>-482.95009976108395</v>
      </c>
      <c r="AJ106" s="12">
        <f t="shared" si="33"/>
        <v>-8679.9877785004974</v>
      </c>
      <c r="AK106" t="str">
        <f t="shared" si="34"/>
        <v/>
      </c>
      <c r="AL106" t="str">
        <f t="shared" si="35"/>
        <v/>
      </c>
      <c r="AM106" s="3">
        <f>NPV($C$15,AI$101:AI106)+$AI$100</f>
        <v>-8180.8729872285976</v>
      </c>
      <c r="AN106" s="62" t="str">
        <f>IFERROR(IRR(AI$100:AI106),"N/A")</f>
        <v>N/A</v>
      </c>
      <c r="AO106" s="62">
        <f>IFERROR(MIRR(AI$100:AI106,$C$15,$C$16),"N/A")</f>
        <v>-1</v>
      </c>
      <c r="AP106" s="3">
        <f>MIN(AI$100:AI106)</f>
        <v>-1584.5588235294117</v>
      </c>
      <c r="AQ106" s="3">
        <f>MIN(AJ$100:AJ106)</f>
        <v>-8679.9877785004974</v>
      </c>
    </row>
    <row r="107" spans="2:43" x14ac:dyDescent="0.45">
      <c r="B107" s="4" t="str">
        <f t="shared" si="5"/>
        <v/>
      </c>
      <c r="C107">
        <v>7</v>
      </c>
      <c r="D107" s="3">
        <f t="shared" si="6"/>
        <v>2371.3737056616551</v>
      </c>
      <c r="E107" s="2">
        <f t="shared" si="7"/>
        <v>357.4575980798395</v>
      </c>
      <c r="F107" s="3">
        <f t="shared" si="8"/>
        <v>3487.3142730318455</v>
      </c>
      <c r="G107" s="3">
        <f t="shared" si="9"/>
        <v>2240.5994204229605</v>
      </c>
      <c r="H107" s="12">
        <f t="shared" si="10"/>
        <v>5727.913693454806</v>
      </c>
      <c r="I107" s="12">
        <f t="shared" si="11"/>
        <v>1115.9405673701908</v>
      </c>
      <c r="J107" s="12">
        <f t="shared" si="12"/>
        <v>1052.7329961714884</v>
      </c>
      <c r="K107" s="12">
        <f t="shared" si="22"/>
        <v>2168.673563541679</v>
      </c>
      <c r="L107" s="6">
        <f t="shared" si="23"/>
        <v>0.37861491628614918</v>
      </c>
      <c r="M107" s="12">
        <f t="shared" si="13"/>
        <v>1187.8664242514722</v>
      </c>
      <c r="N107" s="12">
        <f t="shared" si="14"/>
        <v>3559.240129913127</v>
      </c>
      <c r="O107" s="2">
        <f t="shared" si="24"/>
        <v>89.402215197879457</v>
      </c>
      <c r="P107" s="23">
        <f t="shared" si="15"/>
        <v>8.9402215197879456E-2</v>
      </c>
      <c r="Q107" s="23">
        <f t="shared" si="16"/>
        <v>8.9364399519959878E-2</v>
      </c>
      <c r="R107" s="55">
        <f t="shared" si="25"/>
        <v>1</v>
      </c>
      <c r="S107" s="55">
        <f t="shared" si="26"/>
        <v>1</v>
      </c>
      <c r="T107" s="3">
        <f t="shared" si="27"/>
        <v>2500</v>
      </c>
      <c r="U107" s="3">
        <f t="shared" si="28"/>
        <v>500</v>
      </c>
      <c r="V107" s="12">
        <f t="shared" si="17"/>
        <v>5371.3737056616555</v>
      </c>
      <c r="W107" s="12">
        <f t="shared" si="18"/>
        <v>356.53998779315043</v>
      </c>
      <c r="X107" s="6">
        <f t="shared" si="19"/>
        <v>6.2246047492049837E-2</v>
      </c>
      <c r="Y107" s="12"/>
      <c r="Z107" s="12">
        <f t="shared" si="20"/>
        <v>2168.673563541679</v>
      </c>
      <c r="AA107" s="12">
        <f t="shared" si="30"/>
        <v>1929.0061352247992</v>
      </c>
      <c r="AB107" t="str">
        <f t="shared" si="31"/>
        <v/>
      </c>
      <c r="AC107" t="str">
        <f t="shared" si="32"/>
        <v>payback</v>
      </c>
      <c r="AD107" s="3">
        <f>NPV($C$15,Z$101:Z107)+$Z$100</f>
        <v>1346.3399364979882</v>
      </c>
      <c r="AE107" s="1">
        <f>IFERROR(IRR(Z$100:Z107),"N/A")</f>
        <v>9.4588441034505699E-2</v>
      </c>
      <c r="AF107" s="1">
        <f>IFERROR(MIRR(Z$100:Z107,$C$15,$C$16),"N/A")</f>
        <v>6.3605089397988035E-2</v>
      </c>
      <c r="AG107" s="12">
        <f>MIN(Z$100:Z107)</f>
        <v>-1000</v>
      </c>
      <c r="AH107" s="12">
        <f>MIN(AA$100:AA107)</f>
        <v>-4000</v>
      </c>
      <c r="AI107" s="12">
        <f t="shared" si="21"/>
        <v>356.53998779315043</v>
      </c>
      <c r="AJ107" s="12">
        <f t="shared" si="33"/>
        <v>-8323.4477907073469</v>
      </c>
      <c r="AK107" t="str">
        <f t="shared" si="34"/>
        <v>breakeven</v>
      </c>
      <c r="AL107" t="str">
        <f t="shared" si="35"/>
        <v/>
      </c>
      <c r="AM107" s="3">
        <f>NPV($C$15,AI$101:AI107)+$AI$100</f>
        <v>-7874.9294456306716</v>
      </c>
      <c r="AN107" s="62" t="str">
        <f>IFERROR(IRR(AI$100:AI107),"N/A")</f>
        <v>N/A</v>
      </c>
      <c r="AO107" s="62">
        <f>IFERROR(MIRR(AI$100:AI107,$C$15,$C$16),"N/A")</f>
        <v>-0.360831279222665</v>
      </c>
      <c r="AP107" s="3">
        <f>MIN(AI$100:AI107)</f>
        <v>-1584.5588235294117</v>
      </c>
      <c r="AQ107" s="3">
        <f>MIN(AJ$100:AJ107)</f>
        <v>-8679.9877785004974</v>
      </c>
    </row>
    <row r="108" spans="2:43" x14ac:dyDescent="0.45">
      <c r="B108" s="4" t="str">
        <f t="shared" si="5"/>
        <v/>
      </c>
      <c r="C108">
        <v>8</v>
      </c>
      <c r="D108" s="3">
        <f t="shared" si="6"/>
        <v>3162.277660168379</v>
      </c>
      <c r="E108" s="2">
        <f t="shared" si="7"/>
        <v>476.67736812908942</v>
      </c>
      <c r="F108" s="3">
        <f t="shared" si="8"/>
        <v>4650.4083237770274</v>
      </c>
      <c r="G108" s="3">
        <f t="shared" si="9"/>
        <v>2987.8873480267403</v>
      </c>
      <c r="H108" s="12">
        <f t="shared" si="10"/>
        <v>7638.2956718037676</v>
      </c>
      <c r="I108" s="12">
        <f t="shared" si="11"/>
        <v>1488.1306636086492</v>
      </c>
      <c r="J108" s="12">
        <f t="shared" si="12"/>
        <v>1403.8420127401903</v>
      </c>
      <c r="K108" s="12">
        <f t="shared" si="22"/>
        <v>2891.9726763488397</v>
      </c>
      <c r="L108" s="6">
        <f t="shared" si="23"/>
        <v>0.37861491628614924</v>
      </c>
      <c r="M108" s="12">
        <f t="shared" si="13"/>
        <v>1584.04533528655</v>
      </c>
      <c r="N108" s="12">
        <f t="shared" si="14"/>
        <v>4746.3229954549288</v>
      </c>
      <c r="O108" s="2">
        <f t="shared" si="24"/>
        <v>119.21977004924992</v>
      </c>
      <c r="P108" s="23">
        <f t="shared" si="15"/>
        <v>0.11921977004924993</v>
      </c>
      <c r="Q108" s="23">
        <f t="shared" si="16"/>
        <v>0.11916934203227236</v>
      </c>
      <c r="R108" s="55">
        <f t="shared" si="25"/>
        <v>1</v>
      </c>
      <c r="S108" s="55">
        <f t="shared" si="26"/>
        <v>1</v>
      </c>
      <c r="T108" s="3">
        <f t="shared" si="27"/>
        <v>2500</v>
      </c>
      <c r="U108" s="3">
        <f t="shared" si="28"/>
        <v>500</v>
      </c>
      <c r="V108" s="12">
        <f t="shared" si="17"/>
        <v>6162.277660168379</v>
      </c>
      <c r="W108" s="12">
        <f t="shared" si="18"/>
        <v>1476.0180116353886</v>
      </c>
      <c r="X108" s="6">
        <f t="shared" si="19"/>
        <v>0.19323918254225292</v>
      </c>
      <c r="Y108" s="12"/>
      <c r="Z108" s="12">
        <f t="shared" si="20"/>
        <v>2891.9726763488388</v>
      </c>
      <c r="AA108" s="12">
        <f t="shared" si="30"/>
        <v>4820.9788115736383</v>
      </c>
      <c r="AB108" t="str">
        <f t="shared" si="31"/>
        <v/>
      </c>
      <c r="AC108" t="str">
        <f t="shared" si="32"/>
        <v/>
      </c>
      <c r="AD108" s="3">
        <f>NPV($C$15,Z$101:Z108)+$Z$100</f>
        <v>3774.2463957089885</v>
      </c>
      <c r="AE108" s="1">
        <f>IFERROR(IRR(Z$100:Z108),"N/A")</f>
        <v>0.17109087013523272</v>
      </c>
      <c r="AF108" s="1">
        <f>IFERROR(MIRR(Z$100:Z108,$C$15,$C$16),"N/A")</f>
        <v>0.10937418230669338</v>
      </c>
      <c r="AG108" s="12">
        <f>MIN(Z$100:Z108)</f>
        <v>-1000</v>
      </c>
      <c r="AH108" s="12">
        <f>MIN(AA$100:AA108)</f>
        <v>-4000</v>
      </c>
      <c r="AI108" s="12">
        <f t="shared" si="21"/>
        <v>1476.0180116353886</v>
      </c>
      <c r="AJ108" s="12">
        <f t="shared" si="33"/>
        <v>-6847.4297790719584</v>
      </c>
      <c r="AK108" t="str">
        <f t="shared" si="34"/>
        <v/>
      </c>
      <c r="AL108" t="str">
        <f t="shared" si="35"/>
        <v/>
      </c>
      <c r="AM108" s="3">
        <f>NPV($C$15,AI$101:AI108)+$AI$100</f>
        <v>-6635.7636355007744</v>
      </c>
      <c r="AN108" s="62" t="str">
        <f>IFERROR(IRR(AI$100:AI108),"N/A")</f>
        <v>N/A</v>
      </c>
      <c r="AO108" s="62">
        <f>IFERROR(MIRR(AI$100:AI108,$C$15,$C$16),"N/A")</f>
        <v>-0.17046704037414062</v>
      </c>
      <c r="AP108" s="3">
        <f>MIN(AI$100:AI108)</f>
        <v>-1584.5588235294117</v>
      </c>
      <c r="AQ108" s="3">
        <f>MIN(AJ$100:AJ108)</f>
        <v>-8679.9877785004974</v>
      </c>
    </row>
    <row r="109" spans="2:43" x14ac:dyDescent="0.45">
      <c r="B109" s="4" t="str">
        <f t="shared" si="5"/>
        <v/>
      </c>
      <c r="C109">
        <v>9</v>
      </c>
      <c r="D109" s="3">
        <f t="shared" si="6"/>
        <v>4216.9650342858222</v>
      </c>
      <c r="E109" s="2">
        <f t="shared" si="7"/>
        <v>635.65948662734741</v>
      </c>
      <c r="F109" s="3">
        <f t="shared" si="8"/>
        <v>6201.4191680673848</v>
      </c>
      <c r="G109" s="3">
        <f t="shared" si="9"/>
        <v>3984.411815483295</v>
      </c>
      <c r="H109" s="12">
        <f t="shared" si="10"/>
        <v>10185.830983550681</v>
      </c>
      <c r="I109" s="12">
        <f t="shared" si="11"/>
        <v>1984.454133781564</v>
      </c>
      <c r="J109" s="12">
        <f t="shared" si="12"/>
        <v>1872.0534113603421</v>
      </c>
      <c r="K109" s="12">
        <f t="shared" si="22"/>
        <v>3856.5075451419061</v>
      </c>
      <c r="L109" s="6">
        <f t="shared" si="23"/>
        <v>0.37861491628614924</v>
      </c>
      <c r="M109" s="12">
        <f t="shared" si="13"/>
        <v>2112.3584041229528</v>
      </c>
      <c r="N109" s="12">
        <f t="shared" si="14"/>
        <v>6329.3234384087755</v>
      </c>
      <c r="O109" s="2">
        <f t="shared" si="24"/>
        <v>158.98211849825799</v>
      </c>
      <c r="P109" s="23">
        <f t="shared" si="15"/>
        <v>0.15898211849825797</v>
      </c>
      <c r="Q109" s="23">
        <f t="shared" si="16"/>
        <v>0.15891487165683685</v>
      </c>
      <c r="R109" s="55">
        <f t="shared" si="25"/>
        <v>1</v>
      </c>
      <c r="S109" s="55">
        <f t="shared" si="26"/>
        <v>1</v>
      </c>
      <c r="T109" s="3">
        <f t="shared" si="27"/>
        <v>2500</v>
      </c>
      <c r="U109" s="3">
        <f t="shared" si="28"/>
        <v>500</v>
      </c>
      <c r="V109" s="12">
        <f t="shared" si="17"/>
        <v>7216.9650342858222</v>
      </c>
      <c r="W109" s="12">
        <f t="shared" si="18"/>
        <v>2968.8659492648585</v>
      </c>
      <c r="X109" s="6">
        <f t="shared" si="19"/>
        <v>0.29147017597870456</v>
      </c>
      <c r="Y109" s="12"/>
      <c r="Z109" s="12">
        <f t="shared" si="20"/>
        <v>3856.5075451419052</v>
      </c>
      <c r="AA109" s="12">
        <f t="shared" si="30"/>
        <v>8677.4863567155444</v>
      </c>
      <c r="AB109" t="str">
        <f t="shared" si="31"/>
        <v/>
      </c>
      <c r="AC109" t="str">
        <f t="shared" si="32"/>
        <v/>
      </c>
      <c r="AD109" s="3">
        <f>NPV($C$15,Z$101:Z109)+$Z$100</f>
        <v>6941.8926150022062</v>
      </c>
      <c r="AE109" s="1">
        <f>IFERROR(IRR(Z$100:Z109),"N/A")</f>
        <v>0.22630609779732791</v>
      </c>
      <c r="AF109" s="1">
        <f>IFERROR(MIRR(Z$100:Z109,$C$15,$C$16),"N/A")</f>
        <v>0.14190957692103101</v>
      </c>
      <c r="AG109" s="12">
        <f>MIN(Z$100:Z109)</f>
        <v>-1000</v>
      </c>
      <c r="AH109" s="12">
        <f>MIN(AA$100:AA109)</f>
        <v>-4000</v>
      </c>
      <c r="AI109" s="12">
        <f t="shared" si="21"/>
        <v>2968.8659492648585</v>
      </c>
      <c r="AJ109" s="12">
        <f t="shared" si="33"/>
        <v>-3878.5638298070999</v>
      </c>
      <c r="AK109" t="str">
        <f t="shared" si="34"/>
        <v/>
      </c>
      <c r="AL109" t="str">
        <f t="shared" si="35"/>
        <v/>
      </c>
      <c r="AM109" s="3">
        <f>NPV($C$15,AI$101:AI109)+$AI$100</f>
        <v>-4197.2057201600037</v>
      </c>
      <c r="AN109" s="62">
        <f>IFERROR(IRR(AI$100:AI109),"N/A")</f>
        <v>-9.9262030541929502E-2</v>
      </c>
      <c r="AO109" s="62">
        <f>IFERROR(MIRR(AI$100:AI109,$C$15,$C$16),"N/A")</f>
        <v>-5.7258433186719748E-2</v>
      </c>
      <c r="AP109" s="3">
        <f>MIN(AI$100:AI109)</f>
        <v>-1584.5588235294117</v>
      </c>
      <c r="AQ109" s="3">
        <f>MIN(AJ$100:AJ109)</f>
        <v>-8679.9877785004974</v>
      </c>
    </row>
    <row r="110" spans="2:43" x14ac:dyDescent="0.45">
      <c r="B110" s="4" t="str">
        <f t="shared" si="5"/>
        <v/>
      </c>
      <c r="C110">
        <v>10</v>
      </c>
      <c r="D110" s="3">
        <f t="shared" si="6"/>
        <v>5623.4132519034902</v>
      </c>
      <c r="E110" s="2">
        <f t="shared" si="7"/>
        <v>847.66554897550361</v>
      </c>
      <c r="F110" s="3">
        <f t="shared" si="8"/>
        <v>8269.7253704463092</v>
      </c>
      <c r="G110" s="3">
        <f t="shared" si="9"/>
        <v>5313.298550511754</v>
      </c>
      <c r="H110" s="12">
        <f t="shared" si="10"/>
        <v>13583.023920958063</v>
      </c>
      <c r="I110" s="12">
        <f t="shared" si="11"/>
        <v>2646.3121185428199</v>
      </c>
      <c r="J110" s="12">
        <f t="shared" si="12"/>
        <v>2496.4233462034799</v>
      </c>
      <c r="K110" s="12">
        <f t="shared" si="22"/>
        <v>5142.7354647462998</v>
      </c>
      <c r="L110" s="6">
        <f t="shared" si="23"/>
        <v>0.37861491628614924</v>
      </c>
      <c r="M110" s="12">
        <f t="shared" si="13"/>
        <v>2816.8752043082741</v>
      </c>
      <c r="N110" s="12">
        <f t="shared" si="14"/>
        <v>8440.2884562117652</v>
      </c>
      <c r="O110" s="2">
        <f t="shared" si="24"/>
        <v>212.00606234815621</v>
      </c>
      <c r="P110" s="23">
        <f t="shared" si="15"/>
        <v>0.21200606234815622</v>
      </c>
      <c r="Q110" s="23">
        <f t="shared" si="16"/>
        <v>0.2119163872438759</v>
      </c>
      <c r="R110" s="55">
        <f t="shared" si="25"/>
        <v>1</v>
      </c>
      <c r="S110" s="55">
        <f t="shared" si="26"/>
        <v>1</v>
      </c>
      <c r="T110" s="3">
        <f t="shared" si="27"/>
        <v>2500</v>
      </c>
      <c r="U110" s="3">
        <f t="shared" si="28"/>
        <v>500</v>
      </c>
      <c r="V110" s="12">
        <f t="shared" si="17"/>
        <v>8623.4132519034902</v>
      </c>
      <c r="W110" s="12">
        <f t="shared" si="18"/>
        <v>4959.610669054573</v>
      </c>
      <c r="X110" s="6">
        <f t="shared" si="19"/>
        <v>0.36513302913367413</v>
      </c>
      <c r="Y110" s="12"/>
      <c r="Z110" s="12">
        <f t="shared" si="20"/>
        <v>5142.735464746298</v>
      </c>
      <c r="AA110" s="12">
        <f t="shared" si="30"/>
        <v>13820.221821461842</v>
      </c>
      <c r="AB110" t="str">
        <f t="shared" si="31"/>
        <v/>
      </c>
      <c r="AC110" t="str">
        <f t="shared" si="32"/>
        <v/>
      </c>
      <c r="AD110" s="3">
        <f>NPV($C$15,Z$101:Z110)+$Z$100</f>
        <v>11074.664094947677</v>
      </c>
      <c r="AE110" s="1">
        <f>IFERROR(IRR(Z$100:Z110),"N/A")</f>
        <v>0.26755989451384554</v>
      </c>
      <c r="AF110" s="1">
        <f>IFERROR(MIRR(Z$100:Z110,$C$15,$C$16),"N/A")</f>
        <v>0.16601319524343561</v>
      </c>
      <c r="AG110" s="12">
        <f>MIN(Z$100:Z110)</f>
        <v>-1000</v>
      </c>
      <c r="AH110" s="12">
        <f>MIN(AA$100:AA110)</f>
        <v>-4000</v>
      </c>
      <c r="AI110" s="12">
        <f t="shared" si="21"/>
        <v>4959.610669054573</v>
      </c>
      <c r="AJ110" s="12">
        <f t="shared" si="33"/>
        <v>1081.0468392474731</v>
      </c>
      <c r="AK110" t="str">
        <f t="shared" si="34"/>
        <v/>
      </c>
      <c r="AL110" t="str">
        <f t="shared" si="35"/>
        <v>payback</v>
      </c>
      <c r="AM110" s="3">
        <f>NPV($C$15,AI$101:AI110)+$AI$100</f>
        <v>-211.59579228999894</v>
      </c>
      <c r="AN110" s="62">
        <f>IFERROR(IRR(AI$100:AI110),"N/A")</f>
        <v>1.8046717911079257E-2</v>
      </c>
      <c r="AO110" s="62">
        <f>IFERROR(MIRR(AI$100:AI110,$C$15,$C$16),"N/A")</f>
        <v>1.8171692728164546E-2</v>
      </c>
      <c r="AP110" s="3">
        <f>MIN(AI$100:AI110)</f>
        <v>-1584.5588235294117</v>
      </c>
      <c r="AQ110" s="3">
        <f>MIN(AJ$100:AJ110)</f>
        <v>-8679.9877785004974</v>
      </c>
    </row>
    <row r="111" spans="2:43" x14ac:dyDescent="0.45">
      <c r="B111" s="4" t="str">
        <f t="shared" si="5"/>
        <v/>
      </c>
      <c r="C111">
        <v>11</v>
      </c>
      <c r="D111" s="3">
        <f t="shared" si="6"/>
        <v>7498.9420933245574</v>
      </c>
      <c r="E111" s="2">
        <f t="shared" si="7"/>
        <v>1130.3801768653238</v>
      </c>
      <c r="F111" s="3">
        <f t="shared" si="8"/>
        <v>11027.856019594938</v>
      </c>
      <c r="G111" s="3">
        <f t="shared" si="9"/>
        <v>7085.3974925897473</v>
      </c>
      <c r="H111" s="12">
        <f t="shared" si="10"/>
        <v>18113.253512184685</v>
      </c>
      <c r="I111" s="12">
        <f t="shared" si="11"/>
        <v>3528.9139262703811</v>
      </c>
      <c r="J111" s="12">
        <f t="shared" si="12"/>
        <v>3329.0340359152219</v>
      </c>
      <c r="K111" s="12">
        <f t="shared" si="22"/>
        <v>6857.9479621856026</v>
      </c>
      <c r="L111" s="6">
        <f t="shared" si="23"/>
        <v>0.37861491628614918</v>
      </c>
      <c r="M111" s="12">
        <f t="shared" si="13"/>
        <v>3756.3634566745254</v>
      </c>
      <c r="N111" s="12">
        <f t="shared" si="14"/>
        <v>11255.305549999082</v>
      </c>
      <c r="O111" s="2">
        <f t="shared" si="24"/>
        <v>282.71462788982024</v>
      </c>
      <c r="P111" s="23">
        <f t="shared" si="15"/>
        <v>0.28271462788982027</v>
      </c>
      <c r="Q111" s="23">
        <f t="shared" si="16"/>
        <v>0.28259504421633097</v>
      </c>
      <c r="R111" s="55">
        <f t="shared" si="25"/>
        <v>1</v>
      </c>
      <c r="S111" s="55">
        <f t="shared" si="26"/>
        <v>1</v>
      </c>
      <c r="T111" s="3">
        <f t="shared" si="27"/>
        <v>2500</v>
      </c>
      <c r="U111" s="3">
        <f t="shared" si="28"/>
        <v>500</v>
      </c>
      <c r="V111" s="12">
        <f t="shared" si="17"/>
        <v>10498.942093324556</v>
      </c>
      <c r="W111" s="12">
        <f t="shared" si="18"/>
        <v>7614.3114188601285</v>
      </c>
      <c r="X111" s="6">
        <f t="shared" si="19"/>
        <v>0.42037237615749284</v>
      </c>
      <c r="Y111" s="12"/>
      <c r="Z111" s="12">
        <f t="shared" si="20"/>
        <v>6857.9479621856026</v>
      </c>
      <c r="AA111" s="12">
        <f t="shared" si="30"/>
        <v>20678.169783647445</v>
      </c>
      <c r="AB111" t="str">
        <f t="shared" si="31"/>
        <v/>
      </c>
      <c r="AC111" t="str">
        <f t="shared" si="32"/>
        <v/>
      </c>
      <c r="AD111" s="3">
        <f>NPV($C$15,Z$101:Z111)+$Z$100</f>
        <v>16466.617275016382</v>
      </c>
      <c r="AE111" s="1">
        <f>IFERROR(IRR(Z$100:Z111),"N/A")</f>
        <v>0.29921098622414144</v>
      </c>
      <c r="AF111" s="1">
        <f>IFERROR(MIRR(Z$100:Z111,$C$15,$C$16),"N/A")</f>
        <v>0.184487549912286</v>
      </c>
      <c r="AG111" s="12">
        <f>MIN(Z$100:Z111)</f>
        <v>-1000</v>
      </c>
      <c r="AH111" s="12">
        <f>MIN(AA$100:AA111)</f>
        <v>-4000</v>
      </c>
      <c r="AI111" s="12">
        <f t="shared" si="21"/>
        <v>7614.3114188601285</v>
      </c>
      <c r="AJ111" s="12">
        <f t="shared" si="33"/>
        <v>8695.3582581076007</v>
      </c>
      <c r="AK111" t="str">
        <f t="shared" si="34"/>
        <v/>
      </c>
      <c r="AL111" t="str">
        <f t="shared" si="35"/>
        <v/>
      </c>
      <c r="AM111" s="3">
        <f>NPV($C$15,AI$101:AI111)+$AI$100</f>
        <v>5775.036199573633</v>
      </c>
      <c r="AN111" s="62">
        <f>IFERROR(IRR(AI$100:AI111),"N/A")</f>
        <v>9.859410025653581E-2</v>
      </c>
      <c r="AO111" s="62">
        <f>IFERROR(MIRR(AI$100:AI111,$C$15,$C$16),"N/A")</f>
        <v>7.133376783459644E-2</v>
      </c>
      <c r="AP111" s="3">
        <f>MIN(AI$100:AI111)</f>
        <v>-1584.5588235294117</v>
      </c>
      <c r="AQ111" s="3">
        <f>MIN(AJ$100:AJ111)</f>
        <v>-8679.9877785004974</v>
      </c>
    </row>
    <row r="112" spans="2:43" s="44" customFormat="1" x14ac:dyDescent="0.45">
      <c r="B112" s="61" t="str">
        <f t="shared" si="5"/>
        <v>last month of growth</v>
      </c>
      <c r="C112" s="44">
        <v>12</v>
      </c>
      <c r="D112" s="45">
        <f t="shared" si="6"/>
        <v>9999.9999999999982</v>
      </c>
      <c r="E112" s="46">
        <f t="shared" si="7"/>
        <v>1507.3861923424779</v>
      </c>
      <c r="F112" s="45">
        <f t="shared" si="8"/>
        <v>14705.882352941171</v>
      </c>
      <c r="G112" s="45">
        <f t="shared" si="9"/>
        <v>9448.5294117647027</v>
      </c>
      <c r="H112" s="47">
        <f t="shared" si="10"/>
        <v>24154.411764705874</v>
      </c>
      <c r="I112" s="47">
        <f t="shared" si="11"/>
        <v>4705.8823529411766</v>
      </c>
      <c r="J112" s="47">
        <f t="shared" si="12"/>
        <v>4439.3382352941171</v>
      </c>
      <c r="K112" s="47">
        <f t="shared" si="22"/>
        <v>9145.2205882352937</v>
      </c>
      <c r="L112" s="48">
        <f t="shared" si="23"/>
        <v>0.37861491628614929</v>
      </c>
      <c r="M112" s="47">
        <f t="shared" si="13"/>
        <v>5009.1911764705856</v>
      </c>
      <c r="N112" s="47">
        <f t="shared" si="14"/>
        <v>15009.191176470584</v>
      </c>
      <c r="O112" s="46">
        <f t="shared" si="24"/>
        <v>377.00601547715405</v>
      </c>
      <c r="P112" s="49">
        <f t="shared" si="15"/>
        <v>0.37700601547715407</v>
      </c>
      <c r="Q112" s="49">
        <f t="shared" si="16"/>
        <v>0.37684654808561946</v>
      </c>
      <c r="R112" s="56">
        <f t="shared" si="25"/>
        <v>1</v>
      </c>
      <c r="S112" s="56">
        <f t="shared" si="26"/>
        <v>1</v>
      </c>
      <c r="T112" s="45">
        <f t="shared" si="27"/>
        <v>2500</v>
      </c>
      <c r="U112" s="45">
        <f t="shared" si="28"/>
        <v>500</v>
      </c>
      <c r="V112" s="47">
        <f t="shared" si="17"/>
        <v>12999.999999999998</v>
      </c>
      <c r="W112" s="47">
        <f t="shared" si="18"/>
        <v>11154.411764705876</v>
      </c>
      <c r="X112" s="48">
        <f t="shared" si="19"/>
        <v>0.46179604261796031</v>
      </c>
      <c r="Y112" s="47"/>
      <c r="Z112" s="47">
        <f t="shared" si="20"/>
        <v>9145.2205882352901</v>
      </c>
      <c r="AA112" s="47">
        <f t="shared" si="30"/>
        <v>29823.390371882735</v>
      </c>
      <c r="AB112" s="44" t="str">
        <f t="shared" si="31"/>
        <v/>
      </c>
      <c r="AC112" s="44" t="str">
        <f t="shared" si="32"/>
        <v/>
      </c>
      <c r="AD112" s="45">
        <f>NPV($C$15,Z$101:Z112)+$Z$100</f>
        <v>23501.402342889676</v>
      </c>
      <c r="AE112" s="50">
        <f>IFERROR(IRR(Z$100:Z112),"N/A")</f>
        <v>0.32401440049766816</v>
      </c>
      <c r="AF112" s="50">
        <f>IFERROR(MIRR(Z$100:Z112,$C$15,$C$16),"N/A")</f>
        <v>0.19905740333346267</v>
      </c>
      <c r="AG112" s="47">
        <f>MIN(Z$100:Z112)</f>
        <v>-1000</v>
      </c>
      <c r="AH112" s="47">
        <f>MIN(AA$100:AA112)</f>
        <v>-4000</v>
      </c>
      <c r="AI112" s="47">
        <f t="shared" si="21"/>
        <v>11154.411764705876</v>
      </c>
      <c r="AJ112" s="47">
        <f t="shared" si="33"/>
        <v>19849.770022813478</v>
      </c>
      <c r="AK112" s="47" t="str">
        <f t="shared" si="34"/>
        <v/>
      </c>
      <c r="AL112" s="44" t="str">
        <f t="shared" si="35"/>
        <v/>
      </c>
      <c r="AM112" s="45">
        <f>NPV($C$15,AI$101:AI112)+$AI$100</f>
        <v>14355.352941655068</v>
      </c>
      <c r="AN112" s="63">
        <f>IFERROR(IRR(AI$100:AI112),"N/A")</f>
        <v>0.15706315780659463</v>
      </c>
      <c r="AO112" s="63">
        <f>IFERROR(MIRR(AI$100:AI112,$C$15,$C$16),"N/A")</f>
        <v>0.11024570636706743</v>
      </c>
      <c r="AP112" s="45">
        <f>MIN(AI$100:AI112)</f>
        <v>-1584.5588235294117</v>
      </c>
      <c r="AQ112" s="45">
        <f>MIN(AJ$100:AJ112)</f>
        <v>-8679.9877785004974</v>
      </c>
    </row>
    <row r="113" spans="4:31" x14ac:dyDescent="0.45">
      <c r="D113" s="3"/>
      <c r="E113" s="2"/>
      <c r="F113" s="3"/>
      <c r="G113" s="3"/>
      <c r="H113" s="12"/>
      <c r="I113" s="12"/>
      <c r="J113" s="12"/>
      <c r="K113" s="12"/>
      <c r="L113" s="6"/>
      <c r="M113" s="12"/>
      <c r="N113" s="12"/>
      <c r="O113" s="2"/>
      <c r="P113" s="23"/>
      <c r="Q113" s="23"/>
      <c r="R113" s="11"/>
      <c r="S113" s="3"/>
      <c r="T113" s="12"/>
      <c r="V113" s="12"/>
      <c r="X113" s="12"/>
      <c r="Y113" s="12"/>
      <c r="Z113" s="6"/>
      <c r="AA113" s="3"/>
      <c r="AB113" s="1"/>
      <c r="AC113" s="1"/>
      <c r="AD113" s="12"/>
      <c r="AE113" s="12"/>
    </row>
    <row r="114" spans="4:31" x14ac:dyDescent="0.45">
      <c r="D114" s="3"/>
      <c r="E114" s="2"/>
      <c r="F114" s="3"/>
      <c r="G114" s="3"/>
      <c r="H114" s="12"/>
      <c r="I114" s="12"/>
      <c r="J114" s="12"/>
      <c r="K114" s="12"/>
      <c r="L114" s="6"/>
      <c r="M114" s="12"/>
      <c r="N114" s="12"/>
      <c r="O114" s="2"/>
      <c r="P114" s="23"/>
      <c r="Q114" s="23"/>
      <c r="R114" s="11"/>
      <c r="S114" s="3"/>
      <c r="T114" s="12"/>
      <c r="V114" s="12"/>
      <c r="X114" s="12"/>
      <c r="Y114" s="12"/>
      <c r="Z114" s="6"/>
      <c r="AA114" s="3"/>
      <c r="AB114" s="1"/>
      <c r="AC114" s="1"/>
      <c r="AD114" s="12"/>
      <c r="AE114" s="12"/>
    </row>
    <row r="115" spans="4:31" x14ac:dyDescent="0.45">
      <c r="D115" s="3"/>
      <c r="E115" s="2"/>
      <c r="F115" s="3"/>
      <c r="G115" s="3"/>
      <c r="H115" s="12"/>
      <c r="I115" s="12"/>
      <c r="J115" s="12"/>
      <c r="K115" s="12"/>
      <c r="L115" s="6"/>
      <c r="M115" s="12"/>
      <c r="N115" s="12"/>
      <c r="O115" s="2"/>
      <c r="P115" s="23"/>
      <c r="Q115" s="23"/>
      <c r="R115" s="11"/>
      <c r="S115" s="3"/>
      <c r="T115" s="12"/>
      <c r="V115" s="12"/>
      <c r="X115" s="12"/>
      <c r="Y115" s="12"/>
      <c r="Z115" s="6"/>
      <c r="AA115" s="3"/>
      <c r="AB115" s="1"/>
      <c r="AC115" s="1"/>
      <c r="AD115" s="12"/>
      <c r="AE115" s="12"/>
    </row>
    <row r="116" spans="4:31" x14ac:dyDescent="0.45">
      <c r="D116" s="3"/>
      <c r="E116" s="2"/>
      <c r="F116" s="3"/>
      <c r="G116" s="3"/>
      <c r="H116" s="12"/>
      <c r="I116" s="12"/>
      <c r="J116" s="12"/>
      <c r="K116" s="12"/>
      <c r="L116" s="6"/>
      <c r="M116" s="12"/>
      <c r="N116" s="12"/>
      <c r="O116" s="2"/>
      <c r="P116" s="23"/>
      <c r="Q116" s="23"/>
      <c r="R116" s="11"/>
      <c r="S116" s="3"/>
      <c r="T116" s="12"/>
      <c r="V116" s="12"/>
      <c r="X116" s="12"/>
      <c r="Y116" s="12"/>
      <c r="Z116" s="6"/>
      <c r="AA116" s="3"/>
      <c r="AB116" s="1"/>
      <c r="AC116" s="1"/>
      <c r="AD116" s="12"/>
      <c r="AE116" s="12"/>
    </row>
    <row r="117" spans="4:31" x14ac:dyDescent="0.45">
      <c r="D117" s="3"/>
      <c r="E117" s="2"/>
      <c r="F117" s="3"/>
      <c r="G117" s="3"/>
      <c r="H117" s="12"/>
      <c r="I117" s="12"/>
      <c r="J117" s="12"/>
      <c r="K117" s="12"/>
      <c r="L117" s="6"/>
      <c r="M117" s="12"/>
      <c r="N117" s="12"/>
      <c r="O117" s="2"/>
      <c r="P117" s="23"/>
      <c r="Q117" s="23"/>
      <c r="R117" s="11"/>
      <c r="S117" s="3"/>
      <c r="T117" s="12"/>
      <c r="V117" s="12"/>
      <c r="X117" s="12"/>
      <c r="Y117" s="12"/>
      <c r="Z117" s="6"/>
      <c r="AA117" s="3"/>
      <c r="AB117" s="1"/>
      <c r="AC117" s="1"/>
      <c r="AD117" s="12"/>
      <c r="AE117" s="12"/>
    </row>
    <row r="118" spans="4:31" x14ac:dyDescent="0.45">
      <c r="D118" s="3"/>
      <c r="E118" s="2"/>
      <c r="F118" s="3"/>
      <c r="G118" s="3"/>
      <c r="H118" s="12"/>
      <c r="I118" s="12"/>
      <c r="J118" s="12"/>
      <c r="K118" s="12"/>
      <c r="L118" s="6"/>
      <c r="M118" s="12"/>
      <c r="N118" s="12"/>
      <c r="O118" s="2"/>
      <c r="P118" s="23"/>
      <c r="Q118" s="23"/>
      <c r="R118" s="11"/>
      <c r="S118" s="3"/>
      <c r="T118" s="12"/>
      <c r="V118" s="12"/>
      <c r="X118" s="12"/>
      <c r="Y118" s="12"/>
      <c r="Z118" s="6"/>
      <c r="AA118" s="3"/>
      <c r="AB118" s="1"/>
      <c r="AC118" s="1"/>
      <c r="AD118" s="12"/>
      <c r="AE118" s="12"/>
    </row>
    <row r="119" spans="4:31" x14ac:dyDescent="0.45">
      <c r="D119" s="3"/>
      <c r="E119" s="2"/>
      <c r="F119" s="3"/>
      <c r="G119" s="3"/>
      <c r="H119" s="12"/>
      <c r="I119" s="12"/>
      <c r="J119" s="12"/>
      <c r="K119" s="12"/>
      <c r="L119" s="6"/>
      <c r="M119" s="12"/>
      <c r="N119" s="12"/>
      <c r="O119" s="2"/>
      <c r="P119" s="23"/>
      <c r="Q119" s="23"/>
      <c r="R119" s="11"/>
      <c r="S119" s="3"/>
      <c r="T119" s="12"/>
      <c r="V119" s="12"/>
      <c r="X119" s="12"/>
      <c r="Y119" s="12"/>
      <c r="Z119" s="6"/>
      <c r="AA119" s="3"/>
      <c r="AB119" s="1"/>
      <c r="AC119" s="1"/>
      <c r="AD119" s="12"/>
      <c r="AE119" s="12"/>
    </row>
    <row r="120" spans="4:31" x14ac:dyDescent="0.45">
      <c r="D120" s="3"/>
      <c r="E120" s="2"/>
      <c r="F120" s="3"/>
      <c r="G120" s="3"/>
      <c r="H120" s="12"/>
      <c r="I120" s="12"/>
      <c r="J120" s="12"/>
      <c r="K120" s="12"/>
      <c r="L120" s="6"/>
      <c r="M120" s="12"/>
      <c r="N120" s="12"/>
      <c r="O120" s="2"/>
      <c r="P120" s="23"/>
      <c r="Q120" s="23"/>
      <c r="R120" s="11"/>
      <c r="S120" s="3"/>
      <c r="T120" s="12"/>
      <c r="V120" s="12"/>
      <c r="X120" s="12"/>
      <c r="Y120" s="12"/>
      <c r="Z120" s="6"/>
      <c r="AA120" s="3"/>
      <c r="AB120" s="1"/>
      <c r="AC120" s="1"/>
      <c r="AD120" s="12"/>
      <c r="AE120" s="12"/>
    </row>
    <row r="121" spans="4:31" x14ac:dyDescent="0.45">
      <c r="D121" s="3"/>
      <c r="E121" s="2"/>
      <c r="F121" s="3"/>
      <c r="G121" s="3"/>
      <c r="H121" s="12"/>
      <c r="I121" s="12"/>
      <c r="J121" s="12"/>
      <c r="K121" s="12"/>
      <c r="L121" s="6"/>
      <c r="M121" s="12"/>
      <c r="N121" s="12"/>
      <c r="O121" s="2"/>
      <c r="P121" s="23"/>
      <c r="Q121" s="23"/>
      <c r="R121" s="11"/>
      <c r="S121" s="3"/>
      <c r="T121" s="12"/>
      <c r="V121" s="12"/>
      <c r="X121" s="12"/>
      <c r="Y121" s="12"/>
      <c r="Z121" s="6"/>
      <c r="AA121" s="3"/>
      <c r="AB121" s="1"/>
      <c r="AC121" s="1"/>
      <c r="AD121" s="12"/>
      <c r="AE121" s="12"/>
    </row>
    <row r="122" spans="4:31" x14ac:dyDescent="0.45">
      <c r="D122" s="3"/>
      <c r="E122" s="2"/>
      <c r="F122" s="3"/>
      <c r="G122" s="3"/>
      <c r="H122" s="12"/>
      <c r="I122" s="12"/>
      <c r="J122" s="12"/>
      <c r="K122" s="12"/>
      <c r="L122" s="6"/>
      <c r="M122" s="12"/>
      <c r="N122" s="12"/>
      <c r="O122" s="2"/>
      <c r="P122" s="23"/>
      <c r="Q122" s="23"/>
      <c r="R122" s="11"/>
      <c r="S122" s="3"/>
      <c r="T122" s="12"/>
      <c r="V122" s="12"/>
      <c r="X122" s="12"/>
      <c r="Y122" s="12"/>
      <c r="Z122" s="6"/>
      <c r="AA122" s="3"/>
      <c r="AB122" s="1"/>
      <c r="AC122" s="1"/>
      <c r="AD122" s="12"/>
      <c r="AE122" s="12"/>
    </row>
    <row r="123" spans="4:31" x14ac:dyDescent="0.45">
      <c r="D123" s="3"/>
      <c r="E123" s="2"/>
      <c r="F123" s="3"/>
      <c r="G123" s="3"/>
      <c r="H123" s="12"/>
      <c r="I123" s="12"/>
      <c r="J123" s="12"/>
      <c r="K123" s="12"/>
      <c r="L123" s="6"/>
      <c r="M123" s="12"/>
      <c r="N123" s="12"/>
      <c r="O123" s="2"/>
      <c r="P123" s="23"/>
      <c r="Q123" s="23"/>
      <c r="R123" s="11"/>
      <c r="S123" s="3"/>
      <c r="T123" s="12"/>
      <c r="V123" s="12"/>
      <c r="X123" s="12"/>
      <c r="Y123" s="12"/>
      <c r="Z123" s="6"/>
      <c r="AA123" s="3"/>
      <c r="AB123" s="1"/>
      <c r="AC123" s="1"/>
      <c r="AD123" s="12"/>
      <c r="AE123" s="12"/>
    </row>
    <row r="124" spans="4:31" x14ac:dyDescent="0.45">
      <c r="D124" s="3"/>
      <c r="E124" s="2"/>
      <c r="F124" s="3"/>
      <c r="G124" s="3"/>
      <c r="H124" s="12"/>
      <c r="I124" s="12"/>
      <c r="J124" s="12"/>
      <c r="K124" s="12"/>
      <c r="L124" s="6"/>
      <c r="M124" s="12"/>
      <c r="N124" s="12"/>
      <c r="O124" s="2"/>
      <c r="P124" s="23"/>
      <c r="Q124" s="23"/>
      <c r="R124" s="11"/>
      <c r="S124" s="3"/>
      <c r="T124" s="12"/>
      <c r="V124" s="12"/>
      <c r="X124" s="12"/>
      <c r="Y124" s="12"/>
      <c r="Z124" s="6"/>
      <c r="AA124" s="3"/>
      <c r="AB124" s="1"/>
      <c r="AC124" s="1"/>
      <c r="AD124" s="12"/>
      <c r="AE124" s="12"/>
    </row>
    <row r="125" spans="4:31" x14ac:dyDescent="0.45">
      <c r="D125" s="3"/>
      <c r="E125" s="2"/>
      <c r="F125" s="3"/>
      <c r="G125" s="3"/>
      <c r="H125" s="12"/>
      <c r="I125" s="12"/>
      <c r="J125" s="12"/>
      <c r="K125" s="12"/>
      <c r="L125" s="6"/>
      <c r="M125" s="12"/>
      <c r="N125" s="12"/>
      <c r="O125" s="2"/>
      <c r="P125" s="23"/>
      <c r="Q125" s="23"/>
      <c r="R125" s="11"/>
      <c r="S125" s="3"/>
      <c r="T125" s="12"/>
      <c r="V125" s="12"/>
      <c r="X125" s="12"/>
      <c r="Y125" s="12"/>
      <c r="Z125" s="6"/>
      <c r="AA125" s="3"/>
      <c r="AB125" s="1"/>
      <c r="AC125" s="1"/>
      <c r="AD125" s="12"/>
      <c r="AE125" s="12"/>
    </row>
    <row r="126" spans="4:31" x14ac:dyDescent="0.45">
      <c r="D126" s="3"/>
      <c r="E126" s="2"/>
      <c r="F126" s="3"/>
      <c r="G126" s="3"/>
      <c r="H126" s="12"/>
      <c r="I126" s="12"/>
      <c r="J126" s="12"/>
      <c r="K126" s="12"/>
      <c r="L126" s="6"/>
      <c r="M126" s="12"/>
      <c r="N126" s="12"/>
      <c r="O126" s="2"/>
      <c r="P126" s="23"/>
      <c r="Q126" s="23"/>
      <c r="R126" s="11"/>
      <c r="S126" s="3"/>
      <c r="T126" s="12"/>
      <c r="V126" s="12"/>
      <c r="X126" s="12"/>
      <c r="Y126" s="12"/>
      <c r="Z126" s="6"/>
      <c r="AA126" s="3"/>
      <c r="AB126" s="1"/>
      <c r="AC126" s="1"/>
      <c r="AD126" s="12"/>
      <c r="AE126" s="12"/>
    </row>
    <row r="127" spans="4:31" x14ac:dyDescent="0.45">
      <c r="D127" s="3"/>
      <c r="E127" s="2"/>
      <c r="F127" s="3"/>
      <c r="G127" s="3"/>
      <c r="H127" s="12"/>
      <c r="I127" s="12"/>
      <c r="J127" s="12"/>
      <c r="K127" s="12"/>
      <c r="L127" s="6"/>
      <c r="M127" s="12"/>
      <c r="N127" s="12"/>
      <c r="O127" s="2"/>
      <c r="P127" s="23"/>
      <c r="Q127" s="23"/>
      <c r="R127" s="11"/>
      <c r="S127" s="3"/>
      <c r="T127" s="12"/>
      <c r="V127" s="12"/>
      <c r="X127" s="12"/>
      <c r="Y127" s="12"/>
      <c r="Z127" s="6"/>
      <c r="AA127" s="3"/>
      <c r="AB127" s="1"/>
      <c r="AC127" s="1"/>
      <c r="AD127" s="12"/>
      <c r="AE127" s="12"/>
    </row>
    <row r="128" spans="4:31" x14ac:dyDescent="0.45">
      <c r="D128" s="3"/>
      <c r="E128" s="2"/>
      <c r="F128" s="3"/>
      <c r="G128" s="3"/>
      <c r="H128" s="12"/>
      <c r="I128" s="12"/>
      <c r="J128" s="12"/>
      <c r="K128" s="12"/>
      <c r="L128" s="6"/>
      <c r="M128" s="12"/>
      <c r="N128" s="12"/>
      <c r="O128" s="2"/>
      <c r="P128" s="23"/>
      <c r="Q128" s="23"/>
      <c r="R128" s="11"/>
      <c r="S128" s="3"/>
      <c r="T128" s="12"/>
      <c r="V128" s="12"/>
      <c r="X128" s="12"/>
      <c r="Y128" s="12"/>
      <c r="Z128" s="6"/>
      <c r="AA128" s="3"/>
      <c r="AB128" s="1"/>
      <c r="AC128" s="1"/>
      <c r="AD128" s="12"/>
      <c r="AE128" s="12"/>
    </row>
    <row r="129" spans="4:31" x14ac:dyDescent="0.45">
      <c r="D129" s="3"/>
      <c r="E129" s="2"/>
      <c r="F129" s="3"/>
      <c r="G129" s="3"/>
      <c r="H129" s="12"/>
      <c r="I129" s="12"/>
      <c r="J129" s="12"/>
      <c r="K129" s="12"/>
      <c r="L129" s="6"/>
      <c r="M129" s="12"/>
      <c r="N129" s="12"/>
      <c r="O129" s="2"/>
      <c r="P129" s="23"/>
      <c r="Q129" s="23"/>
      <c r="R129" s="11"/>
      <c r="S129" s="3"/>
      <c r="T129" s="12"/>
      <c r="V129" s="12"/>
      <c r="X129" s="12"/>
      <c r="Y129" s="12"/>
      <c r="Z129" s="6"/>
      <c r="AA129" s="3"/>
      <c r="AB129" s="1"/>
      <c r="AC129" s="1"/>
      <c r="AD129" s="12"/>
      <c r="AE129" s="12"/>
    </row>
    <row r="130" spans="4:31" x14ac:dyDescent="0.45">
      <c r="D130" s="3"/>
      <c r="E130" s="2"/>
      <c r="F130" s="3"/>
      <c r="G130" s="3"/>
      <c r="H130" s="12"/>
      <c r="I130" s="12"/>
      <c r="J130" s="12"/>
      <c r="K130" s="12"/>
      <c r="L130" s="6"/>
      <c r="M130" s="12"/>
      <c r="N130" s="12"/>
      <c r="O130" s="2"/>
      <c r="P130" s="23"/>
      <c r="Q130" s="23"/>
      <c r="R130" s="11"/>
      <c r="S130" s="3"/>
      <c r="T130" s="12"/>
      <c r="V130" s="12"/>
      <c r="X130" s="12"/>
      <c r="Y130" s="12"/>
      <c r="Z130" s="6"/>
      <c r="AA130" s="3"/>
      <c r="AB130" s="1"/>
      <c r="AC130" s="1"/>
      <c r="AD130" s="12"/>
      <c r="AE130" s="12"/>
    </row>
    <row r="131" spans="4:31" x14ac:dyDescent="0.45">
      <c r="D131" s="3"/>
      <c r="E131" s="2"/>
      <c r="F131" s="3"/>
      <c r="G131" s="3"/>
      <c r="H131" s="12"/>
      <c r="I131" s="12"/>
      <c r="J131" s="12"/>
      <c r="K131" s="12"/>
      <c r="L131" s="6"/>
      <c r="M131" s="12"/>
      <c r="N131" s="12"/>
      <c r="O131" s="2"/>
      <c r="P131" s="23"/>
      <c r="Q131" s="23"/>
      <c r="R131" s="11"/>
      <c r="S131" s="3"/>
      <c r="T131" s="12"/>
      <c r="V131" s="12"/>
      <c r="X131" s="12"/>
      <c r="Y131" s="12"/>
      <c r="Z131" s="6"/>
      <c r="AA131" s="3"/>
      <c r="AB131" s="1"/>
      <c r="AC131" s="1"/>
      <c r="AD131" s="12"/>
      <c r="AE131" s="12"/>
    </row>
    <row r="132" spans="4:31" x14ac:dyDescent="0.45">
      <c r="D132" s="3"/>
      <c r="E132" s="2"/>
      <c r="F132" s="3"/>
      <c r="G132" s="3"/>
      <c r="H132" s="12"/>
      <c r="I132" s="12"/>
      <c r="J132" s="12"/>
      <c r="K132" s="12"/>
      <c r="L132" s="6"/>
      <c r="M132" s="12"/>
      <c r="N132" s="12"/>
      <c r="O132" s="2"/>
      <c r="P132" s="23"/>
      <c r="Q132" s="23"/>
      <c r="R132" s="11"/>
      <c r="S132" s="3"/>
      <c r="T132" s="12"/>
      <c r="V132" s="12"/>
      <c r="X132" s="12"/>
      <c r="Y132" s="12"/>
      <c r="Z132" s="6"/>
      <c r="AA132" s="3"/>
      <c r="AB132" s="1"/>
      <c r="AC132" s="1"/>
      <c r="AD132" s="12"/>
      <c r="AE132" s="12"/>
    </row>
    <row r="133" spans="4:31" x14ac:dyDescent="0.45">
      <c r="D133" s="3"/>
      <c r="E133" s="2"/>
      <c r="F133" s="3"/>
      <c r="G133" s="3"/>
      <c r="H133" s="12"/>
      <c r="I133" s="12"/>
      <c r="J133" s="12"/>
      <c r="K133" s="12"/>
      <c r="L133" s="6"/>
      <c r="M133" s="12"/>
      <c r="N133" s="12"/>
      <c r="O133" s="2"/>
      <c r="P133" s="23"/>
      <c r="Q133" s="23"/>
      <c r="R133" s="11"/>
      <c r="S133" s="3"/>
      <c r="T133" s="12"/>
      <c r="V133" s="12"/>
      <c r="X133" s="12"/>
      <c r="Y133" s="12"/>
      <c r="Z133" s="6"/>
      <c r="AA133" s="3"/>
      <c r="AB133" s="1"/>
      <c r="AC133" s="1"/>
      <c r="AD133" s="12"/>
      <c r="AE133" s="12"/>
    </row>
    <row r="134" spans="4:31" x14ac:dyDescent="0.45">
      <c r="D134" s="3"/>
      <c r="E134" s="2"/>
      <c r="F134" s="3"/>
      <c r="G134" s="3"/>
      <c r="H134" s="12"/>
      <c r="I134" s="12"/>
      <c r="J134" s="12"/>
      <c r="K134" s="12"/>
      <c r="L134" s="6"/>
      <c r="M134" s="12"/>
      <c r="N134" s="12"/>
      <c r="O134" s="2"/>
      <c r="P134" s="23"/>
      <c r="Q134" s="23"/>
      <c r="R134" s="11"/>
      <c r="S134" s="3"/>
      <c r="T134" s="12"/>
      <c r="V134" s="12"/>
      <c r="X134" s="12"/>
      <c r="Y134" s="12"/>
      <c r="Z134" s="6"/>
      <c r="AA134" s="3"/>
      <c r="AB134" s="1"/>
      <c r="AC134" s="1"/>
      <c r="AD134" s="12"/>
      <c r="AE134" s="12"/>
    </row>
    <row r="135" spans="4:31" x14ac:dyDescent="0.45">
      <c r="D135" s="3"/>
      <c r="E135" s="2"/>
      <c r="F135" s="3"/>
      <c r="G135" s="3"/>
      <c r="H135" s="12"/>
      <c r="I135" s="12"/>
      <c r="J135" s="12"/>
      <c r="K135" s="12"/>
      <c r="L135" s="6"/>
      <c r="M135" s="12"/>
      <c r="N135" s="12"/>
      <c r="O135" s="2"/>
      <c r="P135" s="23"/>
      <c r="Q135" s="23"/>
      <c r="R135" s="11"/>
      <c r="S135" s="3"/>
      <c r="T135" s="12"/>
      <c r="V135" s="12"/>
      <c r="X135" s="12"/>
      <c r="Y135" s="12"/>
      <c r="Z135" s="6"/>
      <c r="AA135" s="3"/>
      <c r="AB135" s="1"/>
      <c r="AC135" s="1"/>
      <c r="AD135" s="12"/>
      <c r="AE135" s="12"/>
    </row>
    <row r="136" spans="4:31" x14ac:dyDescent="0.45">
      <c r="D136" s="3"/>
      <c r="E136" s="2"/>
      <c r="F136" s="3"/>
      <c r="G136" s="3"/>
      <c r="H136" s="12"/>
      <c r="I136" s="12"/>
      <c r="J136" s="12"/>
      <c r="K136" s="12"/>
      <c r="L136" s="6"/>
      <c r="M136" s="12"/>
      <c r="N136" s="12"/>
      <c r="O136" s="2"/>
      <c r="P136" s="23"/>
      <c r="Q136" s="23"/>
      <c r="R136" s="11"/>
      <c r="S136" s="3"/>
      <c r="T136" s="12"/>
      <c r="V136" s="12"/>
      <c r="X136" s="12"/>
      <c r="Y136" s="12"/>
      <c r="Z136" s="6"/>
      <c r="AA136" s="3"/>
      <c r="AB136" s="1"/>
      <c r="AC136" s="1"/>
      <c r="AD136" s="12"/>
      <c r="AE136" s="12"/>
    </row>
  </sheetData>
  <mergeCells count="8">
    <mergeCell ref="Z98:AH98"/>
    <mergeCell ref="B4:F4"/>
    <mergeCell ref="AI98:AQ98"/>
    <mergeCell ref="B32:F32"/>
    <mergeCell ref="B78:F78"/>
    <mergeCell ref="B89:F89"/>
    <mergeCell ref="B19:F19"/>
    <mergeCell ref="I98:N9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147"/>
  <sheetViews>
    <sheetView topLeftCell="B19" zoomScale="85" zoomScaleNormal="85" workbookViewId="0">
      <selection activeCell="C28" sqref="C28"/>
    </sheetView>
  </sheetViews>
  <sheetFormatPr defaultRowHeight="14.25" x14ac:dyDescent="0.45"/>
  <cols>
    <col min="3" max="3" width="15.59765625" customWidth="1"/>
    <col min="4" max="4" width="10.53125" customWidth="1"/>
    <col min="5" max="5" width="17.86328125" customWidth="1"/>
    <col min="6" max="6" width="35.59765625" customWidth="1"/>
    <col min="7" max="7" width="11.19921875" bestFit="1" customWidth="1"/>
    <col min="11" max="11" width="10.19921875" bestFit="1" customWidth="1"/>
    <col min="12" max="12" width="13" customWidth="1"/>
  </cols>
  <sheetData>
    <row r="2" spans="3:19" x14ac:dyDescent="0.45">
      <c r="E2" t="s">
        <v>20</v>
      </c>
      <c r="F2" t="s">
        <v>21</v>
      </c>
      <c r="G2" t="s">
        <v>14</v>
      </c>
      <c r="H2" t="s">
        <v>15</v>
      </c>
      <c r="I2" t="s">
        <v>12</v>
      </c>
      <c r="J2" t="s">
        <v>13</v>
      </c>
      <c r="K2" t="s">
        <v>16</v>
      </c>
    </row>
    <row r="3" spans="3:19" x14ac:dyDescent="0.45">
      <c r="E3" t="s">
        <v>22</v>
      </c>
      <c r="F3" t="s">
        <v>9</v>
      </c>
      <c r="G3">
        <v>0</v>
      </c>
      <c r="H3">
        <v>100</v>
      </c>
      <c r="I3">
        <f>G3*1024</f>
        <v>0</v>
      </c>
      <c r="J3">
        <f>H3*1024</f>
        <v>102400</v>
      </c>
      <c r="K3" s="20">
        <v>2.4E-2</v>
      </c>
    </row>
    <row r="4" spans="3:19" x14ac:dyDescent="0.45">
      <c r="E4" t="s">
        <v>22</v>
      </c>
      <c r="F4" t="s">
        <v>17</v>
      </c>
      <c r="G4">
        <v>0</v>
      </c>
      <c r="H4">
        <v>100</v>
      </c>
      <c r="I4">
        <f t="shared" ref="I4" si="0">G4*1024</f>
        <v>0</v>
      </c>
      <c r="J4">
        <f t="shared" ref="J4" si="1">H4*1024</f>
        <v>102400</v>
      </c>
      <c r="K4" s="20">
        <v>0.01</v>
      </c>
    </row>
    <row r="5" spans="3:19" x14ac:dyDescent="0.45">
      <c r="E5" t="s">
        <v>22</v>
      </c>
      <c r="F5" t="s">
        <v>10</v>
      </c>
      <c r="G5">
        <v>0</v>
      </c>
      <c r="H5">
        <v>100</v>
      </c>
      <c r="I5">
        <f>G5*1024</f>
        <v>0</v>
      </c>
      <c r="J5">
        <f>H5*1024</f>
        <v>102400</v>
      </c>
      <c r="K5" s="20">
        <v>4.8000000000000001E-2</v>
      </c>
    </row>
    <row r="6" spans="3:19" x14ac:dyDescent="0.45">
      <c r="E6" t="s">
        <v>22</v>
      </c>
      <c r="F6" t="s">
        <v>18</v>
      </c>
      <c r="G6">
        <v>0</v>
      </c>
      <c r="H6">
        <v>100</v>
      </c>
      <c r="I6">
        <f t="shared" ref="I6" si="2">G6*1024</f>
        <v>0</v>
      </c>
      <c r="J6">
        <f t="shared" ref="J6" si="3">H6*1024</f>
        <v>102400</v>
      </c>
      <c r="K6" s="20">
        <v>0.02</v>
      </c>
    </row>
    <row r="7" spans="3:19" x14ac:dyDescent="0.45">
      <c r="E7" t="s">
        <v>22</v>
      </c>
      <c r="F7" t="s">
        <v>11</v>
      </c>
      <c r="G7">
        <v>0</v>
      </c>
      <c r="H7">
        <v>100</v>
      </c>
      <c r="I7">
        <f>G7*1024</f>
        <v>0</v>
      </c>
      <c r="J7">
        <f>H7*1024</f>
        <v>102400</v>
      </c>
      <c r="K7" s="20">
        <v>6.0999999999999999E-2</v>
      </c>
    </row>
    <row r="8" spans="3:19" x14ac:dyDescent="0.45">
      <c r="E8" t="s">
        <v>22</v>
      </c>
      <c r="F8" t="s">
        <v>19</v>
      </c>
      <c r="G8">
        <v>0</v>
      </c>
      <c r="H8">
        <v>100</v>
      </c>
      <c r="I8">
        <f t="shared" ref="I8" si="4">G8*1024</f>
        <v>0</v>
      </c>
      <c r="J8">
        <f t="shared" ref="J8" si="5">H8*1024</f>
        <v>102400</v>
      </c>
      <c r="K8" s="20">
        <v>2.5000000000000001E-2</v>
      </c>
    </row>
    <row r="11" spans="3:19" x14ac:dyDescent="0.45">
      <c r="E11" t="s">
        <v>20</v>
      </c>
      <c r="F11" t="s">
        <v>21</v>
      </c>
      <c r="G11" t="s">
        <v>16</v>
      </c>
    </row>
    <row r="12" spans="3:19" x14ac:dyDescent="0.45">
      <c r="E12" t="s">
        <v>130</v>
      </c>
      <c r="F12" t="s">
        <v>131</v>
      </c>
      <c r="G12" s="3">
        <v>25</v>
      </c>
    </row>
    <row r="13" spans="3:19" x14ac:dyDescent="0.45">
      <c r="E13" t="s">
        <v>130</v>
      </c>
      <c r="F13" t="s">
        <v>132</v>
      </c>
      <c r="G13" s="3">
        <v>16</v>
      </c>
    </row>
    <row r="15" spans="3:19" x14ac:dyDescent="0.45">
      <c r="C15" s="4" t="s">
        <v>264</v>
      </c>
      <c r="D15" s="4" t="s">
        <v>263</v>
      </c>
      <c r="E15" s="69" t="s">
        <v>135</v>
      </c>
      <c r="F15" s="69" t="s">
        <v>136</v>
      </c>
      <c r="G15" s="69" t="s">
        <v>137</v>
      </c>
      <c r="H15" s="72" t="s">
        <v>204</v>
      </c>
      <c r="I15" s="72" t="s">
        <v>203</v>
      </c>
      <c r="J15" s="72" t="s">
        <v>206</v>
      </c>
      <c r="K15" s="72" t="s">
        <v>214</v>
      </c>
      <c r="L15" s="72" t="s">
        <v>222</v>
      </c>
      <c r="M15" s="72" t="s">
        <v>223</v>
      </c>
      <c r="N15" s="72" t="s">
        <v>239</v>
      </c>
      <c r="O15" s="72" t="s">
        <v>240</v>
      </c>
      <c r="P15" s="72" t="s">
        <v>224</v>
      </c>
      <c r="Q15" s="72" t="s">
        <v>225</v>
      </c>
      <c r="R15" s="72" t="s">
        <v>251</v>
      </c>
      <c r="S15" s="72" t="s">
        <v>262</v>
      </c>
    </row>
    <row r="16" spans="3:19" x14ac:dyDescent="0.45">
      <c r="C16" t="s">
        <v>215</v>
      </c>
      <c r="D16" t="s">
        <v>205</v>
      </c>
      <c r="E16" s="70" t="s">
        <v>138</v>
      </c>
      <c r="F16" s="70" t="s">
        <v>151</v>
      </c>
      <c r="G16" s="78">
        <v>1.5299999999999999E-2</v>
      </c>
      <c r="H16">
        <v>1</v>
      </c>
      <c r="I16">
        <v>0.75</v>
      </c>
      <c r="J16" s="71">
        <v>20</v>
      </c>
      <c r="K16">
        <v>50</v>
      </c>
      <c r="L16">
        <v>1</v>
      </c>
      <c r="M16">
        <v>500</v>
      </c>
      <c r="N16">
        <f>L16*M16</f>
        <v>500</v>
      </c>
      <c r="P16">
        <v>1</v>
      </c>
      <c r="Q16" t="s">
        <v>226</v>
      </c>
    </row>
    <row r="17" spans="3:17" x14ac:dyDescent="0.45">
      <c r="C17" t="s">
        <v>215</v>
      </c>
      <c r="D17" t="s">
        <v>205</v>
      </c>
      <c r="E17" s="70" t="s">
        <v>138</v>
      </c>
      <c r="F17" s="70" t="s">
        <v>152</v>
      </c>
      <c r="G17" s="78">
        <v>5.015E-2</v>
      </c>
      <c r="H17">
        <v>1</v>
      </c>
      <c r="I17">
        <v>1.75</v>
      </c>
      <c r="J17" s="71">
        <v>40</v>
      </c>
      <c r="K17">
        <v>100</v>
      </c>
      <c r="L17">
        <v>2</v>
      </c>
      <c r="M17">
        <v>500</v>
      </c>
      <c r="N17">
        <f t="shared" ref="N17:N20" si="6">L17*M17</f>
        <v>1000</v>
      </c>
      <c r="P17">
        <v>1</v>
      </c>
      <c r="Q17" t="s">
        <v>227</v>
      </c>
    </row>
    <row r="18" spans="3:17" x14ac:dyDescent="0.45">
      <c r="C18" t="s">
        <v>215</v>
      </c>
      <c r="D18" t="s">
        <v>205</v>
      </c>
      <c r="E18" s="70" t="s">
        <v>138</v>
      </c>
      <c r="F18" s="70" t="s">
        <v>153</v>
      </c>
      <c r="G18" s="78">
        <v>0.11305</v>
      </c>
      <c r="H18">
        <v>2</v>
      </c>
      <c r="I18">
        <v>3.5</v>
      </c>
      <c r="J18" s="71">
        <v>60</v>
      </c>
      <c r="K18">
        <v>100</v>
      </c>
      <c r="L18">
        <v>4</v>
      </c>
      <c r="M18">
        <v>500</v>
      </c>
      <c r="N18">
        <f t="shared" si="6"/>
        <v>2000</v>
      </c>
      <c r="P18">
        <v>1</v>
      </c>
      <c r="Q18" t="s">
        <v>227</v>
      </c>
    </row>
    <row r="19" spans="3:17" x14ac:dyDescent="0.45">
      <c r="C19" t="s">
        <v>215</v>
      </c>
      <c r="D19" t="s">
        <v>205</v>
      </c>
      <c r="E19" s="70" t="s">
        <v>138</v>
      </c>
      <c r="F19" s="70" t="s">
        <v>154</v>
      </c>
      <c r="G19" s="78">
        <v>0.25159999999999999</v>
      </c>
      <c r="H19">
        <v>4</v>
      </c>
      <c r="I19">
        <v>7</v>
      </c>
      <c r="J19" s="71">
        <v>120</v>
      </c>
      <c r="K19">
        <v>100</v>
      </c>
      <c r="L19">
        <v>8</v>
      </c>
      <c r="M19">
        <v>500</v>
      </c>
      <c r="N19">
        <f t="shared" si="6"/>
        <v>4000</v>
      </c>
      <c r="P19">
        <v>2</v>
      </c>
      <c r="Q19" t="s">
        <v>228</v>
      </c>
    </row>
    <row r="20" spans="3:17" x14ac:dyDescent="0.45">
      <c r="C20" t="s">
        <v>215</v>
      </c>
      <c r="D20" t="s">
        <v>205</v>
      </c>
      <c r="E20" s="70" t="s">
        <v>138</v>
      </c>
      <c r="F20" s="70" t="s">
        <v>155</v>
      </c>
      <c r="G20" s="78">
        <v>0.50319999999999998</v>
      </c>
      <c r="H20">
        <v>8</v>
      </c>
      <c r="I20">
        <v>14</v>
      </c>
      <c r="J20" s="71">
        <v>240</v>
      </c>
      <c r="K20">
        <v>100</v>
      </c>
      <c r="L20">
        <v>16</v>
      </c>
      <c r="M20">
        <v>500</v>
      </c>
      <c r="N20">
        <f t="shared" si="6"/>
        <v>8000</v>
      </c>
      <c r="P20">
        <v>4</v>
      </c>
      <c r="Q20" t="s">
        <v>228</v>
      </c>
    </row>
    <row r="21" spans="3:17" x14ac:dyDescent="0.45">
      <c r="C21" t="s">
        <v>215</v>
      </c>
      <c r="D21" t="s">
        <v>207</v>
      </c>
      <c r="E21" s="70" t="s">
        <v>138</v>
      </c>
      <c r="F21" s="70" t="s">
        <v>139</v>
      </c>
      <c r="G21" s="78">
        <v>1.7000000000000001E-2</v>
      </c>
      <c r="H21">
        <v>1</v>
      </c>
      <c r="I21">
        <v>0.75</v>
      </c>
      <c r="J21" s="71">
        <v>20</v>
      </c>
      <c r="K21" s="71">
        <v>50</v>
      </c>
      <c r="L21">
        <v>1</v>
      </c>
      <c r="M21">
        <v>500</v>
      </c>
      <c r="N21">
        <f>L21*M21</f>
        <v>500</v>
      </c>
      <c r="P21">
        <v>1</v>
      </c>
      <c r="Q21" t="s">
        <v>226</v>
      </c>
    </row>
    <row r="22" spans="3:17" x14ac:dyDescent="0.45">
      <c r="C22" t="s">
        <v>215</v>
      </c>
      <c r="D22" t="s">
        <v>207</v>
      </c>
      <c r="E22" s="70" t="s">
        <v>138</v>
      </c>
      <c r="F22" s="70" t="s">
        <v>140</v>
      </c>
      <c r="G22" s="78">
        <v>7.6499999999999999E-2</v>
      </c>
      <c r="H22">
        <v>1</v>
      </c>
      <c r="I22">
        <v>1.75</v>
      </c>
      <c r="J22" s="71">
        <v>70</v>
      </c>
      <c r="K22">
        <v>100</v>
      </c>
      <c r="L22">
        <v>2</v>
      </c>
      <c r="M22">
        <v>500</v>
      </c>
      <c r="N22">
        <f t="shared" ref="N22:N80" si="7">L22*M22</f>
        <v>1000</v>
      </c>
      <c r="P22">
        <v>1</v>
      </c>
      <c r="Q22" t="s">
        <v>227</v>
      </c>
    </row>
    <row r="23" spans="3:17" x14ac:dyDescent="0.45">
      <c r="C23" t="s">
        <v>215</v>
      </c>
      <c r="D23" t="s">
        <v>207</v>
      </c>
      <c r="E23" s="70" t="s">
        <v>138</v>
      </c>
      <c r="F23" s="70" t="s">
        <v>143</v>
      </c>
      <c r="G23" s="78">
        <v>0.153</v>
      </c>
      <c r="H23">
        <v>2</v>
      </c>
      <c r="I23">
        <v>3.5</v>
      </c>
      <c r="J23" s="71">
        <v>135</v>
      </c>
      <c r="K23">
        <v>100</v>
      </c>
      <c r="L23">
        <v>4</v>
      </c>
      <c r="M23">
        <v>500</v>
      </c>
      <c r="N23">
        <f t="shared" si="7"/>
        <v>2000</v>
      </c>
      <c r="P23">
        <v>1</v>
      </c>
      <c r="Q23" t="s">
        <v>227</v>
      </c>
    </row>
    <row r="24" spans="3:17" x14ac:dyDescent="0.45">
      <c r="C24" t="s">
        <v>215</v>
      </c>
      <c r="D24" t="s">
        <v>207</v>
      </c>
      <c r="E24" s="70" t="s">
        <v>138</v>
      </c>
      <c r="F24" s="70" t="s">
        <v>144</v>
      </c>
      <c r="G24" s="78">
        <v>0.30599999999999999</v>
      </c>
      <c r="H24">
        <v>4</v>
      </c>
      <c r="I24">
        <v>7</v>
      </c>
      <c r="J24" s="71">
        <v>285</v>
      </c>
      <c r="K24">
        <v>100</v>
      </c>
      <c r="L24">
        <v>8</v>
      </c>
      <c r="M24">
        <v>500</v>
      </c>
      <c r="N24">
        <f t="shared" si="7"/>
        <v>4000</v>
      </c>
      <c r="P24">
        <v>2</v>
      </c>
      <c r="Q24" t="s">
        <v>228</v>
      </c>
    </row>
    <row r="25" spans="3:17" x14ac:dyDescent="0.45">
      <c r="C25" t="s">
        <v>215</v>
      </c>
      <c r="D25" t="s">
        <v>207</v>
      </c>
      <c r="E25" s="70" t="s">
        <v>138</v>
      </c>
      <c r="F25" s="70" t="s">
        <v>145</v>
      </c>
      <c r="G25" s="78">
        <v>0.61199999999999999</v>
      </c>
      <c r="H25">
        <v>8</v>
      </c>
      <c r="I25">
        <v>14</v>
      </c>
      <c r="J25" s="71">
        <v>605</v>
      </c>
      <c r="K25">
        <v>100</v>
      </c>
      <c r="L25">
        <v>16</v>
      </c>
      <c r="M25">
        <v>500</v>
      </c>
      <c r="N25">
        <f t="shared" si="7"/>
        <v>8000</v>
      </c>
      <c r="P25">
        <v>4</v>
      </c>
      <c r="Q25" t="s">
        <v>228</v>
      </c>
    </row>
    <row r="26" spans="3:17" x14ac:dyDescent="0.45">
      <c r="C26" t="s">
        <v>215</v>
      </c>
      <c r="D26" t="s">
        <v>207</v>
      </c>
      <c r="E26" s="70" t="s">
        <v>138</v>
      </c>
      <c r="F26" s="70" t="s">
        <v>146</v>
      </c>
      <c r="G26" s="78">
        <v>0.255</v>
      </c>
      <c r="H26">
        <v>2</v>
      </c>
      <c r="I26">
        <v>14</v>
      </c>
      <c r="J26" s="71">
        <v>135</v>
      </c>
      <c r="K26">
        <v>100</v>
      </c>
      <c r="L26">
        <v>4</v>
      </c>
      <c r="M26">
        <v>500</v>
      </c>
      <c r="N26">
        <f t="shared" si="7"/>
        <v>2000</v>
      </c>
      <c r="P26">
        <v>1</v>
      </c>
      <c r="Q26" t="s">
        <v>227</v>
      </c>
    </row>
    <row r="27" spans="3:17" x14ac:dyDescent="0.45">
      <c r="C27" t="s">
        <v>215</v>
      </c>
      <c r="D27" t="s">
        <v>207</v>
      </c>
      <c r="E27" s="70" t="s">
        <v>138</v>
      </c>
      <c r="F27" s="70" t="s">
        <v>147</v>
      </c>
      <c r="G27" s="78">
        <v>0.51</v>
      </c>
      <c r="H27">
        <v>4</v>
      </c>
      <c r="I27">
        <v>28</v>
      </c>
      <c r="J27" s="71">
        <v>285</v>
      </c>
      <c r="K27">
        <v>100</v>
      </c>
      <c r="L27">
        <v>8</v>
      </c>
      <c r="M27">
        <v>500</v>
      </c>
      <c r="N27">
        <f t="shared" si="7"/>
        <v>4000</v>
      </c>
      <c r="P27">
        <v>2</v>
      </c>
      <c r="Q27" t="s">
        <v>228</v>
      </c>
    </row>
    <row r="28" spans="3:17" x14ac:dyDescent="0.45">
      <c r="C28" t="s">
        <v>215</v>
      </c>
      <c r="D28" t="s">
        <v>207</v>
      </c>
      <c r="E28" s="70" t="s">
        <v>138</v>
      </c>
      <c r="F28" s="70" t="s">
        <v>148</v>
      </c>
      <c r="G28" s="78">
        <v>1.02</v>
      </c>
      <c r="H28">
        <v>8</v>
      </c>
      <c r="I28">
        <v>56</v>
      </c>
      <c r="J28" s="71">
        <v>605</v>
      </c>
      <c r="K28">
        <v>100</v>
      </c>
      <c r="L28">
        <v>16</v>
      </c>
      <c r="M28">
        <v>500</v>
      </c>
      <c r="N28">
        <f t="shared" si="7"/>
        <v>8000</v>
      </c>
      <c r="P28">
        <v>4</v>
      </c>
      <c r="Q28" t="s">
        <v>228</v>
      </c>
    </row>
    <row r="29" spans="3:17" x14ac:dyDescent="0.45">
      <c r="C29" t="s">
        <v>215</v>
      </c>
      <c r="D29" t="s">
        <v>212</v>
      </c>
      <c r="E29" s="70" t="s">
        <v>138</v>
      </c>
      <c r="F29" s="70" t="s">
        <v>149</v>
      </c>
      <c r="G29" s="78">
        <v>1.1475</v>
      </c>
      <c r="H29">
        <v>8</v>
      </c>
      <c r="I29">
        <v>56</v>
      </c>
      <c r="J29">
        <v>382</v>
      </c>
      <c r="K29">
        <v>225</v>
      </c>
      <c r="L29">
        <v>16</v>
      </c>
      <c r="M29">
        <v>500</v>
      </c>
      <c r="N29">
        <f t="shared" si="7"/>
        <v>8000</v>
      </c>
      <c r="P29">
        <v>2</v>
      </c>
      <c r="Q29" t="s">
        <v>228</v>
      </c>
    </row>
    <row r="30" spans="3:17" x14ac:dyDescent="0.45">
      <c r="C30" t="s">
        <v>215</v>
      </c>
      <c r="D30" t="s">
        <v>212</v>
      </c>
      <c r="E30" s="70" t="s">
        <v>138</v>
      </c>
      <c r="F30" s="70" t="s">
        <v>150</v>
      </c>
      <c r="G30" s="78">
        <v>2.2949999999999999</v>
      </c>
      <c r="H30">
        <v>16</v>
      </c>
      <c r="I30">
        <v>112</v>
      </c>
      <c r="J30">
        <v>382</v>
      </c>
      <c r="K30">
        <v>225</v>
      </c>
      <c r="L30">
        <v>16</v>
      </c>
      <c r="M30">
        <v>500</v>
      </c>
      <c r="N30">
        <f t="shared" si="7"/>
        <v>8000</v>
      </c>
      <c r="P30">
        <v>4</v>
      </c>
      <c r="Q30" t="s">
        <v>229</v>
      </c>
    </row>
    <row r="31" spans="3:17" x14ac:dyDescent="0.45">
      <c r="C31" t="s">
        <v>215</v>
      </c>
      <c r="D31" t="s">
        <v>211</v>
      </c>
      <c r="E31" s="70" t="s">
        <v>138</v>
      </c>
      <c r="F31" s="70" t="s">
        <v>141</v>
      </c>
      <c r="G31" s="78">
        <v>0.91800000000000004</v>
      </c>
      <c r="H31">
        <v>8</v>
      </c>
      <c r="I31">
        <v>56</v>
      </c>
      <c r="J31">
        <v>382</v>
      </c>
      <c r="K31">
        <v>225</v>
      </c>
      <c r="L31">
        <v>16</v>
      </c>
      <c r="M31">
        <v>500</v>
      </c>
      <c r="N31">
        <f t="shared" si="7"/>
        <v>8000</v>
      </c>
      <c r="P31">
        <v>2</v>
      </c>
      <c r="Q31" t="s">
        <v>228</v>
      </c>
    </row>
    <row r="32" spans="3:17" x14ac:dyDescent="0.45">
      <c r="C32" t="s">
        <v>215</v>
      </c>
      <c r="D32" t="s">
        <v>211</v>
      </c>
      <c r="E32" s="70" t="s">
        <v>138</v>
      </c>
      <c r="F32" s="70" t="s">
        <v>142</v>
      </c>
      <c r="G32" s="78">
        <v>1.8360000000000001</v>
      </c>
      <c r="H32">
        <v>16</v>
      </c>
      <c r="I32">
        <v>112</v>
      </c>
      <c r="J32">
        <v>382</v>
      </c>
      <c r="K32">
        <v>225</v>
      </c>
      <c r="L32">
        <v>16</v>
      </c>
      <c r="M32">
        <v>500</v>
      </c>
      <c r="N32">
        <f t="shared" si="7"/>
        <v>8000</v>
      </c>
      <c r="P32">
        <v>4</v>
      </c>
      <c r="Q32" t="s">
        <v>229</v>
      </c>
    </row>
    <row r="33" spans="3:18" x14ac:dyDescent="0.45">
      <c r="C33" t="s">
        <v>215</v>
      </c>
      <c r="D33" t="s">
        <v>205</v>
      </c>
      <c r="E33" s="70" t="s">
        <v>138</v>
      </c>
      <c r="F33" s="70" t="s">
        <v>156</v>
      </c>
      <c r="G33" s="78">
        <v>5.525E-2</v>
      </c>
      <c r="H33">
        <v>1</v>
      </c>
      <c r="I33">
        <v>2</v>
      </c>
      <c r="J33" s="71">
        <v>10</v>
      </c>
      <c r="K33">
        <v>100</v>
      </c>
      <c r="L33">
        <v>2</v>
      </c>
      <c r="M33">
        <v>500</v>
      </c>
      <c r="N33">
        <f t="shared" si="7"/>
        <v>1000</v>
      </c>
      <c r="P33">
        <v>1</v>
      </c>
      <c r="Q33" t="s">
        <v>227</v>
      </c>
    </row>
    <row r="34" spans="3:18" x14ac:dyDescent="0.45">
      <c r="C34" t="s">
        <v>215</v>
      </c>
      <c r="D34" t="s">
        <v>205</v>
      </c>
      <c r="E34" s="70" t="s">
        <v>138</v>
      </c>
      <c r="F34" s="70" t="s">
        <v>157</v>
      </c>
      <c r="G34" s="78">
        <v>0.11559999999999999</v>
      </c>
      <c r="H34">
        <v>2</v>
      </c>
      <c r="I34">
        <v>4</v>
      </c>
      <c r="J34" s="71">
        <v>20</v>
      </c>
      <c r="K34">
        <v>100</v>
      </c>
      <c r="L34">
        <v>4</v>
      </c>
      <c r="M34">
        <v>500</v>
      </c>
      <c r="N34">
        <f t="shared" si="7"/>
        <v>2000</v>
      </c>
      <c r="P34">
        <v>2</v>
      </c>
      <c r="Q34" t="s">
        <v>227</v>
      </c>
    </row>
    <row r="35" spans="3:18" x14ac:dyDescent="0.45">
      <c r="C35" t="s">
        <v>215</v>
      </c>
      <c r="D35" t="s">
        <v>205</v>
      </c>
      <c r="E35" s="70" t="s">
        <v>138</v>
      </c>
      <c r="F35" s="70" t="s">
        <v>159</v>
      </c>
      <c r="G35" s="78">
        <v>0.24310000000000001</v>
      </c>
      <c r="H35">
        <v>4</v>
      </c>
      <c r="I35">
        <v>8</v>
      </c>
      <c r="J35" s="71">
        <v>40</v>
      </c>
      <c r="K35">
        <v>100</v>
      </c>
      <c r="L35">
        <v>8</v>
      </c>
      <c r="M35">
        <v>500</v>
      </c>
      <c r="N35">
        <f t="shared" si="7"/>
        <v>4000</v>
      </c>
      <c r="P35">
        <v>4</v>
      </c>
      <c r="Q35" t="s">
        <v>228</v>
      </c>
    </row>
    <row r="36" spans="3:18" x14ac:dyDescent="0.45">
      <c r="C36" t="s">
        <v>215</v>
      </c>
      <c r="D36" t="s">
        <v>205</v>
      </c>
      <c r="E36" s="70" t="s">
        <v>138</v>
      </c>
      <c r="F36" s="70" t="s">
        <v>161</v>
      </c>
      <c r="G36" s="78">
        <v>0.51</v>
      </c>
      <c r="H36">
        <v>8</v>
      </c>
      <c r="I36">
        <v>16</v>
      </c>
      <c r="J36" s="71">
        <v>80</v>
      </c>
      <c r="K36">
        <v>100</v>
      </c>
      <c r="L36">
        <v>16</v>
      </c>
      <c r="M36">
        <v>500</v>
      </c>
      <c r="N36">
        <f t="shared" si="7"/>
        <v>8000</v>
      </c>
      <c r="P36">
        <v>8</v>
      </c>
      <c r="Q36" t="s">
        <v>228</v>
      </c>
    </row>
    <row r="37" spans="3:18" x14ac:dyDescent="0.45">
      <c r="C37" t="s">
        <v>215</v>
      </c>
      <c r="D37" t="s">
        <v>205</v>
      </c>
      <c r="E37" s="70" t="s">
        <v>138</v>
      </c>
      <c r="F37" s="70" t="s">
        <v>158</v>
      </c>
      <c r="G37" s="78">
        <v>0.1598</v>
      </c>
      <c r="H37">
        <v>2</v>
      </c>
      <c r="I37">
        <v>16</v>
      </c>
      <c r="J37" s="71">
        <v>20</v>
      </c>
      <c r="K37">
        <v>100</v>
      </c>
      <c r="L37">
        <v>16</v>
      </c>
      <c r="M37">
        <v>500</v>
      </c>
      <c r="N37">
        <f t="shared" si="7"/>
        <v>8000</v>
      </c>
      <c r="P37">
        <v>2</v>
      </c>
      <c r="Q37" t="s">
        <v>227</v>
      </c>
    </row>
    <row r="38" spans="3:18" x14ac:dyDescent="0.45">
      <c r="C38" t="s">
        <v>215</v>
      </c>
      <c r="D38" t="s">
        <v>205</v>
      </c>
      <c r="E38" s="70" t="s">
        <v>138</v>
      </c>
      <c r="F38" s="70" t="s">
        <v>160</v>
      </c>
      <c r="G38" s="78">
        <v>0.31874999999999998</v>
      </c>
      <c r="H38">
        <v>4</v>
      </c>
      <c r="I38">
        <v>32</v>
      </c>
      <c r="J38" s="71">
        <v>40</v>
      </c>
      <c r="K38">
        <v>100</v>
      </c>
      <c r="L38">
        <v>32</v>
      </c>
      <c r="M38">
        <v>500</v>
      </c>
      <c r="N38">
        <f t="shared" si="7"/>
        <v>16000</v>
      </c>
      <c r="P38">
        <v>4</v>
      </c>
      <c r="Q38" t="s">
        <v>228</v>
      </c>
    </row>
    <row r="39" spans="3:18" x14ac:dyDescent="0.45">
      <c r="C39" t="s">
        <v>215</v>
      </c>
      <c r="D39" t="s">
        <v>205</v>
      </c>
      <c r="E39" s="70" t="s">
        <v>138</v>
      </c>
      <c r="F39" s="70" t="s">
        <v>162</v>
      </c>
      <c r="G39" s="78">
        <v>0.63749999999999996</v>
      </c>
      <c r="H39">
        <v>8</v>
      </c>
      <c r="I39">
        <v>64</v>
      </c>
      <c r="J39" s="71">
        <v>80</v>
      </c>
      <c r="K39">
        <v>100</v>
      </c>
      <c r="L39">
        <v>64</v>
      </c>
      <c r="M39">
        <v>500</v>
      </c>
      <c r="N39">
        <f t="shared" si="7"/>
        <v>32000</v>
      </c>
      <c r="P39">
        <v>8</v>
      </c>
      <c r="Q39" t="s">
        <v>228</v>
      </c>
    </row>
    <row r="40" spans="3:18" x14ac:dyDescent="0.45">
      <c r="C40" t="s">
        <v>215</v>
      </c>
      <c r="D40" t="s">
        <v>207</v>
      </c>
      <c r="E40" s="70" t="s">
        <v>138</v>
      </c>
      <c r="F40" s="70" t="s">
        <v>231</v>
      </c>
      <c r="G40" s="78">
        <v>0.1105</v>
      </c>
      <c r="H40">
        <v>1</v>
      </c>
      <c r="I40">
        <v>3.5</v>
      </c>
      <c r="J40" s="71">
        <v>50</v>
      </c>
      <c r="K40">
        <v>160</v>
      </c>
      <c r="L40">
        <v>2</v>
      </c>
      <c r="M40">
        <v>1600</v>
      </c>
      <c r="N40">
        <f t="shared" si="7"/>
        <v>3200</v>
      </c>
      <c r="O40">
        <v>32</v>
      </c>
      <c r="P40">
        <v>1</v>
      </c>
      <c r="Q40" t="s">
        <v>227</v>
      </c>
      <c r="R40">
        <f t="shared" ref="R40:R46" si="8">O40*1024/N40</f>
        <v>10.24</v>
      </c>
    </row>
    <row r="41" spans="3:18" x14ac:dyDescent="0.45">
      <c r="C41" t="s">
        <v>215</v>
      </c>
      <c r="D41" t="s">
        <v>207</v>
      </c>
      <c r="E41" s="70" t="s">
        <v>138</v>
      </c>
      <c r="F41" s="70" t="s">
        <v>232</v>
      </c>
      <c r="G41" s="78">
        <v>0.221</v>
      </c>
      <c r="H41">
        <v>2</v>
      </c>
      <c r="I41">
        <v>7</v>
      </c>
      <c r="J41" s="71">
        <v>100</v>
      </c>
      <c r="K41">
        <v>160</v>
      </c>
      <c r="L41">
        <v>4</v>
      </c>
      <c r="M41">
        <v>1600</v>
      </c>
      <c r="N41">
        <f t="shared" si="7"/>
        <v>6400</v>
      </c>
      <c r="O41">
        <v>64</v>
      </c>
      <c r="P41">
        <v>2</v>
      </c>
      <c r="Q41" t="s">
        <v>228</v>
      </c>
      <c r="R41">
        <f t="shared" si="8"/>
        <v>10.24</v>
      </c>
    </row>
    <row r="42" spans="3:18" x14ac:dyDescent="0.45">
      <c r="C42" t="s">
        <v>215</v>
      </c>
      <c r="D42" t="s">
        <v>207</v>
      </c>
      <c r="E42" s="70" t="s">
        <v>138</v>
      </c>
      <c r="F42" s="70" t="s">
        <v>233</v>
      </c>
      <c r="G42" s="78">
        <v>0.442</v>
      </c>
      <c r="H42">
        <v>4</v>
      </c>
      <c r="I42">
        <v>14</v>
      </c>
      <c r="J42" s="71">
        <v>200</v>
      </c>
      <c r="K42">
        <v>160</v>
      </c>
      <c r="L42">
        <v>8</v>
      </c>
      <c r="M42">
        <v>1600</v>
      </c>
      <c r="N42">
        <f t="shared" si="7"/>
        <v>12800</v>
      </c>
      <c r="O42">
        <v>128</v>
      </c>
      <c r="P42">
        <v>4</v>
      </c>
      <c r="Q42" t="s">
        <v>228</v>
      </c>
      <c r="R42">
        <f t="shared" si="8"/>
        <v>10.24</v>
      </c>
    </row>
    <row r="43" spans="3:18" x14ac:dyDescent="0.45">
      <c r="C43" t="s">
        <v>215</v>
      </c>
      <c r="D43" t="s">
        <v>207</v>
      </c>
      <c r="E43" s="70" t="s">
        <v>138</v>
      </c>
      <c r="F43" s="70" t="s">
        <v>234</v>
      </c>
      <c r="G43" s="78">
        <v>0.88400000000000001</v>
      </c>
      <c r="H43">
        <v>8</v>
      </c>
      <c r="I43">
        <v>28</v>
      </c>
      <c r="J43" s="71">
        <v>400</v>
      </c>
      <c r="K43">
        <v>160</v>
      </c>
      <c r="L43">
        <v>16</v>
      </c>
      <c r="M43">
        <v>1600</v>
      </c>
      <c r="N43">
        <f t="shared" si="7"/>
        <v>25600</v>
      </c>
      <c r="O43">
        <v>256</v>
      </c>
      <c r="P43">
        <v>8</v>
      </c>
      <c r="Q43" t="s">
        <v>228</v>
      </c>
      <c r="R43">
        <f t="shared" si="8"/>
        <v>10.24</v>
      </c>
    </row>
    <row r="44" spans="3:18" x14ac:dyDescent="0.45">
      <c r="C44" t="s">
        <v>215</v>
      </c>
      <c r="D44" t="s">
        <v>208</v>
      </c>
      <c r="E44" s="70" t="s">
        <v>138</v>
      </c>
      <c r="F44" s="70" t="s">
        <v>235</v>
      </c>
      <c r="G44" s="78">
        <v>0.255</v>
      </c>
      <c r="H44">
        <v>2</v>
      </c>
      <c r="I44">
        <v>14</v>
      </c>
      <c r="J44" s="71">
        <v>100</v>
      </c>
      <c r="K44">
        <v>160</v>
      </c>
      <c r="L44">
        <v>4</v>
      </c>
      <c r="M44">
        <v>1600</v>
      </c>
      <c r="N44">
        <f t="shared" si="7"/>
        <v>6400</v>
      </c>
      <c r="O44">
        <v>64</v>
      </c>
      <c r="P44">
        <v>2</v>
      </c>
      <c r="Q44" t="s">
        <v>228</v>
      </c>
      <c r="R44">
        <f t="shared" si="8"/>
        <v>10.24</v>
      </c>
    </row>
    <row r="45" spans="3:18" x14ac:dyDescent="0.45">
      <c r="C45" t="s">
        <v>215</v>
      </c>
      <c r="D45" t="s">
        <v>208</v>
      </c>
      <c r="E45" s="70" t="s">
        <v>138</v>
      </c>
      <c r="F45" s="70" t="s">
        <v>236</v>
      </c>
      <c r="G45" s="78">
        <v>0.51</v>
      </c>
      <c r="H45">
        <v>4</v>
      </c>
      <c r="I45">
        <v>28</v>
      </c>
      <c r="J45" s="71">
        <v>200</v>
      </c>
      <c r="K45">
        <v>160</v>
      </c>
      <c r="L45">
        <v>8</v>
      </c>
      <c r="M45">
        <v>1600</v>
      </c>
      <c r="N45">
        <f t="shared" si="7"/>
        <v>12800</v>
      </c>
      <c r="O45">
        <v>128</v>
      </c>
      <c r="P45">
        <v>4</v>
      </c>
      <c r="Q45" t="s">
        <v>228</v>
      </c>
      <c r="R45">
        <f t="shared" si="8"/>
        <v>10.24</v>
      </c>
    </row>
    <row r="46" spans="3:18" x14ac:dyDescent="0.45">
      <c r="C46" t="s">
        <v>215</v>
      </c>
      <c r="D46" t="s">
        <v>208</v>
      </c>
      <c r="E46" s="70" t="s">
        <v>138</v>
      </c>
      <c r="F46" s="70" t="s">
        <v>237</v>
      </c>
      <c r="G46" s="78">
        <v>0.91800000000000004</v>
      </c>
      <c r="H46">
        <v>8</v>
      </c>
      <c r="I46">
        <v>56</v>
      </c>
      <c r="J46" s="71">
        <v>400</v>
      </c>
      <c r="K46">
        <v>160</v>
      </c>
      <c r="L46">
        <v>16</v>
      </c>
      <c r="M46">
        <v>1600</v>
      </c>
      <c r="N46">
        <f t="shared" si="7"/>
        <v>25600</v>
      </c>
      <c r="O46">
        <v>256</v>
      </c>
      <c r="P46">
        <v>8</v>
      </c>
      <c r="Q46" t="s">
        <v>228</v>
      </c>
      <c r="R46">
        <f t="shared" si="8"/>
        <v>10.24</v>
      </c>
    </row>
    <row r="47" spans="3:18" x14ac:dyDescent="0.45">
      <c r="C47" t="s">
        <v>215</v>
      </c>
      <c r="D47" t="s">
        <v>208</v>
      </c>
      <c r="E47" s="70" t="s">
        <v>138</v>
      </c>
      <c r="F47" s="70" t="s">
        <v>238</v>
      </c>
      <c r="G47" s="78">
        <v>1.6524000000000001</v>
      </c>
      <c r="H47">
        <v>16</v>
      </c>
      <c r="I47">
        <v>112</v>
      </c>
      <c r="J47" s="71">
        <v>800</v>
      </c>
      <c r="K47">
        <v>160</v>
      </c>
      <c r="L47">
        <v>32</v>
      </c>
      <c r="M47">
        <v>1600</v>
      </c>
      <c r="N47">
        <f t="shared" si="7"/>
        <v>51200</v>
      </c>
      <c r="O47">
        <v>512</v>
      </c>
      <c r="P47">
        <v>8</v>
      </c>
      <c r="Q47" t="s">
        <v>229</v>
      </c>
      <c r="R47">
        <f>O47*1024/N47</f>
        <v>10.24</v>
      </c>
    </row>
    <row r="48" spans="3:18" x14ac:dyDescent="0.45">
      <c r="C48" t="s">
        <v>215</v>
      </c>
      <c r="D48" t="s">
        <v>207</v>
      </c>
      <c r="E48" s="70" t="s">
        <v>138</v>
      </c>
      <c r="F48" s="70" t="s">
        <v>163</v>
      </c>
      <c r="G48" s="78">
        <v>0.1105</v>
      </c>
      <c r="H48">
        <v>1</v>
      </c>
      <c r="I48">
        <v>3.5</v>
      </c>
      <c r="J48" s="71">
        <v>50</v>
      </c>
      <c r="K48">
        <v>160</v>
      </c>
      <c r="L48">
        <v>2</v>
      </c>
      <c r="M48">
        <v>500</v>
      </c>
      <c r="N48">
        <f t="shared" si="7"/>
        <v>1000</v>
      </c>
      <c r="P48">
        <v>1</v>
      </c>
      <c r="Q48" t="s">
        <v>227</v>
      </c>
    </row>
    <row r="49" spans="3:18" x14ac:dyDescent="0.45">
      <c r="C49" t="s">
        <v>215</v>
      </c>
      <c r="D49" t="s">
        <v>207</v>
      </c>
      <c r="E49" s="70" t="s">
        <v>138</v>
      </c>
      <c r="F49" s="70" t="s">
        <v>174</v>
      </c>
      <c r="G49" s="78">
        <v>0.221</v>
      </c>
      <c r="H49">
        <v>2</v>
      </c>
      <c r="I49">
        <v>7</v>
      </c>
      <c r="J49" s="71">
        <v>100</v>
      </c>
      <c r="K49">
        <v>160</v>
      </c>
      <c r="L49">
        <v>4</v>
      </c>
      <c r="M49">
        <v>500</v>
      </c>
      <c r="N49">
        <f t="shared" si="7"/>
        <v>2000</v>
      </c>
      <c r="P49">
        <v>2</v>
      </c>
      <c r="Q49" t="s">
        <v>228</v>
      </c>
    </row>
    <row r="50" spans="3:18" x14ac:dyDescent="0.45">
      <c r="C50" t="s">
        <v>215</v>
      </c>
      <c r="D50" t="s">
        <v>207</v>
      </c>
      <c r="E50" s="70" t="s">
        <v>138</v>
      </c>
      <c r="F50" s="70" t="s">
        <v>176</v>
      </c>
      <c r="G50" s="78">
        <v>0.442</v>
      </c>
      <c r="H50">
        <v>4</v>
      </c>
      <c r="I50">
        <v>14</v>
      </c>
      <c r="J50" s="71">
        <v>200</v>
      </c>
      <c r="K50">
        <v>160</v>
      </c>
      <c r="L50">
        <v>8</v>
      </c>
      <c r="M50">
        <v>500</v>
      </c>
      <c r="N50">
        <f t="shared" si="7"/>
        <v>4000</v>
      </c>
      <c r="P50">
        <v>4</v>
      </c>
      <c r="Q50" t="s">
        <v>228</v>
      </c>
    </row>
    <row r="51" spans="3:18" x14ac:dyDescent="0.45">
      <c r="C51" t="s">
        <v>215</v>
      </c>
      <c r="D51" t="s">
        <v>207</v>
      </c>
      <c r="E51" s="70" t="s">
        <v>138</v>
      </c>
      <c r="F51" s="70" t="s">
        <v>178</v>
      </c>
      <c r="G51" s="78">
        <v>0.88400000000000001</v>
      </c>
      <c r="H51">
        <v>8</v>
      </c>
      <c r="I51">
        <v>28</v>
      </c>
      <c r="J51" s="71">
        <v>400</v>
      </c>
      <c r="K51">
        <v>160</v>
      </c>
      <c r="L51">
        <v>16</v>
      </c>
      <c r="M51">
        <v>500</v>
      </c>
      <c r="N51">
        <f t="shared" si="7"/>
        <v>8000</v>
      </c>
      <c r="P51">
        <v>8</v>
      </c>
      <c r="Q51" t="s">
        <v>228</v>
      </c>
    </row>
    <row r="52" spans="3:18" x14ac:dyDescent="0.45">
      <c r="C52" t="s">
        <v>215</v>
      </c>
      <c r="D52" t="s">
        <v>208</v>
      </c>
      <c r="E52" s="70" t="s">
        <v>138</v>
      </c>
      <c r="F52" s="70" t="s">
        <v>165</v>
      </c>
      <c r="G52" s="78">
        <v>0.255</v>
      </c>
      <c r="H52">
        <v>2</v>
      </c>
      <c r="I52">
        <v>14</v>
      </c>
      <c r="J52" s="71">
        <v>100</v>
      </c>
      <c r="K52">
        <v>160</v>
      </c>
      <c r="L52">
        <v>4</v>
      </c>
      <c r="M52">
        <v>500</v>
      </c>
      <c r="N52">
        <f t="shared" si="7"/>
        <v>2000</v>
      </c>
      <c r="P52">
        <v>2</v>
      </c>
      <c r="Q52" t="s">
        <v>228</v>
      </c>
    </row>
    <row r="53" spans="3:18" x14ac:dyDescent="0.45">
      <c r="C53" t="s">
        <v>215</v>
      </c>
      <c r="D53" t="s">
        <v>208</v>
      </c>
      <c r="E53" s="70" t="s">
        <v>138</v>
      </c>
      <c r="F53" s="70" t="s">
        <v>167</v>
      </c>
      <c r="G53" s="78">
        <v>0.51</v>
      </c>
      <c r="H53">
        <v>4</v>
      </c>
      <c r="I53">
        <v>28</v>
      </c>
      <c r="J53" s="71">
        <v>200</v>
      </c>
      <c r="K53">
        <v>160</v>
      </c>
      <c r="L53">
        <v>8</v>
      </c>
      <c r="M53">
        <v>500</v>
      </c>
      <c r="N53">
        <f t="shared" si="7"/>
        <v>4000</v>
      </c>
      <c r="P53">
        <v>4</v>
      </c>
      <c r="Q53" t="s">
        <v>228</v>
      </c>
    </row>
    <row r="54" spans="3:18" x14ac:dyDescent="0.45">
      <c r="C54" t="s">
        <v>215</v>
      </c>
      <c r="D54" t="s">
        <v>208</v>
      </c>
      <c r="E54" s="70" t="s">
        <v>138</v>
      </c>
      <c r="F54" s="70" t="s">
        <v>169</v>
      </c>
      <c r="G54" s="78">
        <v>0.91800000000000004</v>
      </c>
      <c r="H54">
        <v>8</v>
      </c>
      <c r="I54">
        <v>56</v>
      </c>
      <c r="J54" s="71">
        <v>400</v>
      </c>
      <c r="K54">
        <v>160</v>
      </c>
      <c r="L54">
        <v>16</v>
      </c>
      <c r="M54">
        <v>500</v>
      </c>
      <c r="N54">
        <f t="shared" si="7"/>
        <v>8000</v>
      </c>
      <c r="P54">
        <v>8</v>
      </c>
      <c r="Q54" t="s">
        <v>228</v>
      </c>
    </row>
    <row r="55" spans="3:18" x14ac:dyDescent="0.45">
      <c r="C55" t="s">
        <v>215</v>
      </c>
      <c r="D55" t="s">
        <v>208</v>
      </c>
      <c r="E55" s="70" t="s">
        <v>138</v>
      </c>
      <c r="F55" s="70" t="s">
        <v>171</v>
      </c>
      <c r="G55" s="78">
        <v>1.6524000000000001</v>
      </c>
      <c r="H55">
        <v>16</v>
      </c>
      <c r="I55">
        <v>112</v>
      </c>
      <c r="J55" s="71">
        <v>800</v>
      </c>
      <c r="K55">
        <v>160</v>
      </c>
      <c r="L55">
        <v>32</v>
      </c>
      <c r="M55">
        <v>500</v>
      </c>
      <c r="N55">
        <f t="shared" si="7"/>
        <v>16000</v>
      </c>
      <c r="P55">
        <v>8</v>
      </c>
      <c r="Q55" t="s">
        <v>229</v>
      </c>
    </row>
    <row r="56" spans="3:18" x14ac:dyDescent="0.45">
      <c r="C56" t="s">
        <v>215</v>
      </c>
      <c r="D56" t="s">
        <v>207</v>
      </c>
      <c r="E56" s="70" t="s">
        <v>138</v>
      </c>
      <c r="F56" s="70" t="s">
        <v>241</v>
      </c>
      <c r="G56" s="78">
        <v>0.1105</v>
      </c>
      <c r="H56">
        <v>1</v>
      </c>
      <c r="I56">
        <v>3.5</v>
      </c>
      <c r="J56" s="71">
        <v>50</v>
      </c>
      <c r="K56">
        <v>210</v>
      </c>
      <c r="L56">
        <v>2</v>
      </c>
      <c r="M56">
        <v>1600</v>
      </c>
      <c r="N56">
        <f t="shared" ref="N56:N65" si="9">L56*M56</f>
        <v>3200</v>
      </c>
      <c r="O56">
        <v>48</v>
      </c>
      <c r="P56">
        <v>1</v>
      </c>
      <c r="Q56" t="s">
        <v>227</v>
      </c>
      <c r="R56">
        <f>O56*1024/N56</f>
        <v>15.36</v>
      </c>
    </row>
    <row r="57" spans="3:18" x14ac:dyDescent="0.45">
      <c r="C57" t="s">
        <v>215</v>
      </c>
      <c r="D57" t="s">
        <v>207</v>
      </c>
      <c r="E57" s="70" t="s">
        <v>138</v>
      </c>
      <c r="F57" s="70" t="s">
        <v>242</v>
      </c>
      <c r="G57" s="78">
        <v>0.221</v>
      </c>
      <c r="H57">
        <v>2</v>
      </c>
      <c r="I57">
        <v>7</v>
      </c>
      <c r="J57" s="71">
        <v>100</v>
      </c>
      <c r="K57">
        <v>210</v>
      </c>
      <c r="L57">
        <v>4</v>
      </c>
      <c r="M57">
        <v>1600</v>
      </c>
      <c r="N57">
        <f t="shared" si="9"/>
        <v>6400</v>
      </c>
      <c r="O57">
        <v>96</v>
      </c>
      <c r="P57">
        <v>2</v>
      </c>
      <c r="Q57" t="s">
        <v>228</v>
      </c>
      <c r="R57">
        <f t="shared" ref="R57:R65" si="10">O57*1024/N57</f>
        <v>15.36</v>
      </c>
    </row>
    <row r="58" spans="3:18" x14ac:dyDescent="0.45">
      <c r="C58" t="s">
        <v>215</v>
      </c>
      <c r="D58" t="s">
        <v>207</v>
      </c>
      <c r="E58" s="70" t="s">
        <v>138</v>
      </c>
      <c r="F58" s="70" t="s">
        <v>243</v>
      </c>
      <c r="G58" s="78">
        <v>0.442</v>
      </c>
      <c r="H58">
        <v>4</v>
      </c>
      <c r="I58">
        <v>14</v>
      </c>
      <c r="J58" s="71">
        <v>200</v>
      </c>
      <c r="K58">
        <v>210</v>
      </c>
      <c r="L58">
        <v>8</v>
      </c>
      <c r="M58">
        <v>1600</v>
      </c>
      <c r="N58">
        <f t="shared" si="9"/>
        <v>12800</v>
      </c>
      <c r="O58">
        <v>192</v>
      </c>
      <c r="P58">
        <v>4</v>
      </c>
      <c r="Q58" t="s">
        <v>228</v>
      </c>
      <c r="R58">
        <f t="shared" si="10"/>
        <v>15.36</v>
      </c>
    </row>
    <row r="59" spans="3:18" x14ac:dyDescent="0.45">
      <c r="C59" t="s">
        <v>215</v>
      </c>
      <c r="D59" t="s">
        <v>207</v>
      </c>
      <c r="E59" s="70" t="s">
        <v>138</v>
      </c>
      <c r="F59" s="70" t="s">
        <v>244</v>
      </c>
      <c r="G59" s="78">
        <v>0.88400000000000001</v>
      </c>
      <c r="H59">
        <v>8</v>
      </c>
      <c r="I59">
        <v>28</v>
      </c>
      <c r="J59" s="71">
        <v>400</v>
      </c>
      <c r="K59">
        <v>210</v>
      </c>
      <c r="L59">
        <v>16</v>
      </c>
      <c r="M59">
        <v>1600</v>
      </c>
      <c r="N59">
        <f t="shared" si="9"/>
        <v>25600</v>
      </c>
      <c r="O59">
        <v>384</v>
      </c>
      <c r="P59">
        <v>8</v>
      </c>
      <c r="Q59" t="s">
        <v>228</v>
      </c>
      <c r="R59">
        <f t="shared" si="10"/>
        <v>15.36</v>
      </c>
    </row>
    <row r="60" spans="3:18" x14ac:dyDescent="0.45">
      <c r="C60" t="s">
        <v>215</v>
      </c>
      <c r="D60" t="s">
        <v>207</v>
      </c>
      <c r="E60" s="70" t="s">
        <v>138</v>
      </c>
      <c r="F60" s="70" t="s">
        <v>245</v>
      </c>
      <c r="G60" s="78">
        <v>1.5911999999999999</v>
      </c>
      <c r="H60">
        <v>16</v>
      </c>
      <c r="I60">
        <v>56</v>
      </c>
      <c r="J60" s="71">
        <v>800</v>
      </c>
      <c r="K60">
        <v>210</v>
      </c>
      <c r="L60">
        <v>32</v>
      </c>
      <c r="M60">
        <v>1600</v>
      </c>
      <c r="N60">
        <f t="shared" si="9"/>
        <v>51200</v>
      </c>
      <c r="O60">
        <v>768</v>
      </c>
      <c r="P60">
        <v>8</v>
      </c>
      <c r="Q60" t="s">
        <v>230</v>
      </c>
      <c r="R60">
        <f t="shared" si="10"/>
        <v>15.36</v>
      </c>
    </row>
    <row r="61" spans="3:18" x14ac:dyDescent="0.45">
      <c r="C61" t="s">
        <v>215</v>
      </c>
      <c r="D61" t="s">
        <v>208</v>
      </c>
      <c r="E61" s="70" t="s">
        <v>138</v>
      </c>
      <c r="F61" s="70" t="s">
        <v>246</v>
      </c>
      <c r="G61" s="78">
        <v>0.255</v>
      </c>
      <c r="H61">
        <v>2</v>
      </c>
      <c r="I61">
        <v>14</v>
      </c>
      <c r="J61" s="71">
        <v>100</v>
      </c>
      <c r="K61">
        <v>210</v>
      </c>
      <c r="L61">
        <v>4</v>
      </c>
      <c r="M61">
        <v>1600</v>
      </c>
      <c r="N61">
        <f t="shared" si="9"/>
        <v>6400</v>
      </c>
      <c r="O61">
        <v>96</v>
      </c>
      <c r="P61">
        <v>2</v>
      </c>
      <c r="Q61" t="s">
        <v>228</v>
      </c>
      <c r="R61">
        <f t="shared" si="10"/>
        <v>15.36</v>
      </c>
    </row>
    <row r="62" spans="3:18" x14ac:dyDescent="0.45">
      <c r="C62" t="s">
        <v>215</v>
      </c>
      <c r="D62" t="s">
        <v>208</v>
      </c>
      <c r="E62" s="70" t="s">
        <v>138</v>
      </c>
      <c r="F62" s="70" t="s">
        <v>247</v>
      </c>
      <c r="G62" s="78">
        <v>0.51</v>
      </c>
      <c r="H62">
        <v>4</v>
      </c>
      <c r="I62">
        <v>28</v>
      </c>
      <c r="J62" s="71">
        <v>200</v>
      </c>
      <c r="K62">
        <v>210</v>
      </c>
      <c r="L62">
        <v>8</v>
      </c>
      <c r="M62">
        <v>1600</v>
      </c>
      <c r="N62">
        <f t="shared" si="9"/>
        <v>12800</v>
      </c>
      <c r="O62">
        <v>192</v>
      </c>
      <c r="P62">
        <v>4</v>
      </c>
      <c r="Q62" t="s">
        <v>228</v>
      </c>
      <c r="R62">
        <f t="shared" si="10"/>
        <v>15.36</v>
      </c>
    </row>
    <row r="63" spans="3:18" x14ac:dyDescent="0.45">
      <c r="C63" t="s">
        <v>215</v>
      </c>
      <c r="D63" t="s">
        <v>208</v>
      </c>
      <c r="E63" s="70" t="s">
        <v>138</v>
      </c>
      <c r="F63" s="70" t="s">
        <v>248</v>
      </c>
      <c r="G63" s="78">
        <v>0.91800000000000004</v>
      </c>
      <c r="H63">
        <v>8</v>
      </c>
      <c r="I63">
        <v>56</v>
      </c>
      <c r="J63" s="71">
        <v>400</v>
      </c>
      <c r="K63">
        <v>210</v>
      </c>
      <c r="L63">
        <v>16</v>
      </c>
      <c r="M63">
        <v>1600</v>
      </c>
      <c r="N63">
        <f t="shared" si="9"/>
        <v>25600</v>
      </c>
      <c r="O63">
        <v>384</v>
      </c>
      <c r="P63">
        <v>8</v>
      </c>
      <c r="Q63" t="s">
        <v>228</v>
      </c>
      <c r="R63">
        <f t="shared" si="10"/>
        <v>15.36</v>
      </c>
    </row>
    <row r="64" spans="3:18" x14ac:dyDescent="0.45">
      <c r="C64" t="s">
        <v>215</v>
      </c>
      <c r="D64" t="s">
        <v>208</v>
      </c>
      <c r="E64" s="70" t="s">
        <v>138</v>
      </c>
      <c r="F64" s="70" t="s">
        <v>249</v>
      </c>
      <c r="G64" s="78">
        <v>1.6524000000000001</v>
      </c>
      <c r="H64">
        <v>16</v>
      </c>
      <c r="I64">
        <v>112</v>
      </c>
      <c r="J64" s="71">
        <v>800</v>
      </c>
      <c r="K64">
        <v>210</v>
      </c>
      <c r="L64">
        <v>32</v>
      </c>
      <c r="M64">
        <v>1600</v>
      </c>
      <c r="N64">
        <f t="shared" si="9"/>
        <v>51200</v>
      </c>
      <c r="O64">
        <v>768</v>
      </c>
      <c r="P64">
        <v>8</v>
      </c>
      <c r="Q64" t="s">
        <v>230</v>
      </c>
      <c r="R64">
        <f t="shared" si="10"/>
        <v>15.36</v>
      </c>
    </row>
    <row r="65" spans="3:18" x14ac:dyDescent="0.45">
      <c r="C65" t="s">
        <v>215</v>
      </c>
      <c r="D65" t="s">
        <v>208</v>
      </c>
      <c r="E65" s="70" t="s">
        <v>138</v>
      </c>
      <c r="F65" s="70" t="s">
        <v>250</v>
      </c>
      <c r="G65" s="78">
        <v>2.0655000000000001</v>
      </c>
      <c r="H65">
        <v>20</v>
      </c>
      <c r="I65">
        <v>140</v>
      </c>
      <c r="J65" s="71">
        <v>1000</v>
      </c>
      <c r="K65">
        <v>210</v>
      </c>
      <c r="L65">
        <v>40</v>
      </c>
      <c r="M65">
        <v>1600</v>
      </c>
      <c r="N65">
        <f t="shared" si="9"/>
        <v>64000</v>
      </c>
      <c r="O65">
        <v>960</v>
      </c>
      <c r="P65">
        <v>8</v>
      </c>
      <c r="Q65" t="s">
        <v>230</v>
      </c>
      <c r="R65">
        <f t="shared" si="10"/>
        <v>15.36</v>
      </c>
    </row>
    <row r="66" spans="3:18" x14ac:dyDescent="0.45">
      <c r="C66" t="s">
        <v>215</v>
      </c>
      <c r="D66" t="s">
        <v>207</v>
      </c>
      <c r="E66" s="70" t="s">
        <v>138</v>
      </c>
      <c r="F66" s="70" t="s">
        <v>164</v>
      </c>
      <c r="G66" s="78">
        <v>0.1105</v>
      </c>
      <c r="H66">
        <v>1</v>
      </c>
      <c r="I66">
        <v>3.5</v>
      </c>
      <c r="J66" s="71">
        <v>50</v>
      </c>
      <c r="K66">
        <v>210</v>
      </c>
      <c r="L66">
        <v>2</v>
      </c>
      <c r="M66">
        <v>500</v>
      </c>
      <c r="N66">
        <f t="shared" si="7"/>
        <v>1000</v>
      </c>
      <c r="P66">
        <v>1</v>
      </c>
      <c r="Q66" t="s">
        <v>227</v>
      </c>
    </row>
    <row r="67" spans="3:18" x14ac:dyDescent="0.45">
      <c r="C67" t="s">
        <v>215</v>
      </c>
      <c r="D67" t="s">
        <v>207</v>
      </c>
      <c r="E67" s="70" t="s">
        <v>138</v>
      </c>
      <c r="F67" s="70" t="s">
        <v>175</v>
      </c>
      <c r="G67" s="78">
        <v>0.221</v>
      </c>
      <c r="H67">
        <v>2</v>
      </c>
      <c r="I67">
        <v>7</v>
      </c>
      <c r="J67" s="71">
        <v>100</v>
      </c>
      <c r="K67">
        <v>210</v>
      </c>
      <c r="L67">
        <v>4</v>
      </c>
      <c r="M67">
        <v>500</v>
      </c>
      <c r="N67">
        <f t="shared" si="7"/>
        <v>2000</v>
      </c>
      <c r="P67">
        <v>2</v>
      </c>
      <c r="Q67" t="s">
        <v>228</v>
      </c>
    </row>
    <row r="68" spans="3:18" x14ac:dyDescent="0.45">
      <c r="C68" t="s">
        <v>215</v>
      </c>
      <c r="D68" t="s">
        <v>207</v>
      </c>
      <c r="E68" s="70" t="s">
        <v>138</v>
      </c>
      <c r="F68" s="70" t="s">
        <v>177</v>
      </c>
      <c r="G68" s="78">
        <v>0.442</v>
      </c>
      <c r="H68">
        <v>4</v>
      </c>
      <c r="I68">
        <v>14</v>
      </c>
      <c r="J68" s="71">
        <v>200</v>
      </c>
      <c r="K68">
        <v>210</v>
      </c>
      <c r="L68">
        <v>8</v>
      </c>
      <c r="M68">
        <v>500</v>
      </c>
      <c r="N68">
        <f t="shared" si="7"/>
        <v>4000</v>
      </c>
      <c r="P68">
        <v>4</v>
      </c>
      <c r="Q68" t="s">
        <v>228</v>
      </c>
    </row>
    <row r="69" spans="3:18" x14ac:dyDescent="0.45">
      <c r="C69" t="s">
        <v>215</v>
      </c>
      <c r="D69" t="s">
        <v>207</v>
      </c>
      <c r="E69" s="70" t="s">
        <v>138</v>
      </c>
      <c r="F69" s="70" t="s">
        <v>179</v>
      </c>
      <c r="G69" s="78">
        <v>0.88400000000000001</v>
      </c>
      <c r="H69">
        <v>8</v>
      </c>
      <c r="I69">
        <v>28</v>
      </c>
      <c r="J69" s="71">
        <v>400</v>
      </c>
      <c r="K69">
        <v>210</v>
      </c>
      <c r="L69">
        <v>16</v>
      </c>
      <c r="M69">
        <v>500</v>
      </c>
      <c r="N69">
        <f t="shared" si="7"/>
        <v>8000</v>
      </c>
      <c r="P69">
        <v>8</v>
      </c>
      <c r="Q69" t="s">
        <v>228</v>
      </c>
    </row>
    <row r="70" spans="3:18" x14ac:dyDescent="0.45">
      <c r="C70" t="s">
        <v>215</v>
      </c>
      <c r="D70" t="s">
        <v>207</v>
      </c>
      <c r="E70" s="70" t="s">
        <v>138</v>
      </c>
      <c r="F70" s="70" t="s">
        <v>180</v>
      </c>
      <c r="G70" s="78">
        <v>1.5911999999999999</v>
      </c>
      <c r="H70">
        <v>16</v>
      </c>
      <c r="I70">
        <v>56</v>
      </c>
      <c r="J70" s="71">
        <v>800</v>
      </c>
      <c r="K70">
        <v>210</v>
      </c>
      <c r="L70">
        <v>32</v>
      </c>
      <c r="M70">
        <v>500</v>
      </c>
      <c r="N70">
        <f t="shared" si="7"/>
        <v>16000</v>
      </c>
      <c r="P70">
        <v>8</v>
      </c>
      <c r="Q70" t="s">
        <v>230</v>
      </c>
    </row>
    <row r="71" spans="3:18" x14ac:dyDescent="0.45">
      <c r="C71" t="s">
        <v>215</v>
      </c>
      <c r="D71" t="s">
        <v>208</v>
      </c>
      <c r="E71" s="70" t="s">
        <v>138</v>
      </c>
      <c r="F71" s="70" t="s">
        <v>166</v>
      </c>
      <c r="G71" s="78">
        <v>0.255</v>
      </c>
      <c r="H71">
        <v>2</v>
      </c>
      <c r="I71">
        <v>14</v>
      </c>
      <c r="J71" s="71">
        <v>100</v>
      </c>
      <c r="K71">
        <v>210</v>
      </c>
      <c r="L71">
        <v>4</v>
      </c>
      <c r="M71">
        <v>500</v>
      </c>
      <c r="N71">
        <f t="shared" si="7"/>
        <v>2000</v>
      </c>
      <c r="P71">
        <v>2</v>
      </c>
      <c r="Q71" t="s">
        <v>228</v>
      </c>
    </row>
    <row r="72" spans="3:18" x14ac:dyDescent="0.45">
      <c r="C72" t="s">
        <v>215</v>
      </c>
      <c r="D72" t="s">
        <v>208</v>
      </c>
      <c r="E72" s="70" t="s">
        <v>138</v>
      </c>
      <c r="F72" s="70" t="s">
        <v>168</v>
      </c>
      <c r="G72" s="78">
        <v>0.51</v>
      </c>
      <c r="H72">
        <v>4</v>
      </c>
      <c r="I72">
        <v>28</v>
      </c>
      <c r="J72" s="71">
        <v>200</v>
      </c>
      <c r="K72">
        <v>210</v>
      </c>
      <c r="L72">
        <v>8</v>
      </c>
      <c r="M72">
        <v>500</v>
      </c>
      <c r="N72">
        <f t="shared" si="7"/>
        <v>4000</v>
      </c>
      <c r="P72">
        <v>4</v>
      </c>
      <c r="Q72" t="s">
        <v>228</v>
      </c>
    </row>
    <row r="73" spans="3:18" x14ac:dyDescent="0.45">
      <c r="C73" t="s">
        <v>215</v>
      </c>
      <c r="D73" t="s">
        <v>208</v>
      </c>
      <c r="E73" s="70" t="s">
        <v>138</v>
      </c>
      <c r="F73" s="70" t="s">
        <v>170</v>
      </c>
      <c r="G73" s="78">
        <v>0.91800000000000004</v>
      </c>
      <c r="H73">
        <v>8</v>
      </c>
      <c r="I73">
        <v>56</v>
      </c>
      <c r="J73" s="71">
        <v>400</v>
      </c>
      <c r="K73">
        <v>210</v>
      </c>
      <c r="L73">
        <v>16</v>
      </c>
      <c r="M73">
        <v>500</v>
      </c>
      <c r="N73">
        <f t="shared" si="7"/>
        <v>8000</v>
      </c>
      <c r="P73">
        <v>8</v>
      </c>
      <c r="Q73" t="s">
        <v>228</v>
      </c>
    </row>
    <row r="74" spans="3:18" x14ac:dyDescent="0.45">
      <c r="C74" t="s">
        <v>215</v>
      </c>
      <c r="D74" t="s">
        <v>208</v>
      </c>
      <c r="E74" s="70" t="s">
        <v>138</v>
      </c>
      <c r="F74" s="70" t="s">
        <v>172</v>
      </c>
      <c r="G74" s="78">
        <v>1.6524000000000001</v>
      </c>
      <c r="H74">
        <v>16</v>
      </c>
      <c r="I74">
        <v>112</v>
      </c>
      <c r="J74" s="71">
        <v>800</v>
      </c>
      <c r="K74">
        <v>210</v>
      </c>
      <c r="L74">
        <v>32</v>
      </c>
      <c r="M74">
        <v>500</v>
      </c>
      <c r="N74">
        <f t="shared" si="7"/>
        <v>16000</v>
      </c>
      <c r="P74">
        <v>8</v>
      </c>
      <c r="Q74" t="s">
        <v>230</v>
      </c>
    </row>
    <row r="75" spans="3:18" x14ac:dyDescent="0.45">
      <c r="C75" t="s">
        <v>215</v>
      </c>
      <c r="D75" t="s">
        <v>208</v>
      </c>
      <c r="E75" s="70" t="s">
        <v>138</v>
      </c>
      <c r="F75" s="70" t="s">
        <v>173</v>
      </c>
      <c r="G75" s="78">
        <v>2.0655000000000001</v>
      </c>
      <c r="H75">
        <v>20</v>
      </c>
      <c r="I75">
        <v>140</v>
      </c>
      <c r="J75" s="71">
        <v>1000</v>
      </c>
      <c r="K75">
        <v>210</v>
      </c>
      <c r="L75">
        <v>40</v>
      </c>
      <c r="M75">
        <v>500</v>
      </c>
      <c r="N75">
        <f t="shared" si="7"/>
        <v>20000</v>
      </c>
      <c r="P75">
        <v>8</v>
      </c>
      <c r="Q75" t="s">
        <v>230</v>
      </c>
    </row>
    <row r="76" spans="3:18" x14ac:dyDescent="0.45">
      <c r="C76" t="s">
        <v>215</v>
      </c>
      <c r="D76" t="s">
        <v>213</v>
      </c>
      <c r="E76" s="70" t="s">
        <v>138</v>
      </c>
      <c r="F76" s="70" t="s">
        <v>252</v>
      </c>
      <c r="G76" s="78">
        <v>8.7550000000000003E-2</v>
      </c>
      <c r="H76">
        <v>1</v>
      </c>
      <c r="I76">
        <v>2</v>
      </c>
      <c r="J76">
        <v>16</v>
      </c>
      <c r="K76">
        <v>210</v>
      </c>
      <c r="L76">
        <v>2</v>
      </c>
      <c r="M76">
        <v>1600</v>
      </c>
      <c r="N76">
        <f t="shared" si="7"/>
        <v>3200</v>
      </c>
      <c r="O76">
        <v>48</v>
      </c>
      <c r="P76">
        <v>1</v>
      </c>
      <c r="Q76" t="s">
        <v>227</v>
      </c>
      <c r="R76">
        <f>O76*1024/N76</f>
        <v>15.36</v>
      </c>
    </row>
    <row r="77" spans="3:18" x14ac:dyDescent="0.45">
      <c r="C77" t="s">
        <v>215</v>
      </c>
      <c r="D77" t="s">
        <v>213</v>
      </c>
      <c r="E77" s="70" t="s">
        <v>138</v>
      </c>
      <c r="F77" s="70" t="s">
        <v>253</v>
      </c>
      <c r="G77" s="78">
        <v>0.17424999999999999</v>
      </c>
      <c r="H77">
        <v>2</v>
      </c>
      <c r="I77">
        <v>4</v>
      </c>
      <c r="J77">
        <v>32</v>
      </c>
      <c r="K77">
        <v>210</v>
      </c>
      <c r="L77">
        <v>4</v>
      </c>
      <c r="M77">
        <v>1600</v>
      </c>
      <c r="N77">
        <f t="shared" si="7"/>
        <v>6400</v>
      </c>
      <c r="O77">
        <v>96</v>
      </c>
      <c r="P77">
        <v>2</v>
      </c>
      <c r="Q77" t="s">
        <v>228</v>
      </c>
      <c r="R77">
        <f t="shared" ref="R77:R80" si="11">O77*1024/N77</f>
        <v>15.36</v>
      </c>
    </row>
    <row r="78" spans="3:18" x14ac:dyDescent="0.45">
      <c r="C78" t="s">
        <v>215</v>
      </c>
      <c r="D78" t="s">
        <v>213</v>
      </c>
      <c r="E78" s="70" t="s">
        <v>138</v>
      </c>
      <c r="F78" s="70" t="s">
        <v>254</v>
      </c>
      <c r="G78" s="78">
        <v>0.34934999999999999</v>
      </c>
      <c r="H78">
        <v>4</v>
      </c>
      <c r="I78">
        <v>8</v>
      </c>
      <c r="J78" s="71">
        <v>64</v>
      </c>
      <c r="K78">
        <v>210</v>
      </c>
      <c r="L78">
        <v>8</v>
      </c>
      <c r="M78">
        <v>1600</v>
      </c>
      <c r="N78">
        <f t="shared" si="7"/>
        <v>12800</v>
      </c>
      <c r="O78">
        <v>192</v>
      </c>
      <c r="P78">
        <v>4</v>
      </c>
      <c r="Q78" t="s">
        <v>228</v>
      </c>
      <c r="R78">
        <f t="shared" si="11"/>
        <v>15.36</v>
      </c>
    </row>
    <row r="79" spans="3:18" x14ac:dyDescent="0.45">
      <c r="C79" t="s">
        <v>215</v>
      </c>
      <c r="D79" t="s">
        <v>213</v>
      </c>
      <c r="E79" s="70" t="s">
        <v>138</v>
      </c>
      <c r="F79" s="70" t="s">
        <v>255</v>
      </c>
      <c r="G79" s="78">
        <v>0.69869999999999999</v>
      </c>
      <c r="H79">
        <v>8</v>
      </c>
      <c r="I79">
        <v>16</v>
      </c>
      <c r="J79" s="71">
        <v>128</v>
      </c>
      <c r="K79">
        <v>210</v>
      </c>
      <c r="L79">
        <v>16</v>
      </c>
      <c r="M79">
        <v>1600</v>
      </c>
      <c r="N79">
        <f t="shared" si="7"/>
        <v>25600</v>
      </c>
      <c r="O79">
        <v>384</v>
      </c>
      <c r="P79">
        <v>8</v>
      </c>
      <c r="Q79" t="s">
        <v>228</v>
      </c>
      <c r="R79">
        <f t="shared" si="11"/>
        <v>15.36</v>
      </c>
    </row>
    <row r="80" spans="3:18" x14ac:dyDescent="0.45">
      <c r="C80" t="s">
        <v>215</v>
      </c>
      <c r="D80" t="s">
        <v>213</v>
      </c>
      <c r="E80" s="70" t="s">
        <v>138</v>
      </c>
      <c r="F80" s="70" t="s">
        <v>256</v>
      </c>
      <c r="G80" s="78">
        <v>1.39825</v>
      </c>
      <c r="H80">
        <v>16</v>
      </c>
      <c r="I80">
        <v>32</v>
      </c>
      <c r="J80" s="71">
        <v>256</v>
      </c>
      <c r="K80">
        <v>210</v>
      </c>
      <c r="L80">
        <v>32</v>
      </c>
      <c r="M80">
        <v>1600</v>
      </c>
      <c r="N80">
        <f t="shared" si="7"/>
        <v>51200</v>
      </c>
      <c r="O80">
        <v>768</v>
      </c>
      <c r="P80">
        <v>8</v>
      </c>
      <c r="Q80" t="s">
        <v>230</v>
      </c>
      <c r="R80">
        <f t="shared" si="11"/>
        <v>15.36</v>
      </c>
    </row>
    <row r="81" spans="3:19" x14ac:dyDescent="0.45">
      <c r="C81" t="s">
        <v>215</v>
      </c>
      <c r="D81" t="s">
        <v>213</v>
      </c>
      <c r="E81" s="70" t="s">
        <v>138</v>
      </c>
      <c r="F81" s="70" t="s">
        <v>181</v>
      </c>
      <c r="G81" s="78">
        <v>8.7550000000000003E-2</v>
      </c>
      <c r="H81">
        <v>1</v>
      </c>
      <c r="I81">
        <v>2</v>
      </c>
      <c r="J81">
        <v>16</v>
      </c>
      <c r="K81">
        <v>210</v>
      </c>
      <c r="L81">
        <v>2</v>
      </c>
      <c r="M81">
        <v>500</v>
      </c>
      <c r="N81">
        <f t="shared" ref="N81:N85" si="12">L81*M81</f>
        <v>1000</v>
      </c>
      <c r="P81">
        <v>1</v>
      </c>
      <c r="Q81" t="s">
        <v>227</v>
      </c>
    </row>
    <row r="82" spans="3:19" x14ac:dyDescent="0.45">
      <c r="C82" t="s">
        <v>215</v>
      </c>
      <c r="D82" t="s">
        <v>213</v>
      </c>
      <c r="E82" s="70" t="s">
        <v>138</v>
      </c>
      <c r="F82" s="70" t="s">
        <v>183</v>
      </c>
      <c r="G82" s="78">
        <v>0.17424999999999999</v>
      </c>
      <c r="H82">
        <v>2</v>
      </c>
      <c r="I82">
        <v>4</v>
      </c>
      <c r="J82">
        <v>32</v>
      </c>
      <c r="K82">
        <v>210</v>
      </c>
      <c r="L82">
        <v>4</v>
      </c>
      <c r="M82">
        <v>500</v>
      </c>
      <c r="N82">
        <f t="shared" si="12"/>
        <v>2000</v>
      </c>
      <c r="P82">
        <v>2</v>
      </c>
      <c r="Q82" t="s">
        <v>228</v>
      </c>
    </row>
    <row r="83" spans="3:19" x14ac:dyDescent="0.45">
      <c r="C83" t="s">
        <v>215</v>
      </c>
      <c r="D83" t="s">
        <v>213</v>
      </c>
      <c r="E83" s="70" t="s">
        <v>138</v>
      </c>
      <c r="F83" s="70" t="s">
        <v>184</v>
      </c>
      <c r="G83" s="78">
        <v>0.34934999999999999</v>
      </c>
      <c r="H83">
        <v>4</v>
      </c>
      <c r="I83">
        <v>8</v>
      </c>
      <c r="J83" s="71">
        <v>64</v>
      </c>
      <c r="K83">
        <v>210</v>
      </c>
      <c r="L83">
        <v>8</v>
      </c>
      <c r="M83">
        <v>500</v>
      </c>
      <c r="N83">
        <f t="shared" si="12"/>
        <v>4000</v>
      </c>
      <c r="P83">
        <v>4</v>
      </c>
      <c r="Q83" t="s">
        <v>228</v>
      </c>
    </row>
    <row r="84" spans="3:19" x14ac:dyDescent="0.45">
      <c r="C84" t="s">
        <v>215</v>
      </c>
      <c r="D84" t="s">
        <v>213</v>
      </c>
      <c r="E84" s="70" t="s">
        <v>138</v>
      </c>
      <c r="F84" s="70" t="s">
        <v>185</v>
      </c>
      <c r="G84" s="78">
        <v>0.69869999999999999</v>
      </c>
      <c r="H84">
        <v>8</v>
      </c>
      <c r="I84">
        <v>16</v>
      </c>
      <c r="J84" s="71">
        <v>128</v>
      </c>
      <c r="K84">
        <v>210</v>
      </c>
      <c r="L84">
        <v>16</v>
      </c>
      <c r="M84">
        <v>500</v>
      </c>
      <c r="N84">
        <f t="shared" si="12"/>
        <v>8000</v>
      </c>
      <c r="P84">
        <v>8</v>
      </c>
      <c r="Q84" t="s">
        <v>228</v>
      </c>
    </row>
    <row r="85" spans="3:19" x14ac:dyDescent="0.45">
      <c r="C85" t="s">
        <v>215</v>
      </c>
      <c r="D85" t="s">
        <v>213</v>
      </c>
      <c r="E85" s="70" t="s">
        <v>138</v>
      </c>
      <c r="F85" s="70" t="s">
        <v>182</v>
      </c>
      <c r="G85" s="78">
        <v>1.39825</v>
      </c>
      <c r="H85">
        <v>16</v>
      </c>
      <c r="I85">
        <v>32</v>
      </c>
      <c r="J85" s="71">
        <v>256</v>
      </c>
      <c r="K85">
        <v>210</v>
      </c>
      <c r="L85">
        <v>32</v>
      </c>
      <c r="M85">
        <v>500</v>
      </c>
      <c r="N85">
        <f t="shared" si="12"/>
        <v>16000</v>
      </c>
      <c r="P85">
        <v>8</v>
      </c>
      <c r="Q85" t="s">
        <v>230</v>
      </c>
    </row>
    <row r="86" spans="3:19" x14ac:dyDescent="0.45">
      <c r="C86" t="s">
        <v>215</v>
      </c>
      <c r="D86" t="s">
        <v>211</v>
      </c>
      <c r="E86" s="70" t="s">
        <v>138</v>
      </c>
      <c r="F86" s="70" t="s">
        <v>190</v>
      </c>
      <c r="G86" s="78">
        <v>1.3685</v>
      </c>
      <c r="H86">
        <v>8</v>
      </c>
      <c r="I86">
        <v>56</v>
      </c>
      <c r="J86" s="71">
        <v>1000</v>
      </c>
      <c r="K86">
        <v>290</v>
      </c>
      <c r="L86">
        <v>16</v>
      </c>
      <c r="M86">
        <v>500</v>
      </c>
      <c r="N86">
        <f t="shared" ref="N86:N91" si="13">L86*M86</f>
        <v>8000</v>
      </c>
      <c r="P86">
        <v>2</v>
      </c>
      <c r="Q86" t="s">
        <v>228</v>
      </c>
    </row>
    <row r="87" spans="3:19" x14ac:dyDescent="0.45">
      <c r="C87" t="s">
        <v>215</v>
      </c>
      <c r="D87" t="s">
        <v>211</v>
      </c>
      <c r="E87" s="70" t="s">
        <v>138</v>
      </c>
      <c r="F87" s="70" t="s">
        <v>186</v>
      </c>
      <c r="G87" s="78">
        <v>2.7353000000000001</v>
      </c>
      <c r="H87">
        <v>16</v>
      </c>
      <c r="I87">
        <v>112</v>
      </c>
      <c r="J87" s="71">
        <v>2000</v>
      </c>
      <c r="K87">
        <v>290</v>
      </c>
      <c r="L87">
        <v>32</v>
      </c>
      <c r="M87">
        <v>500</v>
      </c>
      <c r="N87">
        <f t="shared" si="13"/>
        <v>16000</v>
      </c>
      <c r="P87">
        <v>4</v>
      </c>
      <c r="Q87" t="s">
        <v>229</v>
      </c>
    </row>
    <row r="88" spans="3:19" x14ac:dyDescent="0.45">
      <c r="C88" t="s">
        <v>215</v>
      </c>
      <c r="D88" t="s">
        <v>211</v>
      </c>
      <c r="E88" s="70" t="s">
        <v>138</v>
      </c>
      <c r="F88" s="70" t="s">
        <v>191</v>
      </c>
      <c r="G88" s="78">
        <v>1.8326</v>
      </c>
      <c r="H88">
        <v>8</v>
      </c>
      <c r="I88">
        <v>112</v>
      </c>
      <c r="J88" s="71">
        <v>1000</v>
      </c>
      <c r="K88">
        <v>290</v>
      </c>
      <c r="L88">
        <v>16</v>
      </c>
      <c r="M88">
        <v>500</v>
      </c>
      <c r="N88">
        <f t="shared" si="13"/>
        <v>8000</v>
      </c>
      <c r="P88">
        <v>2</v>
      </c>
      <c r="Q88" t="s">
        <v>228</v>
      </c>
    </row>
    <row r="89" spans="3:19" x14ac:dyDescent="0.45">
      <c r="C89" t="s">
        <v>215</v>
      </c>
      <c r="D89" t="s">
        <v>211</v>
      </c>
      <c r="E89" s="70" t="s">
        <v>138</v>
      </c>
      <c r="F89" s="70" t="s">
        <v>187</v>
      </c>
      <c r="G89" s="78">
        <v>3.6643500000000002</v>
      </c>
      <c r="H89">
        <v>16</v>
      </c>
      <c r="I89">
        <v>224</v>
      </c>
      <c r="J89" s="71">
        <v>2000</v>
      </c>
      <c r="K89">
        <v>290</v>
      </c>
      <c r="L89">
        <v>32</v>
      </c>
      <c r="M89">
        <v>500</v>
      </c>
      <c r="N89">
        <f t="shared" si="13"/>
        <v>16000</v>
      </c>
      <c r="P89">
        <v>4</v>
      </c>
      <c r="Q89" t="s">
        <v>229</v>
      </c>
    </row>
    <row r="90" spans="3:19" x14ac:dyDescent="0.45">
      <c r="C90" t="s">
        <v>215</v>
      </c>
      <c r="D90" t="s">
        <v>212</v>
      </c>
      <c r="E90" s="70" t="s">
        <v>138</v>
      </c>
      <c r="F90" s="70" t="s">
        <v>188</v>
      </c>
      <c r="G90" s="78">
        <v>4.0307000000000004</v>
      </c>
      <c r="H90">
        <v>16</v>
      </c>
      <c r="I90">
        <v>224</v>
      </c>
      <c r="J90" s="71">
        <v>2000</v>
      </c>
      <c r="K90">
        <v>290</v>
      </c>
      <c r="L90">
        <v>32</v>
      </c>
      <c r="M90">
        <v>500</v>
      </c>
      <c r="N90">
        <f t="shared" si="13"/>
        <v>16000</v>
      </c>
      <c r="P90">
        <v>4</v>
      </c>
      <c r="Q90" t="s">
        <v>229</v>
      </c>
    </row>
    <row r="91" spans="3:19" x14ac:dyDescent="0.45">
      <c r="C91" t="s">
        <v>215</v>
      </c>
      <c r="D91" t="s">
        <v>212</v>
      </c>
      <c r="E91" s="70" t="s">
        <v>138</v>
      </c>
      <c r="F91" s="70" t="s">
        <v>189</v>
      </c>
      <c r="G91" s="78">
        <v>3.0089999999999999</v>
      </c>
      <c r="H91">
        <v>16</v>
      </c>
      <c r="I91">
        <v>112</v>
      </c>
      <c r="J91" s="71">
        <v>2000</v>
      </c>
      <c r="K91">
        <v>290</v>
      </c>
      <c r="L91">
        <v>32</v>
      </c>
      <c r="M91">
        <v>500</v>
      </c>
      <c r="N91">
        <f t="shared" si="13"/>
        <v>16000</v>
      </c>
      <c r="P91">
        <v>4</v>
      </c>
      <c r="Q91" t="s">
        <v>229</v>
      </c>
    </row>
    <row r="92" spans="3:19" x14ac:dyDescent="0.45">
      <c r="C92" t="s">
        <v>215</v>
      </c>
      <c r="D92" t="s">
        <v>209</v>
      </c>
      <c r="E92" s="70" t="s">
        <v>138</v>
      </c>
      <c r="F92" s="70" t="s">
        <v>195</v>
      </c>
      <c r="G92" s="78">
        <v>0.56418749999999995</v>
      </c>
      <c r="H92">
        <v>6</v>
      </c>
      <c r="I92">
        <v>56</v>
      </c>
      <c r="J92" s="71">
        <v>340</v>
      </c>
      <c r="K92">
        <v>300</v>
      </c>
      <c r="S92">
        <v>1</v>
      </c>
    </row>
    <row r="93" spans="3:19" x14ac:dyDescent="0.45">
      <c r="C93" t="s">
        <v>215</v>
      </c>
      <c r="D93" t="s">
        <v>209</v>
      </c>
      <c r="E93" s="70" t="s">
        <v>138</v>
      </c>
      <c r="F93" s="70" t="s">
        <v>192</v>
      </c>
      <c r="G93" s="78">
        <v>1.1283749999999999</v>
      </c>
      <c r="H93">
        <v>12</v>
      </c>
      <c r="I93">
        <v>112</v>
      </c>
      <c r="J93" s="71">
        <v>680</v>
      </c>
      <c r="K93">
        <v>300</v>
      </c>
      <c r="S93">
        <v>2</v>
      </c>
    </row>
    <row r="94" spans="3:19" x14ac:dyDescent="0.45">
      <c r="C94" t="s">
        <v>215</v>
      </c>
      <c r="D94" t="s">
        <v>209</v>
      </c>
      <c r="E94" s="70" t="s">
        <v>138</v>
      </c>
      <c r="F94" s="70" t="s">
        <v>193</v>
      </c>
      <c r="G94" s="78">
        <v>2.2567499999999998</v>
      </c>
      <c r="H94">
        <v>24</v>
      </c>
      <c r="I94">
        <v>224</v>
      </c>
      <c r="J94">
        <v>1440</v>
      </c>
      <c r="K94">
        <v>300</v>
      </c>
      <c r="S94">
        <v>4</v>
      </c>
    </row>
    <row r="95" spans="3:19" x14ac:dyDescent="0.45">
      <c r="C95" t="s">
        <v>215</v>
      </c>
      <c r="D95" t="s">
        <v>210</v>
      </c>
      <c r="E95" s="70" t="s">
        <v>138</v>
      </c>
      <c r="F95" s="70" t="s">
        <v>194</v>
      </c>
      <c r="G95" s="78">
        <v>2.5415000000000001</v>
      </c>
      <c r="H95">
        <v>24</v>
      </c>
      <c r="I95">
        <v>224</v>
      </c>
      <c r="J95">
        <v>1440</v>
      </c>
      <c r="K95">
        <v>300</v>
      </c>
      <c r="S95">
        <v>4</v>
      </c>
    </row>
    <row r="96" spans="3:19" x14ac:dyDescent="0.45">
      <c r="C96" t="s">
        <v>215</v>
      </c>
      <c r="D96" t="s">
        <v>209</v>
      </c>
      <c r="E96" s="70" t="s">
        <v>138</v>
      </c>
      <c r="F96" s="70" t="s">
        <v>198</v>
      </c>
      <c r="G96" s="78">
        <v>0.62060625000000003</v>
      </c>
      <c r="H96">
        <v>6</v>
      </c>
      <c r="I96">
        <v>56</v>
      </c>
      <c r="J96" s="71">
        <v>340</v>
      </c>
      <c r="K96">
        <v>300</v>
      </c>
      <c r="S96">
        <v>1</v>
      </c>
    </row>
    <row r="97" spans="3:19" x14ac:dyDescent="0.45">
      <c r="C97" t="s">
        <v>215</v>
      </c>
      <c r="D97" t="s">
        <v>209</v>
      </c>
      <c r="E97" s="70" t="s">
        <v>138</v>
      </c>
      <c r="F97" s="70" t="s">
        <v>196</v>
      </c>
      <c r="G97" s="78">
        <v>1.2412125000000001</v>
      </c>
      <c r="H97">
        <v>12</v>
      </c>
      <c r="I97">
        <v>112</v>
      </c>
      <c r="J97" s="71">
        <v>680</v>
      </c>
      <c r="K97">
        <v>300</v>
      </c>
      <c r="S97">
        <v>2</v>
      </c>
    </row>
    <row r="98" spans="3:19" x14ac:dyDescent="0.45">
      <c r="C98" t="s">
        <v>215</v>
      </c>
      <c r="D98" t="s">
        <v>209</v>
      </c>
      <c r="E98" s="70" t="s">
        <v>138</v>
      </c>
      <c r="F98" s="70" t="s">
        <v>197</v>
      </c>
      <c r="G98" s="78">
        <v>2.4824250000000001</v>
      </c>
      <c r="H98">
        <v>24</v>
      </c>
      <c r="I98">
        <v>224</v>
      </c>
      <c r="J98">
        <v>1440</v>
      </c>
      <c r="K98">
        <v>300</v>
      </c>
      <c r="S98">
        <v>4</v>
      </c>
    </row>
    <row r="99" spans="3:19" x14ac:dyDescent="0.45">
      <c r="C99" t="s">
        <v>217</v>
      </c>
      <c r="D99" t="s">
        <v>208</v>
      </c>
      <c r="E99" s="70" t="s">
        <v>138</v>
      </c>
      <c r="F99" s="70" t="s">
        <v>257</v>
      </c>
      <c r="G99" s="78">
        <v>0.56950000000000001</v>
      </c>
      <c r="H99">
        <v>2</v>
      </c>
      <c r="I99">
        <v>28</v>
      </c>
      <c r="J99" s="71">
        <v>384</v>
      </c>
      <c r="K99">
        <v>180</v>
      </c>
      <c r="L99">
        <v>4</v>
      </c>
      <c r="M99">
        <v>1250</v>
      </c>
      <c r="N99">
        <f t="shared" ref="N99:N103" si="14">L99*M99</f>
        <v>5000</v>
      </c>
      <c r="O99">
        <v>125</v>
      </c>
      <c r="P99">
        <v>1</v>
      </c>
      <c r="Q99" t="s">
        <v>228</v>
      </c>
      <c r="R99">
        <f t="shared" ref="R99:R103" si="15">O99*1024/N99</f>
        <v>25.6</v>
      </c>
    </row>
    <row r="100" spans="3:19" x14ac:dyDescent="0.45">
      <c r="C100" t="s">
        <v>217</v>
      </c>
      <c r="D100" t="s">
        <v>208</v>
      </c>
      <c r="E100" s="70" t="s">
        <v>138</v>
      </c>
      <c r="F100" s="70" t="s">
        <v>258</v>
      </c>
      <c r="G100" s="78">
        <v>1.139</v>
      </c>
      <c r="H100">
        <v>4</v>
      </c>
      <c r="I100">
        <v>56</v>
      </c>
      <c r="J100" s="71">
        <v>768</v>
      </c>
      <c r="K100">
        <v>180</v>
      </c>
      <c r="L100">
        <v>8</v>
      </c>
      <c r="M100">
        <v>1250</v>
      </c>
      <c r="N100">
        <f t="shared" si="14"/>
        <v>10000</v>
      </c>
      <c r="O100">
        <v>250</v>
      </c>
      <c r="P100">
        <v>2</v>
      </c>
      <c r="Q100" t="s">
        <v>228</v>
      </c>
      <c r="R100">
        <f t="shared" si="15"/>
        <v>25.6</v>
      </c>
    </row>
    <row r="101" spans="3:19" x14ac:dyDescent="0.45">
      <c r="C101" t="s">
        <v>217</v>
      </c>
      <c r="D101" t="s">
        <v>208</v>
      </c>
      <c r="E101" s="70" t="s">
        <v>138</v>
      </c>
      <c r="F101" s="70" t="s">
        <v>259</v>
      </c>
      <c r="G101" s="78">
        <v>2.278</v>
      </c>
      <c r="H101">
        <v>8</v>
      </c>
      <c r="I101">
        <v>112</v>
      </c>
      <c r="J101" s="71">
        <v>1536</v>
      </c>
      <c r="K101">
        <v>180</v>
      </c>
      <c r="L101">
        <v>16</v>
      </c>
      <c r="M101">
        <v>1250</v>
      </c>
      <c r="N101">
        <f t="shared" si="14"/>
        <v>20000</v>
      </c>
      <c r="O101">
        <v>500</v>
      </c>
      <c r="P101">
        <v>4</v>
      </c>
      <c r="Q101" t="s">
        <v>229</v>
      </c>
      <c r="R101">
        <f t="shared" si="15"/>
        <v>25.6</v>
      </c>
    </row>
    <row r="102" spans="3:19" x14ac:dyDescent="0.45">
      <c r="C102" t="s">
        <v>217</v>
      </c>
      <c r="D102" t="s">
        <v>208</v>
      </c>
      <c r="E102" s="70" t="s">
        <v>138</v>
      </c>
      <c r="F102" s="70" t="s">
        <v>260</v>
      </c>
      <c r="G102" s="78">
        <v>4.556</v>
      </c>
      <c r="H102">
        <v>16</v>
      </c>
      <c r="I102">
        <v>224</v>
      </c>
      <c r="J102" s="71">
        <v>3072</v>
      </c>
      <c r="K102">
        <v>180</v>
      </c>
      <c r="L102">
        <v>32</v>
      </c>
      <c r="M102">
        <v>1250</v>
      </c>
      <c r="N102">
        <f t="shared" si="14"/>
        <v>40000</v>
      </c>
      <c r="O102">
        <v>1000</v>
      </c>
      <c r="P102">
        <v>8</v>
      </c>
      <c r="Q102" t="s">
        <v>230</v>
      </c>
      <c r="R102">
        <f t="shared" si="15"/>
        <v>25.6</v>
      </c>
    </row>
    <row r="103" spans="3:19" x14ac:dyDescent="0.45">
      <c r="C103" t="s">
        <v>217</v>
      </c>
      <c r="D103" t="s">
        <v>208</v>
      </c>
      <c r="E103" s="70" t="s">
        <v>138</v>
      </c>
      <c r="F103" s="70" t="s">
        <v>261</v>
      </c>
      <c r="G103" s="78">
        <v>8.2025000000000006</v>
      </c>
      <c r="H103">
        <v>32</v>
      </c>
      <c r="I103">
        <v>448</v>
      </c>
      <c r="J103" s="71">
        <v>6144</v>
      </c>
      <c r="K103">
        <v>180</v>
      </c>
      <c r="L103">
        <v>64</v>
      </c>
      <c r="M103">
        <v>1250</v>
      </c>
      <c r="N103">
        <f t="shared" si="14"/>
        <v>80000</v>
      </c>
      <c r="O103">
        <v>2000</v>
      </c>
      <c r="P103">
        <v>8</v>
      </c>
      <c r="Q103" t="s">
        <v>230</v>
      </c>
      <c r="R103">
        <f t="shared" si="15"/>
        <v>25.6</v>
      </c>
    </row>
    <row r="104" spans="3:19" x14ac:dyDescent="0.45">
      <c r="C104" t="s">
        <v>217</v>
      </c>
      <c r="D104" t="s">
        <v>208</v>
      </c>
      <c r="E104" s="70" t="s">
        <v>138</v>
      </c>
      <c r="F104" s="70" t="s">
        <v>216</v>
      </c>
      <c r="G104" s="78">
        <v>0.56950000000000001</v>
      </c>
      <c r="H104">
        <v>2</v>
      </c>
      <c r="I104">
        <v>28</v>
      </c>
      <c r="J104" s="71">
        <v>384</v>
      </c>
      <c r="K104">
        <v>180</v>
      </c>
      <c r="L104">
        <v>4</v>
      </c>
      <c r="M104">
        <v>500</v>
      </c>
      <c r="N104">
        <f t="shared" ref="N104" si="16">L104*M104</f>
        <v>2000</v>
      </c>
      <c r="P104">
        <v>1</v>
      </c>
      <c r="Q104" t="s">
        <v>228</v>
      </c>
    </row>
    <row r="105" spans="3:19" x14ac:dyDescent="0.45">
      <c r="C105" t="s">
        <v>217</v>
      </c>
      <c r="D105" t="s">
        <v>208</v>
      </c>
      <c r="E105" s="70" t="s">
        <v>138</v>
      </c>
      <c r="F105" s="70" t="s">
        <v>218</v>
      </c>
      <c r="G105" s="78">
        <v>1.139</v>
      </c>
      <c r="H105">
        <v>4</v>
      </c>
      <c r="I105">
        <v>56</v>
      </c>
      <c r="J105" s="71">
        <v>768</v>
      </c>
      <c r="K105">
        <v>180</v>
      </c>
      <c r="L105">
        <v>8</v>
      </c>
      <c r="M105">
        <v>500</v>
      </c>
      <c r="N105">
        <f t="shared" ref="N105:N108" si="17">L105*M105</f>
        <v>4000</v>
      </c>
      <c r="P105">
        <v>2</v>
      </c>
      <c r="Q105" t="s">
        <v>228</v>
      </c>
    </row>
    <row r="106" spans="3:19" x14ac:dyDescent="0.45">
      <c r="C106" t="s">
        <v>217</v>
      </c>
      <c r="D106" t="s">
        <v>208</v>
      </c>
      <c r="E106" s="70" t="s">
        <v>138</v>
      </c>
      <c r="F106" s="70" t="s">
        <v>219</v>
      </c>
      <c r="G106" s="78">
        <v>2.278</v>
      </c>
      <c r="H106">
        <v>8</v>
      </c>
      <c r="I106">
        <v>112</v>
      </c>
      <c r="J106" s="71">
        <v>1536</v>
      </c>
      <c r="K106">
        <v>180</v>
      </c>
      <c r="L106">
        <v>16</v>
      </c>
      <c r="M106">
        <v>500</v>
      </c>
      <c r="N106">
        <f t="shared" si="17"/>
        <v>8000</v>
      </c>
      <c r="P106">
        <v>4</v>
      </c>
      <c r="Q106" t="s">
        <v>229</v>
      </c>
    </row>
    <row r="107" spans="3:19" x14ac:dyDescent="0.45">
      <c r="C107" t="s">
        <v>217</v>
      </c>
      <c r="D107" t="s">
        <v>208</v>
      </c>
      <c r="E107" s="70" t="s">
        <v>138</v>
      </c>
      <c r="F107" s="70" t="s">
        <v>220</v>
      </c>
      <c r="G107" s="78">
        <v>4.556</v>
      </c>
      <c r="H107">
        <v>16</v>
      </c>
      <c r="I107">
        <v>224</v>
      </c>
      <c r="J107" s="71">
        <v>3072</v>
      </c>
      <c r="K107">
        <v>180</v>
      </c>
      <c r="L107">
        <v>32</v>
      </c>
      <c r="M107">
        <v>500</v>
      </c>
      <c r="N107">
        <f t="shared" si="17"/>
        <v>16000</v>
      </c>
      <c r="P107">
        <v>8</v>
      </c>
      <c r="Q107" t="s">
        <v>230</v>
      </c>
    </row>
    <row r="108" spans="3:19" x14ac:dyDescent="0.45">
      <c r="C108" t="s">
        <v>217</v>
      </c>
      <c r="D108" t="s">
        <v>208</v>
      </c>
      <c r="E108" s="70" t="s">
        <v>138</v>
      </c>
      <c r="F108" s="70" t="s">
        <v>221</v>
      </c>
      <c r="G108" s="78">
        <v>8.2025000000000006</v>
      </c>
      <c r="H108">
        <v>32</v>
      </c>
      <c r="I108">
        <v>448</v>
      </c>
      <c r="J108" s="71">
        <v>6144</v>
      </c>
      <c r="K108">
        <v>180</v>
      </c>
      <c r="L108">
        <v>64</v>
      </c>
      <c r="M108">
        <v>500</v>
      </c>
      <c r="N108">
        <f t="shared" si="17"/>
        <v>32000</v>
      </c>
      <c r="P108">
        <v>8</v>
      </c>
      <c r="Q108" t="s">
        <v>230</v>
      </c>
    </row>
    <row r="113" spans="3:11" x14ac:dyDescent="0.45">
      <c r="C113" s="69" t="s">
        <v>289</v>
      </c>
      <c r="D113" s="69" t="s">
        <v>135</v>
      </c>
      <c r="E113" s="69" t="s">
        <v>136</v>
      </c>
      <c r="F113" s="69" t="s">
        <v>290</v>
      </c>
      <c r="G113" s="69" t="s">
        <v>137</v>
      </c>
      <c r="H113" s="72" t="s">
        <v>319</v>
      </c>
      <c r="I113" s="72" t="s">
        <v>320</v>
      </c>
    </row>
    <row r="114" spans="3:11" x14ac:dyDescent="0.45">
      <c r="C114" t="s">
        <v>215</v>
      </c>
      <c r="D114" s="70" t="s">
        <v>291</v>
      </c>
      <c r="E114" s="70" t="s">
        <v>292</v>
      </c>
      <c r="F114" s="70" t="s">
        <v>294</v>
      </c>
      <c r="G114" s="78">
        <v>0</v>
      </c>
    </row>
    <row r="115" spans="3:11" x14ac:dyDescent="0.45">
      <c r="C115" t="s">
        <v>215</v>
      </c>
      <c r="D115" s="70" t="s">
        <v>291</v>
      </c>
      <c r="E115" s="70" t="s">
        <v>292</v>
      </c>
      <c r="F115" s="70" t="s">
        <v>293</v>
      </c>
      <c r="G115" s="78">
        <v>0.13685</v>
      </c>
      <c r="H115">
        <v>5</v>
      </c>
      <c r="I115">
        <v>300</v>
      </c>
      <c r="K115" s="83"/>
    </row>
    <row r="116" spans="3:11" x14ac:dyDescent="0.45">
      <c r="C116" t="s">
        <v>215</v>
      </c>
      <c r="D116" s="70" t="s">
        <v>291</v>
      </c>
      <c r="E116" s="70" t="s">
        <v>292</v>
      </c>
      <c r="F116" s="70" t="s">
        <v>309</v>
      </c>
      <c r="G116" s="78">
        <v>0.41131499999999999</v>
      </c>
      <c r="H116">
        <v>10</v>
      </c>
      <c r="I116">
        <v>600</v>
      </c>
      <c r="K116" s="83"/>
    </row>
    <row r="117" spans="3:11" x14ac:dyDescent="0.45">
      <c r="C117" t="s">
        <v>215</v>
      </c>
      <c r="D117" s="70" t="s">
        <v>291</v>
      </c>
      <c r="E117" s="70" t="s">
        <v>292</v>
      </c>
      <c r="F117" s="70" t="s">
        <v>311</v>
      </c>
      <c r="G117" s="78">
        <v>0.82254499999999997</v>
      </c>
      <c r="H117">
        <v>20</v>
      </c>
      <c r="I117">
        <v>900</v>
      </c>
    </row>
    <row r="118" spans="3:11" x14ac:dyDescent="0.45">
      <c r="C118" t="s">
        <v>215</v>
      </c>
      <c r="D118" s="70" t="s">
        <v>291</v>
      </c>
      <c r="E118" s="70" t="s">
        <v>292</v>
      </c>
      <c r="F118" s="70" t="s">
        <v>313</v>
      </c>
      <c r="G118" s="78">
        <v>2.0569999999999999</v>
      </c>
      <c r="H118">
        <v>50</v>
      </c>
      <c r="I118">
        <v>1200</v>
      </c>
    </row>
    <row r="119" spans="3:11" x14ac:dyDescent="0.45">
      <c r="C119" t="s">
        <v>215</v>
      </c>
      <c r="D119" s="70" t="s">
        <v>291</v>
      </c>
      <c r="E119" s="70" t="s">
        <v>292</v>
      </c>
      <c r="F119" s="70" t="s">
        <v>315</v>
      </c>
      <c r="G119" s="78">
        <v>4.112895</v>
      </c>
      <c r="H119">
        <v>100</v>
      </c>
      <c r="I119">
        <v>2400</v>
      </c>
    </row>
    <row r="120" spans="3:11" x14ac:dyDescent="0.45">
      <c r="C120" t="s">
        <v>215</v>
      </c>
      <c r="D120" s="70" t="s">
        <v>291</v>
      </c>
      <c r="E120" s="70" t="s">
        <v>292</v>
      </c>
      <c r="F120" s="70" t="s">
        <v>317</v>
      </c>
      <c r="G120" s="78">
        <v>8.2257899999999999</v>
      </c>
    </row>
    <row r="121" spans="3:11" x14ac:dyDescent="0.45">
      <c r="C121" t="s">
        <v>215</v>
      </c>
      <c r="D121" s="70" t="s">
        <v>291</v>
      </c>
      <c r="E121" s="70" t="s">
        <v>292</v>
      </c>
      <c r="F121" s="70" t="s">
        <v>295</v>
      </c>
      <c r="G121" s="78">
        <v>12.75</v>
      </c>
      <c r="H121">
        <v>125</v>
      </c>
      <c r="I121">
        <v>30000</v>
      </c>
    </row>
    <row r="122" spans="3:11" x14ac:dyDescent="0.45">
      <c r="C122" t="s">
        <v>215</v>
      </c>
      <c r="D122" s="70" t="s">
        <v>291</v>
      </c>
      <c r="E122" s="70" t="s">
        <v>292</v>
      </c>
      <c r="F122" s="70" t="s">
        <v>303</v>
      </c>
      <c r="G122" s="78">
        <v>25.5</v>
      </c>
      <c r="H122">
        <v>250</v>
      </c>
      <c r="I122">
        <v>30000</v>
      </c>
    </row>
    <row r="123" spans="3:11" x14ac:dyDescent="0.45">
      <c r="C123" t="s">
        <v>215</v>
      </c>
      <c r="D123" s="70" t="s">
        <v>291</v>
      </c>
      <c r="E123" s="70" t="s">
        <v>292</v>
      </c>
      <c r="F123" s="70" t="s">
        <v>305</v>
      </c>
      <c r="G123" s="78">
        <v>51</v>
      </c>
      <c r="H123">
        <v>500</v>
      </c>
      <c r="I123">
        <v>30000</v>
      </c>
    </row>
    <row r="124" spans="3:11" x14ac:dyDescent="0.45">
      <c r="C124" t="s">
        <v>215</v>
      </c>
      <c r="D124" s="70" t="s">
        <v>291</v>
      </c>
      <c r="E124" s="70" t="s">
        <v>292</v>
      </c>
      <c r="F124" s="70" t="s">
        <v>307</v>
      </c>
      <c r="G124" s="78">
        <v>102</v>
      </c>
      <c r="H124">
        <v>1000</v>
      </c>
      <c r="I124">
        <v>30000</v>
      </c>
    </row>
    <row r="125" spans="3:11" x14ac:dyDescent="0.45">
      <c r="C125" t="s">
        <v>215</v>
      </c>
      <c r="D125" s="70" t="s">
        <v>291</v>
      </c>
      <c r="E125" s="70" t="s">
        <v>292</v>
      </c>
      <c r="F125" s="70" t="s">
        <v>297</v>
      </c>
      <c r="G125" s="78">
        <v>191.9385</v>
      </c>
      <c r="H125">
        <v>1750</v>
      </c>
      <c r="I125">
        <v>30000</v>
      </c>
    </row>
    <row r="126" spans="3:11" x14ac:dyDescent="0.45">
      <c r="C126" t="s">
        <v>215</v>
      </c>
      <c r="D126" s="70" t="s">
        <v>291</v>
      </c>
      <c r="E126" s="70" t="s">
        <v>292</v>
      </c>
      <c r="F126" s="70" t="s">
        <v>299</v>
      </c>
      <c r="G126" s="78">
        <v>438.7088</v>
      </c>
      <c r="H126">
        <v>4000</v>
      </c>
      <c r="I126">
        <v>30000</v>
      </c>
    </row>
    <row r="127" spans="3:11" x14ac:dyDescent="0.45">
      <c r="C127" t="s">
        <v>215</v>
      </c>
      <c r="D127" s="70" t="s">
        <v>291</v>
      </c>
      <c r="E127" s="70" t="s">
        <v>292</v>
      </c>
      <c r="F127" s="70" t="s">
        <v>301</v>
      </c>
      <c r="G127" s="78">
        <v>383.87020000000001</v>
      </c>
    </row>
    <row r="129" spans="4:9" x14ac:dyDescent="0.45">
      <c r="F129" s="71" t="s">
        <v>343</v>
      </c>
      <c r="G129" s="78">
        <v>0</v>
      </c>
    </row>
    <row r="130" spans="4:9" x14ac:dyDescent="0.45">
      <c r="D130" s="70" t="s">
        <v>291</v>
      </c>
      <c r="E130" s="70" t="s">
        <v>292</v>
      </c>
      <c r="F130" s="70" t="s">
        <v>310</v>
      </c>
      <c r="G130" s="78">
        <v>0.31025000000000003</v>
      </c>
    </row>
    <row r="131" spans="4:9" x14ac:dyDescent="0.45">
      <c r="D131" s="70" t="s">
        <v>291</v>
      </c>
      <c r="E131" s="70" t="s">
        <v>292</v>
      </c>
      <c r="F131" s="70" t="s">
        <v>312</v>
      </c>
      <c r="G131" s="78">
        <v>0.62050000000000005</v>
      </c>
    </row>
    <row r="132" spans="4:9" x14ac:dyDescent="0.45">
      <c r="D132" s="70" t="s">
        <v>291</v>
      </c>
      <c r="E132" s="70" t="s">
        <v>292</v>
      </c>
      <c r="F132" s="70" t="s">
        <v>314</v>
      </c>
      <c r="G132" s="78">
        <v>1.5385</v>
      </c>
    </row>
    <row r="133" spans="4:9" x14ac:dyDescent="0.45">
      <c r="D133" s="70" t="s">
        <v>291</v>
      </c>
      <c r="E133" s="70" t="s">
        <v>292</v>
      </c>
      <c r="F133" s="70" t="s">
        <v>316</v>
      </c>
      <c r="G133" s="78">
        <v>3.0846499999999999</v>
      </c>
    </row>
    <row r="134" spans="4:9" x14ac:dyDescent="0.45">
      <c r="D134" s="70" t="s">
        <v>291</v>
      </c>
      <c r="E134" s="70" t="s">
        <v>292</v>
      </c>
      <c r="F134" s="70" t="s">
        <v>318</v>
      </c>
      <c r="G134" s="78">
        <v>6.1693850000000001</v>
      </c>
    </row>
    <row r="135" spans="4:9" x14ac:dyDescent="0.45">
      <c r="D135" s="70" t="s">
        <v>291</v>
      </c>
      <c r="E135" s="70" t="s">
        <v>292</v>
      </c>
      <c r="F135" s="70" t="s">
        <v>296</v>
      </c>
      <c r="G135" s="78">
        <v>9.5625</v>
      </c>
    </row>
    <row r="136" spans="4:9" x14ac:dyDescent="0.45">
      <c r="D136" s="70" t="s">
        <v>291</v>
      </c>
      <c r="E136" s="70" t="s">
        <v>292</v>
      </c>
      <c r="F136" s="70" t="s">
        <v>304</v>
      </c>
      <c r="G136" s="78">
        <v>19.125</v>
      </c>
    </row>
    <row r="137" spans="4:9" x14ac:dyDescent="0.45">
      <c r="D137" s="70" t="s">
        <v>291</v>
      </c>
      <c r="E137" s="70" t="s">
        <v>292</v>
      </c>
      <c r="F137" s="70" t="s">
        <v>306</v>
      </c>
      <c r="G137" s="78">
        <v>38.25</v>
      </c>
    </row>
    <row r="138" spans="4:9" x14ac:dyDescent="0.45">
      <c r="D138" s="70" t="s">
        <v>291</v>
      </c>
      <c r="E138" s="70" t="s">
        <v>292</v>
      </c>
      <c r="F138" s="70" t="s">
        <v>308</v>
      </c>
      <c r="G138" s="78">
        <v>76.5</v>
      </c>
    </row>
    <row r="139" spans="4:9" x14ac:dyDescent="0.45">
      <c r="D139" s="70" t="s">
        <v>291</v>
      </c>
      <c r="E139" s="70" t="s">
        <v>292</v>
      </c>
      <c r="F139" s="70" t="s">
        <v>298</v>
      </c>
      <c r="G139" s="78">
        <v>143.95599999999999</v>
      </c>
    </row>
    <row r="140" spans="4:9" x14ac:dyDescent="0.45">
      <c r="D140" s="70" t="s">
        <v>291</v>
      </c>
      <c r="E140" s="70" t="s">
        <v>292</v>
      </c>
      <c r="F140" s="70" t="s">
        <v>300</v>
      </c>
      <c r="G140" s="78">
        <v>329.03840000000002</v>
      </c>
    </row>
    <row r="141" spans="4:9" x14ac:dyDescent="0.45">
      <c r="D141" s="70" t="s">
        <v>291</v>
      </c>
      <c r="E141" s="70" t="s">
        <v>292</v>
      </c>
      <c r="F141" s="70" t="s">
        <v>302</v>
      </c>
      <c r="G141" s="78">
        <v>287.90859999999998</v>
      </c>
    </row>
    <row r="143" spans="4:9" x14ac:dyDescent="0.45">
      <c r="G143" t="s">
        <v>331</v>
      </c>
      <c r="H143" t="s">
        <v>329</v>
      </c>
      <c r="I143" t="s">
        <v>332</v>
      </c>
    </row>
    <row r="144" spans="4:9" x14ac:dyDescent="0.45">
      <c r="D144" s="70" t="s">
        <v>325</v>
      </c>
      <c r="E144" s="70" t="s">
        <v>215</v>
      </c>
      <c r="F144" s="70" t="s">
        <v>326</v>
      </c>
      <c r="G144" s="77">
        <v>15.231999999999999</v>
      </c>
      <c r="H144">
        <v>128</v>
      </c>
      <c r="I144">
        <v>500</v>
      </c>
    </row>
    <row r="145" spans="4:9" x14ac:dyDescent="0.45">
      <c r="D145" s="70" t="s">
        <v>325</v>
      </c>
      <c r="E145" s="70" t="s">
        <v>215</v>
      </c>
      <c r="F145" s="70" t="s">
        <v>327</v>
      </c>
      <c r="G145" s="77">
        <v>56.576000000000001</v>
      </c>
      <c r="H145">
        <v>512</v>
      </c>
      <c r="I145">
        <v>2300</v>
      </c>
    </row>
    <row r="146" spans="4:9" x14ac:dyDescent="0.45">
      <c r="D146" s="70" t="s">
        <v>325</v>
      </c>
      <c r="E146" s="70" t="s">
        <v>215</v>
      </c>
      <c r="F146" s="70" t="s">
        <v>328</v>
      </c>
      <c r="G146" s="77">
        <v>104.44799999999999</v>
      </c>
      <c r="H146">
        <v>1024</v>
      </c>
      <c r="I146">
        <v>5000</v>
      </c>
    </row>
    <row r="147" spans="4:9" x14ac:dyDescent="0.45">
      <c r="D147" s="70" t="s">
        <v>325</v>
      </c>
      <c r="E147" s="70" t="s">
        <v>215</v>
      </c>
      <c r="F147" t="s">
        <v>340</v>
      </c>
      <c r="G147" s="19">
        <f>0.024*H147</f>
        <v>0.38400000000000001</v>
      </c>
      <c r="H147">
        <v>16</v>
      </c>
      <c r="I147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S298"/>
  <sheetViews>
    <sheetView topLeftCell="A13" zoomScale="70" zoomScaleNormal="70" workbookViewId="0">
      <selection activeCell="G34" sqref="G34:G36"/>
    </sheetView>
  </sheetViews>
  <sheetFormatPr defaultRowHeight="14.25" x14ac:dyDescent="0.45"/>
  <cols>
    <col min="2" max="2" width="29.06640625" customWidth="1"/>
    <col min="3" max="3" width="34.6640625" customWidth="1"/>
    <col min="4" max="5" width="15.33203125" customWidth="1"/>
    <col min="6" max="6" width="11.1328125" customWidth="1"/>
    <col min="7" max="7" width="15.33203125" customWidth="1"/>
    <col min="8" max="10" width="11.86328125" customWidth="1"/>
    <col min="11" max="11" width="10" customWidth="1"/>
    <col min="12" max="12" width="11.53125" bestFit="1" customWidth="1"/>
    <col min="13" max="18" width="9.19921875" bestFit="1" customWidth="1"/>
    <col min="19" max="19" width="10.33203125" bestFit="1" customWidth="1"/>
    <col min="20" max="20" width="9.19921875" bestFit="1" customWidth="1"/>
    <col min="21" max="21" width="10.33203125" bestFit="1" customWidth="1"/>
    <col min="22" max="35" width="9.19921875" bestFit="1" customWidth="1"/>
    <col min="36" max="36" width="10.33203125" bestFit="1" customWidth="1"/>
    <col min="37" max="43" width="9.19921875" bestFit="1" customWidth="1"/>
    <col min="44" max="44" width="10.33203125" bestFit="1" customWidth="1"/>
    <col min="45" max="48" width="9.19921875" bestFit="1" customWidth="1"/>
    <col min="49" max="49" width="10.33203125" bestFit="1" customWidth="1"/>
    <col min="50" max="52" width="9.19921875" bestFit="1" customWidth="1"/>
    <col min="53" max="54" width="10.33203125" bestFit="1" customWidth="1"/>
    <col min="55" max="58" width="9.19921875" bestFit="1" customWidth="1"/>
    <col min="59" max="59" width="10.33203125" bestFit="1" customWidth="1"/>
    <col min="60" max="62" width="9.19921875" bestFit="1" customWidth="1"/>
    <col min="63" max="64" width="10.33203125" bestFit="1" customWidth="1"/>
    <col min="65" max="68" width="9.19921875" bestFit="1" customWidth="1"/>
    <col min="69" max="69" width="10.33203125" bestFit="1" customWidth="1"/>
    <col min="70" max="73" width="9.19921875" bestFit="1" customWidth="1"/>
    <col min="74" max="80" width="10.33203125" bestFit="1" customWidth="1"/>
    <col min="81" max="82" width="9.19921875" bestFit="1" customWidth="1"/>
    <col min="83" max="84" width="10.33203125" bestFit="1" customWidth="1"/>
    <col min="85" max="86" width="9.19921875" bestFit="1" customWidth="1"/>
    <col min="87" max="87" width="10.33203125" bestFit="1" customWidth="1"/>
    <col min="88" max="89" width="9.19921875" bestFit="1" customWidth="1"/>
    <col min="90" max="92" width="10.33203125" bestFit="1" customWidth="1"/>
    <col min="93" max="94" width="9.19921875" bestFit="1" customWidth="1"/>
    <col min="95" max="97" width="10.33203125" bestFit="1" customWidth="1"/>
  </cols>
  <sheetData>
    <row r="3" spans="2:5" x14ac:dyDescent="0.45">
      <c r="B3" t="s">
        <v>201</v>
      </c>
      <c r="C3" s="67">
        <v>8</v>
      </c>
    </row>
    <row r="4" spans="2:5" x14ac:dyDescent="0.45">
      <c r="B4" t="s">
        <v>268</v>
      </c>
      <c r="C4" s="67">
        <v>5</v>
      </c>
    </row>
    <row r="5" spans="2:5" x14ac:dyDescent="0.45">
      <c r="B5" t="s">
        <v>269</v>
      </c>
      <c r="C5" s="74">
        <f>C3*C4*52/12</f>
        <v>173.33333333333334</v>
      </c>
      <c r="D5" s="74"/>
    </row>
    <row r="7" spans="2:5" x14ac:dyDescent="0.45">
      <c r="C7" t="s">
        <v>272</v>
      </c>
      <c r="D7" t="s">
        <v>273</v>
      </c>
      <c r="E7" t="s">
        <v>274</v>
      </c>
    </row>
    <row r="8" spans="2:5" x14ac:dyDescent="0.45">
      <c r="B8" t="s">
        <v>275</v>
      </c>
      <c r="C8">
        <v>8</v>
      </c>
      <c r="D8">
        <v>5</v>
      </c>
      <c r="E8">
        <v>4</v>
      </c>
    </row>
    <row r="9" spans="2:5" x14ac:dyDescent="0.45">
      <c r="B9" t="s">
        <v>276</v>
      </c>
      <c r="C9" s="84">
        <f>($G$21*$K$21)/C12*1024</f>
        <v>398.22222222222223</v>
      </c>
      <c r="D9" s="84">
        <f>($G$21*$K$21)/D12*1024</f>
        <v>637.15555555555557</v>
      </c>
      <c r="E9" s="84">
        <f>($G$21*$K$21)/E12*1024</f>
        <v>796.44444444444446</v>
      </c>
    </row>
    <row r="10" spans="2:5" x14ac:dyDescent="0.45">
      <c r="B10" t="s">
        <v>277</v>
      </c>
      <c r="C10">
        <v>200</v>
      </c>
      <c r="D10">
        <v>200</v>
      </c>
      <c r="E10">
        <v>200</v>
      </c>
    </row>
    <row r="11" spans="2:5" x14ac:dyDescent="0.45">
      <c r="B11" t="s">
        <v>278</v>
      </c>
      <c r="C11">
        <v>1</v>
      </c>
      <c r="D11">
        <v>1</v>
      </c>
      <c r="E11">
        <v>1</v>
      </c>
    </row>
    <row r="12" spans="2:5" x14ac:dyDescent="0.45">
      <c r="B12" t="s">
        <v>279</v>
      </c>
      <c r="C12" s="73">
        <f>($H$21*$K$21)/100*C8</f>
        <v>288</v>
      </c>
      <c r="D12" s="73">
        <f>($H$21*$K$21)/100*D8</f>
        <v>180</v>
      </c>
      <c r="E12" s="73">
        <f>($H$21*$K$21)/100*E8</f>
        <v>144</v>
      </c>
    </row>
    <row r="13" spans="2:5" x14ac:dyDescent="0.45">
      <c r="B13" t="s">
        <v>283</v>
      </c>
      <c r="C13" s="73">
        <f>($H$22/100*$K$22)*C10</f>
        <v>400</v>
      </c>
      <c r="D13" s="73">
        <f>($H$22/100*$K$22)*D10</f>
        <v>400</v>
      </c>
      <c r="E13" s="73">
        <f>($H$22/100*$K$22)*E10</f>
        <v>400</v>
      </c>
    </row>
    <row r="14" spans="2:5" x14ac:dyDescent="0.45">
      <c r="B14" t="s">
        <v>284</v>
      </c>
      <c r="C14" s="55">
        <f>MIN(C12:C13)</f>
        <v>288</v>
      </c>
      <c r="D14" s="55">
        <f>MIN(D12:D13)</f>
        <v>180</v>
      </c>
      <c r="E14" s="55">
        <f>MIN(E12:E13)</f>
        <v>144</v>
      </c>
    </row>
    <row r="15" spans="2:5" x14ac:dyDescent="0.45">
      <c r="B15" t="s">
        <v>333</v>
      </c>
      <c r="C15" s="55">
        <f>($I$28*$K$28)/C14</f>
        <v>14.222222222222221</v>
      </c>
      <c r="D15" s="55">
        <f>($I$28*$K$28)/D14</f>
        <v>22.755555555555556</v>
      </c>
      <c r="E15" s="55">
        <f>($I$28*$K$28)/E14</f>
        <v>28.444444444444443</v>
      </c>
    </row>
    <row r="16" spans="2:5" x14ac:dyDescent="0.45">
      <c r="B16" t="s">
        <v>334</v>
      </c>
      <c r="C16" s="55">
        <f>($J$28*$K$28)/C14</f>
        <v>63.888888888888886</v>
      </c>
      <c r="D16" s="55">
        <f>($J$28*$K$28)/D14</f>
        <v>102.22222222222223</v>
      </c>
      <c r="E16" s="55">
        <f>($J$28*$K$28)/E14</f>
        <v>127.77777777777777</v>
      </c>
    </row>
    <row r="17" spans="2:97" x14ac:dyDescent="0.45">
      <c r="B17" t="s">
        <v>285</v>
      </c>
      <c r="C17" s="55">
        <f>SUM($L$21:$L$28)/C14</f>
        <v>2.6800547222222222</v>
      </c>
      <c r="D17" s="55">
        <f>SUM($L$21:$L$28)/D14</f>
        <v>4.2880875555555553</v>
      </c>
      <c r="E17" s="55">
        <f>SUM($L$21:$L$28)/E14</f>
        <v>5.3601094444444444</v>
      </c>
    </row>
    <row r="18" spans="2:97" x14ac:dyDescent="0.45">
      <c r="C18" s="55"/>
      <c r="D18" s="55"/>
      <c r="E18" s="55"/>
    </row>
    <row r="20" spans="2:97" x14ac:dyDescent="0.45">
      <c r="B20" t="s">
        <v>199</v>
      </c>
      <c r="C20" t="s">
        <v>200</v>
      </c>
      <c r="D20" t="s">
        <v>281</v>
      </c>
      <c r="E20" t="s">
        <v>266</v>
      </c>
      <c r="F20" t="s">
        <v>280</v>
      </c>
      <c r="G20" t="s">
        <v>203</v>
      </c>
      <c r="H20" t="s">
        <v>282</v>
      </c>
      <c r="I20" t="s">
        <v>329</v>
      </c>
      <c r="J20" t="s">
        <v>330</v>
      </c>
      <c r="K20" t="s">
        <v>265</v>
      </c>
      <c r="L20" t="s">
        <v>267</v>
      </c>
    </row>
    <row r="21" spans="2:97" x14ac:dyDescent="0.45">
      <c r="B21" t="s">
        <v>134</v>
      </c>
      <c r="C21" s="67" t="s">
        <v>198</v>
      </c>
      <c r="D21" s="85">
        <f>VLOOKUP($C21,price_list!$F$16:$S$108,6,FALSE)</f>
        <v>300</v>
      </c>
      <c r="E21" s="86">
        <f>VLOOKUP($C21,price_list!$F$16:$S$108,2,FALSE)</f>
        <v>0.62060625000000003</v>
      </c>
      <c r="F21" s="85">
        <f>VLOOKUP($C21,price_list!$F$16:$S$108,3,FALSE)</f>
        <v>6</v>
      </c>
      <c r="G21" s="85">
        <f>VLOOKUP($C21,price_list!$F$16:$S$108,4,FALSE)</f>
        <v>56</v>
      </c>
      <c r="H21" s="85">
        <f>D21*F21</f>
        <v>1800</v>
      </c>
      <c r="I21" s="85"/>
      <c r="J21" s="85"/>
      <c r="K21" s="18">
        <v>2</v>
      </c>
      <c r="L21" s="75">
        <f>E21*$C$5*K21</f>
        <v>215.14350000000002</v>
      </c>
    </row>
    <row r="22" spans="2:97" x14ac:dyDescent="0.45">
      <c r="B22" t="s">
        <v>202</v>
      </c>
      <c r="C22" s="32" t="str">
        <f>VLOOKUP(C21,Sheet5!$B$3:$D$10,2,FALSE)</f>
        <v>BASIC.A1 VM (Windows)</v>
      </c>
      <c r="D22" s="85">
        <f>VLOOKUP($C22,price_list!$F$16:$S$108,6,FALSE)</f>
        <v>100</v>
      </c>
      <c r="E22" s="86">
        <f>VLOOKUP($C22,price_list!$F$16:$S$108,2,FALSE)</f>
        <v>5.015E-2</v>
      </c>
      <c r="F22" s="85">
        <f>VLOOKUP($C22,price_list!$F$16:$S$108,3,FALSE)</f>
        <v>1</v>
      </c>
      <c r="G22" s="85">
        <f>VLOOKUP($C22,price_list!$F$16:$S$108,4,FALSE)</f>
        <v>1.75</v>
      </c>
      <c r="H22" s="85">
        <f t="shared" ref="H22:H24" si="0">D22*F22</f>
        <v>100</v>
      </c>
      <c r="I22" s="85"/>
      <c r="J22" s="85"/>
      <c r="K22" s="18">
        <v>2</v>
      </c>
      <c r="L22" s="75">
        <f>E22*$C$5*K22</f>
        <v>17.385333333333335</v>
      </c>
    </row>
    <row r="23" spans="2:97" x14ac:dyDescent="0.45">
      <c r="B23" t="s">
        <v>270</v>
      </c>
      <c r="C23" s="32" t="str">
        <f>C22</f>
        <v>BASIC.A1 VM (Windows)</v>
      </c>
      <c r="D23" s="85">
        <f>VLOOKUP($C23,price_list!$F$16:$S$108,6,FALSE)</f>
        <v>100</v>
      </c>
      <c r="E23" s="86">
        <f>VLOOKUP($C23,price_list!$F$16:$S$108,2,FALSE)</f>
        <v>5.015E-2</v>
      </c>
      <c r="F23" s="85">
        <f>VLOOKUP($C23,price_list!$F$16:$S$108,3,FALSE)</f>
        <v>1</v>
      </c>
      <c r="G23" s="85">
        <f>VLOOKUP($C23,price_list!$F$16:$S$108,4,FALSE)</f>
        <v>1.75</v>
      </c>
      <c r="H23" s="85">
        <f t="shared" si="0"/>
        <v>100</v>
      </c>
      <c r="I23" s="85"/>
      <c r="J23" s="85"/>
      <c r="K23" s="18">
        <v>2</v>
      </c>
      <c r="L23" s="75">
        <f>E23*$C$5*K23</f>
        <v>17.385333333333335</v>
      </c>
    </row>
    <row r="24" spans="2:97" x14ac:dyDescent="0.45">
      <c r="B24" t="s">
        <v>271</v>
      </c>
      <c r="C24" s="32" t="str">
        <f>VLOOKUP(C21,Sheet5!$B$3:$D$10,3,)</f>
        <v>Standard_FS2 VM (Windows)</v>
      </c>
      <c r="D24" s="85">
        <f>VLOOKUP($C24,price_list!$F$16:$S$108,6,FALSE)</f>
        <v>210</v>
      </c>
      <c r="E24" s="86">
        <f>VLOOKUP($C24,price_list!$F$16:$S$108,2,FALSE)</f>
        <v>0.17424999999999999</v>
      </c>
      <c r="F24" s="85">
        <f>VLOOKUP($C24,price_list!$F$16:$S$108,3,FALSE)</f>
        <v>2</v>
      </c>
      <c r="G24" s="85">
        <f>VLOOKUP($C24,price_list!$F$16:$S$108,4,FALSE)</f>
        <v>4</v>
      </c>
      <c r="H24" s="85">
        <f t="shared" si="0"/>
        <v>420</v>
      </c>
      <c r="I24" s="85"/>
      <c r="J24" s="85"/>
      <c r="K24" s="17">
        <f>VLOOKUP($C$21,Sheet5!$B$3:$G$10,5,)</f>
        <v>2</v>
      </c>
      <c r="L24" s="75">
        <f>E24*$C$5*K24</f>
        <v>60.406666666666666</v>
      </c>
    </row>
    <row r="25" spans="2:97" x14ac:dyDescent="0.45">
      <c r="B25" t="s">
        <v>321</v>
      </c>
      <c r="C25" t="str">
        <f>VLOOKUP($C$21,Sheet5!$B$3:$I$10,7,)</f>
        <v>Standard S1 Database Days</v>
      </c>
      <c r="D25" s="85"/>
      <c r="E25" s="86">
        <f>VLOOKUP(C25,price_list!$F$114:$G$127,2,FALSE)</f>
        <v>0.82254499999999997</v>
      </c>
      <c r="F25" s="85"/>
      <c r="G25" s="85"/>
      <c r="H25" s="85"/>
      <c r="I25" s="85"/>
      <c r="J25" s="85"/>
      <c r="K25" s="18">
        <v>1</v>
      </c>
      <c r="L25" s="75">
        <f>E25*$C$5*K25/30</f>
        <v>4.7524822222222225</v>
      </c>
    </row>
    <row r="26" spans="2:97" x14ac:dyDescent="0.45">
      <c r="B26" t="s">
        <v>322</v>
      </c>
      <c r="C26" t="str">
        <f>VLOOKUP($C$21,Sheet5!$B$3:$I$10,8,)</f>
        <v>Standard S1 Secondary Database Days</v>
      </c>
      <c r="D26" s="87"/>
      <c r="E26" s="86">
        <f>VLOOKUP(C26,price_list!$F$129:$G$141,2,)</f>
        <v>0.62050000000000005</v>
      </c>
      <c r="F26" s="87"/>
      <c r="G26" s="87"/>
      <c r="H26" s="87"/>
      <c r="I26" s="87"/>
      <c r="J26" s="87"/>
      <c r="K26" s="90">
        <v>1</v>
      </c>
      <c r="L26" s="75">
        <f>E26*$C$5*K26/30</f>
        <v>3.5851111111111114</v>
      </c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  <c r="BO26" s="70"/>
      <c r="BP26" s="70"/>
      <c r="BQ26" s="70"/>
      <c r="BR26" s="70"/>
      <c r="BS26" s="70"/>
      <c r="BT26" s="70"/>
      <c r="BU26" s="70"/>
      <c r="BV26" s="70"/>
      <c r="BW26" s="70"/>
      <c r="BX26" s="70"/>
      <c r="BY26" s="70"/>
      <c r="BZ26" s="70"/>
      <c r="CA26" s="70"/>
      <c r="CB26" s="70"/>
      <c r="CC26" s="70"/>
      <c r="CD26" s="70"/>
      <c r="CE26" s="70"/>
      <c r="CF26" s="70"/>
      <c r="CG26" s="70"/>
      <c r="CH26" s="70"/>
      <c r="CI26" s="70"/>
      <c r="CJ26" s="70"/>
      <c r="CK26" s="70"/>
      <c r="CL26" s="70"/>
      <c r="CM26" s="70"/>
      <c r="CN26" s="70"/>
      <c r="CO26" s="70"/>
      <c r="CP26" s="70"/>
      <c r="CQ26" s="70"/>
      <c r="CR26" s="70"/>
      <c r="CS26" s="70"/>
    </row>
    <row r="27" spans="2:97" x14ac:dyDescent="0.45">
      <c r="B27" s="70" t="s">
        <v>323</v>
      </c>
      <c r="C27" s="70" t="s">
        <v>324</v>
      </c>
      <c r="D27" s="88"/>
      <c r="E27" s="86">
        <v>3.3999999999999998E-3</v>
      </c>
      <c r="F27" s="88"/>
      <c r="G27" s="88"/>
      <c r="H27" s="88"/>
      <c r="I27" s="88"/>
      <c r="J27" s="88"/>
      <c r="K27" s="90">
        <v>1</v>
      </c>
      <c r="L27" s="75">
        <f>E27*$C$5*K27</f>
        <v>0.58933333333333338</v>
      </c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</row>
    <row r="28" spans="2:97" x14ac:dyDescent="0.45">
      <c r="B28" s="70" t="s">
        <v>22</v>
      </c>
      <c r="C28" s="71" t="str">
        <f>VLOOKUP(C21,Sheet5!$B$3:$G$10,4,)</f>
        <v>Premium Storage - Page Blob/P20 (Units)</v>
      </c>
      <c r="D28" s="88"/>
      <c r="E28" s="86">
        <f>VLOOKUP($C28,price_list!$F$144:$I$147,2,)</f>
        <v>56.576000000000001</v>
      </c>
      <c r="F28" s="88"/>
      <c r="G28" s="88"/>
      <c r="H28" s="88"/>
      <c r="I28" s="89">
        <f>VLOOKUP($C28,price_list!$F$144:$I$147,3,)</f>
        <v>512</v>
      </c>
      <c r="J28" s="89">
        <f>VLOOKUP($C28,price_list!$F$144:$I$147,4,)</f>
        <v>2300</v>
      </c>
      <c r="K28" s="17">
        <f>VLOOKUP($C$21,Sheet5!$B$3:$G$10,6,)*K24</f>
        <v>8</v>
      </c>
      <c r="L28" s="75">
        <f>E28*K28</f>
        <v>452.608</v>
      </c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</row>
    <row r="29" spans="2:97" x14ac:dyDescent="0.45">
      <c r="B29" s="7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</row>
    <row r="30" spans="2:97" x14ac:dyDescent="0.45">
      <c r="B30" s="70"/>
      <c r="C30" s="2" t="s">
        <v>344</v>
      </c>
      <c r="D30" s="2" t="s">
        <v>345</v>
      </c>
      <c r="E30" s="2" t="s">
        <v>329</v>
      </c>
      <c r="F30" s="2" t="s">
        <v>330</v>
      </c>
      <c r="G30" s="2" t="s">
        <v>346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</row>
    <row r="31" spans="2:97" x14ac:dyDescent="0.45">
      <c r="B31" s="70"/>
      <c r="C31" s="2">
        <f>C9</f>
        <v>398.22222222222223</v>
      </c>
      <c r="D31" s="2">
        <f>C14</f>
        <v>288</v>
      </c>
      <c r="E31" s="2">
        <f>C15</f>
        <v>14.222222222222221</v>
      </c>
      <c r="F31" s="2">
        <f>C16</f>
        <v>63.888888888888886</v>
      </c>
      <c r="G31" s="75">
        <f>C17</f>
        <v>2.6800547222222222</v>
      </c>
      <c r="H31" s="2">
        <f>D31*G31</f>
        <v>771.85576000000003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</row>
    <row r="32" spans="2:97" x14ac:dyDescent="0.45">
      <c r="B32" s="71" t="s">
        <v>151</v>
      </c>
      <c r="C32" s="2">
        <f t="dataTable" ref="C32:G39" dt2D="0" dtr="0" r1="C21"/>
        <v>192</v>
      </c>
      <c r="D32" s="2">
        <v>8</v>
      </c>
      <c r="E32" s="2">
        <v>4</v>
      </c>
      <c r="F32" s="2">
        <v>75</v>
      </c>
      <c r="G32" s="75">
        <v>2.9205027777777777</v>
      </c>
      <c r="H32" s="2">
        <f t="shared" ref="H32:H39" si="1">D32*G32</f>
        <v>23.364022222222221</v>
      </c>
      <c r="I32" s="23">
        <f>G32/$G$33</f>
        <v>0.90155167616268506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</row>
    <row r="33" spans="2:97" x14ac:dyDescent="0.45">
      <c r="B33" s="71" t="s">
        <v>156</v>
      </c>
      <c r="C33" s="2">
        <v>256</v>
      </c>
      <c r="D33" s="2">
        <v>16</v>
      </c>
      <c r="E33" s="2">
        <v>4</v>
      </c>
      <c r="F33" s="2">
        <v>75</v>
      </c>
      <c r="G33" s="75">
        <v>3.2394180555555563</v>
      </c>
      <c r="H33" s="2">
        <f t="shared" si="1"/>
        <v>51.830688888888901</v>
      </c>
      <c r="I33" s="23">
        <f t="shared" ref="I33:I39" si="2">G33/$G$33</f>
        <v>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</row>
    <row r="34" spans="2:97" x14ac:dyDescent="0.45">
      <c r="B34" s="71" t="s">
        <v>157</v>
      </c>
      <c r="C34" s="2">
        <v>256</v>
      </c>
      <c r="D34" s="2">
        <v>32</v>
      </c>
      <c r="E34" s="2">
        <v>4</v>
      </c>
      <c r="F34" s="2">
        <v>75</v>
      </c>
      <c r="G34" s="75">
        <v>3.0248485416666666</v>
      </c>
      <c r="H34" s="2">
        <f t="shared" si="1"/>
        <v>96.795153333333332</v>
      </c>
      <c r="I34" s="23">
        <f t="shared" si="2"/>
        <v>0.93376294439030305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</row>
    <row r="35" spans="2:97" x14ac:dyDescent="0.45">
      <c r="B35" s="71" t="s">
        <v>246</v>
      </c>
      <c r="C35" s="2">
        <v>426.66666666666663</v>
      </c>
      <c r="D35" s="2">
        <v>67.2</v>
      </c>
      <c r="E35" s="2">
        <v>3.8095238095238093</v>
      </c>
      <c r="F35" s="2">
        <v>71.428571428571431</v>
      </c>
      <c r="G35" s="75">
        <v>2.8282694775132278</v>
      </c>
      <c r="H35" s="2">
        <f t="shared" si="1"/>
        <v>190.05970888888891</v>
      </c>
      <c r="I35" s="23">
        <f t="shared" si="2"/>
        <v>0.87307949422050835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</row>
    <row r="36" spans="2:97" x14ac:dyDescent="0.45">
      <c r="B36" s="71" t="s">
        <v>247</v>
      </c>
      <c r="C36" s="2">
        <v>426.66666666666663</v>
      </c>
      <c r="D36" s="2">
        <v>134.4</v>
      </c>
      <c r="E36" s="2">
        <v>3.8095238095238093</v>
      </c>
      <c r="F36" s="2">
        <v>71.428571428571431</v>
      </c>
      <c r="G36" s="75">
        <v>2.7753252149470904</v>
      </c>
      <c r="H36" s="2">
        <f t="shared" si="1"/>
        <v>373.00370888888898</v>
      </c>
      <c r="I36" s="23">
        <f t="shared" si="2"/>
        <v>0.85673573689800453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</row>
    <row r="37" spans="2:97" x14ac:dyDescent="0.45">
      <c r="B37" s="70" t="s">
        <v>198</v>
      </c>
      <c r="C37" s="2">
        <v>398.22222222222223</v>
      </c>
      <c r="D37" s="2">
        <v>288</v>
      </c>
      <c r="E37" s="2">
        <v>14.222222222222221</v>
      </c>
      <c r="F37" s="2">
        <v>63.888888888888886</v>
      </c>
      <c r="G37" s="75">
        <v>2.6800547222222222</v>
      </c>
      <c r="H37" s="2">
        <f t="shared" si="1"/>
        <v>771.85576000000003</v>
      </c>
      <c r="I37" s="23">
        <f t="shared" si="2"/>
        <v>0.82732598147558201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</row>
    <row r="38" spans="2:97" x14ac:dyDescent="0.45">
      <c r="B38" s="70" t="s">
        <v>196</v>
      </c>
      <c r="C38" s="2">
        <v>398.22222222222223</v>
      </c>
      <c r="D38" s="2">
        <v>576</v>
      </c>
      <c r="E38" s="2">
        <v>14.222222222222221</v>
      </c>
      <c r="F38" s="2">
        <v>63.888888888888886</v>
      </c>
      <c r="G38" s="75">
        <v>2.6708003472222224</v>
      </c>
      <c r="H38" s="2">
        <f t="shared" si="1"/>
        <v>1538.3810000000001</v>
      </c>
      <c r="I38" s="23">
        <f t="shared" si="2"/>
        <v>0.82446917977808931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</row>
    <row r="39" spans="2:97" x14ac:dyDescent="0.45">
      <c r="B39" s="70" t="s">
        <v>197</v>
      </c>
      <c r="C39" s="2">
        <v>398.22222222222223</v>
      </c>
      <c r="D39" s="2">
        <v>1152</v>
      </c>
      <c r="E39" s="2">
        <v>14.222222222222221</v>
      </c>
      <c r="F39" s="2">
        <v>69.444444444444443</v>
      </c>
      <c r="G39" s="75">
        <v>2.4440484510030864</v>
      </c>
      <c r="H39" s="2">
        <f t="shared" si="1"/>
        <v>2815.5438155555557</v>
      </c>
      <c r="I39" s="23">
        <f t="shared" si="2"/>
        <v>0.75447145415874239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</row>
    <row r="40" spans="2:97" x14ac:dyDescent="0.45">
      <c r="B40" s="70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</row>
    <row r="41" spans="2:97" x14ac:dyDescent="0.45">
      <c r="B41" s="70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</row>
    <row r="42" spans="2:97" x14ac:dyDescent="0.45">
      <c r="B42" s="70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</row>
    <row r="43" spans="2:97" x14ac:dyDescent="0.45">
      <c r="B43" s="70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</row>
    <row r="44" spans="2:97" x14ac:dyDescent="0.45">
      <c r="B44" s="70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</row>
    <row r="45" spans="2:97" x14ac:dyDescent="0.45">
      <c r="B45" s="70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</row>
    <row r="46" spans="2:97" x14ac:dyDescent="0.45">
      <c r="B46" s="70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</row>
    <row r="47" spans="2:97" x14ac:dyDescent="0.45">
      <c r="B47" s="70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</row>
    <row r="48" spans="2:97" x14ac:dyDescent="0.45">
      <c r="B48" s="70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</row>
    <row r="49" spans="2:97" x14ac:dyDescent="0.45">
      <c r="B49" s="7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</row>
    <row r="50" spans="2:97" x14ac:dyDescent="0.45">
      <c r="B50" s="70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</row>
    <row r="51" spans="2:97" x14ac:dyDescent="0.45">
      <c r="B51" s="7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</row>
    <row r="52" spans="2:97" x14ac:dyDescent="0.45">
      <c r="B52" s="7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</row>
    <row r="53" spans="2:97" x14ac:dyDescent="0.45">
      <c r="B53" s="70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</row>
    <row r="54" spans="2:97" x14ac:dyDescent="0.45">
      <c r="B54" s="70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</row>
    <row r="55" spans="2:97" x14ac:dyDescent="0.45">
      <c r="B55" s="7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</row>
    <row r="56" spans="2:97" x14ac:dyDescent="0.45">
      <c r="B56" s="70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</row>
    <row r="57" spans="2:97" x14ac:dyDescent="0.45">
      <c r="B57" s="70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</row>
    <row r="58" spans="2:97" x14ac:dyDescent="0.45">
      <c r="B58" s="7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</row>
    <row r="59" spans="2:97" x14ac:dyDescent="0.45">
      <c r="B59" s="7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</row>
    <row r="60" spans="2:97" x14ac:dyDescent="0.45">
      <c r="B60" s="70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</row>
    <row r="61" spans="2:97" x14ac:dyDescent="0.45">
      <c r="B61" s="70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</row>
    <row r="62" spans="2:97" x14ac:dyDescent="0.45">
      <c r="B62" s="7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</row>
    <row r="63" spans="2:97" x14ac:dyDescent="0.45">
      <c r="B63" s="7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</row>
    <row r="64" spans="2:97" x14ac:dyDescent="0.45">
      <c r="B64" s="7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</row>
    <row r="65" spans="2:97" x14ac:dyDescent="0.45">
      <c r="B65" s="7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</row>
    <row r="66" spans="2:97" x14ac:dyDescent="0.45">
      <c r="B66" s="70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</row>
    <row r="67" spans="2:97" x14ac:dyDescent="0.45">
      <c r="B67" s="70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</row>
    <row r="68" spans="2:97" x14ac:dyDescent="0.45">
      <c r="B68" s="70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</row>
    <row r="69" spans="2:97" x14ac:dyDescent="0.45">
      <c r="B69" s="7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</row>
    <row r="70" spans="2:97" x14ac:dyDescent="0.45">
      <c r="B70" s="7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</row>
    <row r="71" spans="2:97" x14ac:dyDescent="0.45">
      <c r="B71" s="7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</row>
    <row r="72" spans="2:97" x14ac:dyDescent="0.45">
      <c r="B72" s="7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</row>
    <row r="73" spans="2:97" x14ac:dyDescent="0.45">
      <c r="B73" s="70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</row>
    <row r="74" spans="2:97" x14ac:dyDescent="0.45">
      <c r="B74" s="70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</row>
    <row r="75" spans="2:97" x14ac:dyDescent="0.45">
      <c r="B75" s="70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</row>
    <row r="76" spans="2:97" x14ac:dyDescent="0.45">
      <c r="B76" s="7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</row>
    <row r="77" spans="2:97" x14ac:dyDescent="0.45">
      <c r="B77" s="7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</row>
    <row r="78" spans="2:97" x14ac:dyDescent="0.45">
      <c r="B78" s="7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</row>
    <row r="79" spans="2:97" x14ac:dyDescent="0.45">
      <c r="B79" s="7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</row>
    <row r="80" spans="2:97" x14ac:dyDescent="0.45">
      <c r="B80" s="70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</row>
    <row r="81" spans="2:97" x14ac:dyDescent="0.45">
      <c r="B81" s="70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</row>
    <row r="82" spans="2:97" x14ac:dyDescent="0.45">
      <c r="B82" s="70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</row>
    <row r="83" spans="2:97" x14ac:dyDescent="0.45">
      <c r="B83" s="7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</row>
    <row r="84" spans="2:97" x14ac:dyDescent="0.45">
      <c r="B84" s="7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</row>
    <row r="85" spans="2:97" x14ac:dyDescent="0.45">
      <c r="B85" s="7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</row>
    <row r="86" spans="2:97" x14ac:dyDescent="0.45">
      <c r="B86" s="7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</row>
    <row r="87" spans="2:97" x14ac:dyDescent="0.45">
      <c r="B87" s="7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</row>
    <row r="88" spans="2:97" x14ac:dyDescent="0.45">
      <c r="B88" s="70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</row>
    <row r="89" spans="2:97" x14ac:dyDescent="0.45">
      <c r="B89" s="70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</row>
    <row r="90" spans="2:97" x14ac:dyDescent="0.45">
      <c r="B90" s="7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</row>
    <row r="91" spans="2:97" x14ac:dyDescent="0.45">
      <c r="B91" s="7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</row>
    <row r="92" spans="2:97" x14ac:dyDescent="0.45">
      <c r="B92" s="7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</row>
    <row r="93" spans="2:97" x14ac:dyDescent="0.45">
      <c r="B93" s="7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</row>
    <row r="94" spans="2:97" x14ac:dyDescent="0.45">
      <c r="B94" s="70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</row>
    <row r="95" spans="2:97" x14ac:dyDescent="0.45">
      <c r="B95" s="70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</row>
    <row r="96" spans="2:97" x14ac:dyDescent="0.45">
      <c r="B96" s="70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</row>
    <row r="97" spans="2:97" x14ac:dyDescent="0.45">
      <c r="B97" s="7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</row>
    <row r="98" spans="2:97" x14ac:dyDescent="0.45">
      <c r="B98" s="7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</row>
    <row r="99" spans="2:97" x14ac:dyDescent="0.45">
      <c r="B99" s="7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</row>
    <row r="100" spans="2:97" x14ac:dyDescent="0.45">
      <c r="B100" s="7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</row>
    <row r="101" spans="2:97" x14ac:dyDescent="0.45">
      <c r="B101" s="7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</row>
    <row r="102" spans="2:97" x14ac:dyDescent="0.45">
      <c r="B102" s="7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</row>
    <row r="103" spans="2:97" x14ac:dyDescent="0.45">
      <c r="B103" s="7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</row>
    <row r="104" spans="2:97" x14ac:dyDescent="0.45">
      <c r="B104" s="7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</row>
    <row r="105" spans="2:97" x14ac:dyDescent="0.45">
      <c r="B105" s="70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</row>
    <row r="108" spans="2:97" x14ac:dyDescent="0.45">
      <c r="B108" s="55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  <c r="BO108" s="70"/>
      <c r="BP108" s="70"/>
      <c r="BQ108" s="70"/>
      <c r="BR108" s="70"/>
      <c r="BS108" s="70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0"/>
      <c r="CJ108" s="70"/>
      <c r="CK108" s="70"/>
      <c r="CL108" s="70"/>
      <c r="CM108" s="70"/>
      <c r="CN108" s="70"/>
      <c r="CO108" s="70"/>
      <c r="CP108" s="70"/>
      <c r="CQ108" s="70"/>
      <c r="CR108" s="70"/>
      <c r="CS108" s="70"/>
    </row>
    <row r="109" spans="2:97" x14ac:dyDescent="0.45">
      <c r="B109" s="7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</row>
    <row r="110" spans="2:97" x14ac:dyDescent="0.45">
      <c r="B110" s="7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</row>
    <row r="111" spans="2:97" x14ac:dyDescent="0.45">
      <c r="B111" s="7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</row>
    <row r="112" spans="2:97" x14ac:dyDescent="0.45">
      <c r="B112" s="70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</row>
    <row r="113" spans="2:97" x14ac:dyDescent="0.45">
      <c r="B113" s="70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</row>
    <row r="114" spans="2:97" x14ac:dyDescent="0.45">
      <c r="B114" s="70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</row>
    <row r="115" spans="2:97" x14ac:dyDescent="0.45">
      <c r="B115" s="70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</row>
    <row r="116" spans="2:97" x14ac:dyDescent="0.45">
      <c r="B116" s="70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</row>
    <row r="117" spans="2:97" x14ac:dyDescent="0.45">
      <c r="B117" s="70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</row>
    <row r="118" spans="2:97" x14ac:dyDescent="0.45">
      <c r="B118" s="70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</row>
    <row r="119" spans="2:97" x14ac:dyDescent="0.45">
      <c r="B119" s="7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</row>
    <row r="120" spans="2:97" x14ac:dyDescent="0.45">
      <c r="B120" s="70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</row>
    <row r="121" spans="2:97" x14ac:dyDescent="0.45">
      <c r="B121" s="70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</row>
    <row r="122" spans="2:97" x14ac:dyDescent="0.45">
      <c r="B122" s="70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</row>
    <row r="123" spans="2:97" x14ac:dyDescent="0.45">
      <c r="B123" s="70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</row>
    <row r="124" spans="2:97" x14ac:dyDescent="0.45">
      <c r="B124" s="70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</row>
    <row r="125" spans="2:97" x14ac:dyDescent="0.45">
      <c r="B125" s="70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</row>
    <row r="126" spans="2:97" x14ac:dyDescent="0.45">
      <c r="B126" s="70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</row>
    <row r="127" spans="2:97" x14ac:dyDescent="0.45">
      <c r="B127" s="70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</row>
    <row r="128" spans="2:97" x14ac:dyDescent="0.45">
      <c r="B128" s="70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</row>
    <row r="129" spans="2:97" x14ac:dyDescent="0.45">
      <c r="B129" s="70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</row>
    <row r="130" spans="2:97" x14ac:dyDescent="0.45">
      <c r="B130" s="70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</row>
    <row r="131" spans="2:97" x14ac:dyDescent="0.45">
      <c r="B131" s="70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</row>
    <row r="132" spans="2:97" x14ac:dyDescent="0.45">
      <c r="B132" s="70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</row>
    <row r="133" spans="2:97" x14ac:dyDescent="0.45">
      <c r="B133" s="70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</row>
    <row r="134" spans="2:97" x14ac:dyDescent="0.45">
      <c r="B134" s="70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</row>
    <row r="135" spans="2:97" x14ac:dyDescent="0.45">
      <c r="B135" s="70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</row>
    <row r="136" spans="2:97" x14ac:dyDescent="0.45">
      <c r="B136" s="70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</row>
    <row r="137" spans="2:97" x14ac:dyDescent="0.45">
      <c r="B137" s="70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</row>
    <row r="138" spans="2:97" x14ac:dyDescent="0.45">
      <c r="B138" s="70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</row>
    <row r="139" spans="2:97" x14ac:dyDescent="0.45">
      <c r="B139" s="70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</row>
    <row r="140" spans="2:97" x14ac:dyDescent="0.45">
      <c r="B140" s="70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</row>
    <row r="141" spans="2:97" x14ac:dyDescent="0.45">
      <c r="B141" s="70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</row>
    <row r="142" spans="2:97" x14ac:dyDescent="0.45">
      <c r="B142" s="70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</row>
    <row r="143" spans="2:97" x14ac:dyDescent="0.45">
      <c r="B143" s="70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</row>
    <row r="144" spans="2:97" x14ac:dyDescent="0.45">
      <c r="B144" s="70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</row>
    <row r="145" spans="2:97" x14ac:dyDescent="0.45">
      <c r="B145" s="70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</row>
    <row r="146" spans="2:97" x14ac:dyDescent="0.45">
      <c r="B146" s="7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</row>
    <row r="147" spans="2:97" x14ac:dyDescent="0.45">
      <c r="B147" s="7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</row>
    <row r="148" spans="2:97" x14ac:dyDescent="0.45">
      <c r="B148" s="7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</row>
    <row r="149" spans="2:97" x14ac:dyDescent="0.45">
      <c r="B149" s="70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</row>
    <row r="150" spans="2:97" x14ac:dyDescent="0.45">
      <c r="B150" s="70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</row>
    <row r="151" spans="2:97" x14ac:dyDescent="0.45">
      <c r="B151" s="70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</row>
    <row r="152" spans="2:97" x14ac:dyDescent="0.45">
      <c r="B152" s="70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</row>
    <row r="153" spans="2:97" x14ac:dyDescent="0.45">
      <c r="B153" s="70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</row>
    <row r="154" spans="2:97" x14ac:dyDescent="0.45">
      <c r="B154" s="70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</row>
    <row r="155" spans="2:97" x14ac:dyDescent="0.45">
      <c r="B155" s="70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</row>
    <row r="156" spans="2:97" x14ac:dyDescent="0.45">
      <c r="B156" s="70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</row>
    <row r="157" spans="2:97" x14ac:dyDescent="0.45">
      <c r="B157" s="70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</row>
    <row r="158" spans="2:97" x14ac:dyDescent="0.45">
      <c r="B158" s="70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</row>
    <row r="159" spans="2:97" x14ac:dyDescent="0.45">
      <c r="B159" s="70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</row>
    <row r="160" spans="2:97" x14ac:dyDescent="0.45">
      <c r="B160" s="70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</row>
    <row r="161" spans="2:97" x14ac:dyDescent="0.45">
      <c r="B161" s="70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</row>
    <row r="162" spans="2:97" x14ac:dyDescent="0.45">
      <c r="B162" s="70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</row>
    <row r="163" spans="2:97" x14ac:dyDescent="0.45">
      <c r="B163" s="70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</row>
    <row r="164" spans="2:97" x14ac:dyDescent="0.45">
      <c r="B164" s="70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</row>
    <row r="165" spans="2:97" x14ac:dyDescent="0.45">
      <c r="B165" s="70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</row>
    <row r="166" spans="2:97" x14ac:dyDescent="0.45">
      <c r="B166" s="70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</row>
    <row r="167" spans="2:97" x14ac:dyDescent="0.45">
      <c r="B167" s="70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</row>
    <row r="168" spans="2:97" x14ac:dyDescent="0.45">
      <c r="B168" s="70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</row>
    <row r="169" spans="2:97" x14ac:dyDescent="0.45">
      <c r="B169" s="70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</row>
    <row r="170" spans="2:97" x14ac:dyDescent="0.45">
      <c r="B170" s="70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</row>
    <row r="171" spans="2:97" x14ac:dyDescent="0.45">
      <c r="B171" s="70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</row>
    <row r="172" spans="2:97" x14ac:dyDescent="0.45">
      <c r="B172" s="70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</row>
    <row r="173" spans="2:97" x14ac:dyDescent="0.45">
      <c r="B173" s="70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</row>
    <row r="174" spans="2:97" x14ac:dyDescent="0.45">
      <c r="B174" s="70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</row>
    <row r="175" spans="2:97" x14ac:dyDescent="0.45">
      <c r="B175" s="70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</row>
    <row r="176" spans="2:97" x14ac:dyDescent="0.45">
      <c r="B176" s="70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</row>
    <row r="177" spans="2:97" x14ac:dyDescent="0.45">
      <c r="B177" s="70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</row>
    <row r="178" spans="2:97" x14ac:dyDescent="0.45">
      <c r="B178" s="70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</row>
    <row r="179" spans="2:97" x14ac:dyDescent="0.45">
      <c r="B179" s="70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</row>
    <row r="180" spans="2:97" x14ac:dyDescent="0.45">
      <c r="B180" s="70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</row>
    <row r="181" spans="2:97" x14ac:dyDescent="0.45">
      <c r="B181" s="70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</row>
    <row r="182" spans="2:97" x14ac:dyDescent="0.45">
      <c r="B182" s="70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</row>
    <row r="183" spans="2:97" x14ac:dyDescent="0.45">
      <c r="B183" s="70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</row>
    <row r="184" spans="2:97" x14ac:dyDescent="0.45">
      <c r="B184" s="70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</row>
    <row r="185" spans="2:97" x14ac:dyDescent="0.45">
      <c r="B185" s="70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</row>
    <row r="186" spans="2:97" x14ac:dyDescent="0.45">
      <c r="B186" s="70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</row>
    <row r="187" spans="2:97" x14ac:dyDescent="0.45">
      <c r="B187" s="70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</row>
    <row r="188" spans="2:97" x14ac:dyDescent="0.45">
      <c r="B188" s="70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</row>
    <row r="189" spans="2:97" x14ac:dyDescent="0.45">
      <c r="B189" s="70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</row>
    <row r="190" spans="2:97" x14ac:dyDescent="0.45">
      <c r="B190" s="70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</row>
    <row r="191" spans="2:97" x14ac:dyDescent="0.45">
      <c r="B191" s="70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</row>
    <row r="192" spans="2:97" x14ac:dyDescent="0.45">
      <c r="B192" s="70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</row>
    <row r="193" spans="2:97" x14ac:dyDescent="0.45">
      <c r="B193" s="70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</row>
    <row r="194" spans="2:97" x14ac:dyDescent="0.45">
      <c r="B194" s="70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</row>
    <row r="195" spans="2:97" x14ac:dyDescent="0.45">
      <c r="B195" s="70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</row>
    <row r="196" spans="2:97" x14ac:dyDescent="0.45">
      <c r="B196" s="70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</row>
    <row r="197" spans="2:97" x14ac:dyDescent="0.45">
      <c r="B197" s="70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</row>
    <row r="198" spans="2:97" x14ac:dyDescent="0.45">
      <c r="B198" s="70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</row>
    <row r="199" spans="2:97" x14ac:dyDescent="0.45">
      <c r="B199" s="70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</row>
    <row r="200" spans="2:97" x14ac:dyDescent="0.45">
      <c r="B200" s="70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</row>
    <row r="201" spans="2:97" x14ac:dyDescent="0.45">
      <c r="B201" s="70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</row>
    <row r="205" spans="2:97" x14ac:dyDescent="0.45">
      <c r="B205" s="3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  <c r="BO205" s="70"/>
      <c r="BP205" s="70"/>
      <c r="BQ205" s="70"/>
      <c r="BR205" s="70"/>
      <c r="BS205" s="70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0"/>
      <c r="CJ205" s="70"/>
      <c r="CK205" s="70"/>
      <c r="CL205" s="70"/>
      <c r="CM205" s="70"/>
      <c r="CN205" s="70"/>
      <c r="CO205" s="70"/>
      <c r="CP205" s="70"/>
      <c r="CQ205" s="70"/>
      <c r="CR205" s="70"/>
      <c r="CS205" s="70"/>
    </row>
    <row r="206" spans="2:97" x14ac:dyDescent="0.45">
      <c r="B206" s="7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</row>
    <row r="207" spans="2:97" x14ac:dyDescent="0.45">
      <c r="B207" s="7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</row>
    <row r="208" spans="2:97" x14ac:dyDescent="0.45">
      <c r="B208" s="7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</row>
    <row r="209" spans="2:97" x14ac:dyDescent="0.45">
      <c r="B209" s="7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</row>
    <row r="210" spans="2:97" x14ac:dyDescent="0.45">
      <c r="B210" s="7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</row>
    <row r="211" spans="2:97" x14ac:dyDescent="0.45">
      <c r="B211" s="7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</row>
    <row r="212" spans="2:97" x14ac:dyDescent="0.45">
      <c r="B212" s="7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</row>
    <row r="213" spans="2:97" x14ac:dyDescent="0.45">
      <c r="B213" s="7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</row>
    <row r="214" spans="2:97" x14ac:dyDescent="0.45">
      <c r="B214" s="7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</row>
    <row r="215" spans="2:97" x14ac:dyDescent="0.45">
      <c r="B215" s="7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</row>
    <row r="216" spans="2:97" x14ac:dyDescent="0.45">
      <c r="B216" s="7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</row>
    <row r="217" spans="2:97" x14ac:dyDescent="0.45">
      <c r="B217" s="7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</row>
    <row r="218" spans="2:97" x14ac:dyDescent="0.45">
      <c r="B218" s="7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</row>
    <row r="219" spans="2:97" x14ac:dyDescent="0.45">
      <c r="B219" s="7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</row>
    <row r="220" spans="2:97" x14ac:dyDescent="0.45">
      <c r="B220" s="7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</row>
    <row r="221" spans="2:97" x14ac:dyDescent="0.45">
      <c r="B221" s="7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</row>
    <row r="222" spans="2:97" x14ac:dyDescent="0.45">
      <c r="B222" s="7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</row>
    <row r="223" spans="2:97" x14ac:dyDescent="0.45">
      <c r="B223" s="7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</row>
    <row r="224" spans="2:97" x14ac:dyDescent="0.45">
      <c r="B224" s="7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</row>
    <row r="225" spans="2:97" x14ac:dyDescent="0.45">
      <c r="B225" s="7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</row>
    <row r="226" spans="2:97" x14ac:dyDescent="0.45">
      <c r="B226" s="7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</row>
    <row r="227" spans="2:97" x14ac:dyDescent="0.45">
      <c r="B227" s="7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</row>
    <row r="228" spans="2:97" x14ac:dyDescent="0.45">
      <c r="B228" s="7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</row>
    <row r="229" spans="2:97" x14ac:dyDescent="0.45">
      <c r="B229" s="7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</row>
    <row r="230" spans="2:97" x14ac:dyDescent="0.45">
      <c r="B230" s="7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</row>
    <row r="231" spans="2:97" x14ac:dyDescent="0.45">
      <c r="B231" s="7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</row>
    <row r="232" spans="2:97" x14ac:dyDescent="0.45">
      <c r="B232" s="7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</row>
    <row r="233" spans="2:97" x14ac:dyDescent="0.45">
      <c r="B233" s="7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</row>
    <row r="234" spans="2:97" x14ac:dyDescent="0.45">
      <c r="B234" s="7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</row>
    <row r="235" spans="2:97" x14ac:dyDescent="0.45">
      <c r="B235" s="7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</row>
    <row r="236" spans="2:97" x14ac:dyDescent="0.45">
      <c r="B236" s="7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</row>
    <row r="237" spans="2:97" x14ac:dyDescent="0.45">
      <c r="B237" s="7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</row>
    <row r="238" spans="2:97" x14ac:dyDescent="0.45">
      <c r="B238" s="7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</row>
    <row r="239" spans="2:97" x14ac:dyDescent="0.45">
      <c r="B239" s="7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</row>
    <row r="240" spans="2:97" x14ac:dyDescent="0.45">
      <c r="B240" s="7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</row>
    <row r="241" spans="2:97" x14ac:dyDescent="0.45">
      <c r="B241" s="7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</row>
    <row r="242" spans="2:97" x14ac:dyDescent="0.45">
      <c r="B242" s="7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</row>
    <row r="243" spans="2:97" x14ac:dyDescent="0.45">
      <c r="B243" s="7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</row>
    <row r="244" spans="2:97" x14ac:dyDescent="0.45">
      <c r="B244" s="7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</row>
    <row r="245" spans="2:97" x14ac:dyDescent="0.45">
      <c r="B245" s="7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</row>
    <row r="246" spans="2:97" x14ac:dyDescent="0.45">
      <c r="B246" s="7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</row>
    <row r="247" spans="2:97" x14ac:dyDescent="0.45">
      <c r="B247" s="7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</row>
    <row r="248" spans="2:97" x14ac:dyDescent="0.45">
      <c r="B248" s="7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</row>
    <row r="249" spans="2:97" x14ac:dyDescent="0.45">
      <c r="B249" s="7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</row>
    <row r="250" spans="2:97" x14ac:dyDescent="0.45">
      <c r="B250" s="7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</row>
    <row r="251" spans="2:97" x14ac:dyDescent="0.45">
      <c r="B251" s="7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</row>
    <row r="252" spans="2:97" x14ac:dyDescent="0.45">
      <c r="B252" s="7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</row>
    <row r="253" spans="2:97" x14ac:dyDescent="0.45">
      <c r="B253" s="7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</row>
    <row r="254" spans="2:97" x14ac:dyDescent="0.45">
      <c r="B254" s="7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</row>
    <row r="255" spans="2:97" x14ac:dyDescent="0.45">
      <c r="B255" s="7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</row>
    <row r="256" spans="2:97" x14ac:dyDescent="0.45">
      <c r="B256" s="7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</row>
    <row r="257" spans="2:97" x14ac:dyDescent="0.45">
      <c r="B257" s="7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</row>
    <row r="258" spans="2:97" x14ac:dyDescent="0.45">
      <c r="B258" s="7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</row>
    <row r="259" spans="2:97" x14ac:dyDescent="0.45">
      <c r="B259" s="7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</row>
    <row r="260" spans="2:97" x14ac:dyDescent="0.45">
      <c r="B260" s="7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</row>
    <row r="261" spans="2:97" x14ac:dyDescent="0.45">
      <c r="B261" s="7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</row>
    <row r="262" spans="2:97" x14ac:dyDescent="0.45">
      <c r="B262" s="7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</row>
    <row r="263" spans="2:97" x14ac:dyDescent="0.45">
      <c r="B263" s="7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</row>
    <row r="264" spans="2:97" x14ac:dyDescent="0.45">
      <c r="B264" s="7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</row>
    <row r="265" spans="2:97" x14ac:dyDescent="0.45">
      <c r="B265" s="7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</row>
    <row r="266" spans="2:97" x14ac:dyDescent="0.45">
      <c r="B266" s="7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</row>
    <row r="267" spans="2:97" x14ac:dyDescent="0.45">
      <c r="B267" s="7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</row>
    <row r="268" spans="2:97" x14ac:dyDescent="0.45">
      <c r="B268" s="7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</row>
    <row r="269" spans="2:97" x14ac:dyDescent="0.45">
      <c r="B269" s="7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</row>
    <row r="270" spans="2:97" x14ac:dyDescent="0.45">
      <c r="B270" s="7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</row>
    <row r="271" spans="2:97" x14ac:dyDescent="0.45">
      <c r="B271" s="7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</row>
    <row r="272" spans="2:97" x14ac:dyDescent="0.45">
      <c r="B272" s="7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</row>
    <row r="273" spans="2:97" x14ac:dyDescent="0.45">
      <c r="B273" s="7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</row>
    <row r="274" spans="2:97" x14ac:dyDescent="0.45">
      <c r="B274" s="7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</row>
    <row r="275" spans="2:97" x14ac:dyDescent="0.45">
      <c r="B275" s="7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</row>
    <row r="276" spans="2:97" x14ac:dyDescent="0.45">
      <c r="B276" s="7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</row>
    <row r="277" spans="2:97" x14ac:dyDescent="0.45">
      <c r="B277" s="7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</row>
    <row r="278" spans="2:97" x14ac:dyDescent="0.45">
      <c r="B278" s="7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</row>
    <row r="279" spans="2:97" x14ac:dyDescent="0.45">
      <c r="B279" s="7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</row>
    <row r="280" spans="2:97" x14ac:dyDescent="0.45">
      <c r="B280" s="7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</row>
    <row r="281" spans="2:97" x14ac:dyDescent="0.45">
      <c r="B281" s="7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</row>
    <row r="282" spans="2:97" x14ac:dyDescent="0.45">
      <c r="B282" s="7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</row>
    <row r="283" spans="2:97" x14ac:dyDescent="0.45">
      <c r="B283" s="7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</row>
    <row r="284" spans="2:97" x14ac:dyDescent="0.45">
      <c r="B284" s="7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</row>
    <row r="285" spans="2:97" x14ac:dyDescent="0.45">
      <c r="B285" s="7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</row>
    <row r="286" spans="2:97" x14ac:dyDescent="0.45">
      <c r="B286" s="7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</row>
    <row r="287" spans="2:97" x14ac:dyDescent="0.45">
      <c r="B287" s="7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</row>
    <row r="288" spans="2:97" x14ac:dyDescent="0.45">
      <c r="B288" s="7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</row>
    <row r="289" spans="2:97" x14ac:dyDescent="0.45">
      <c r="B289" s="7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</row>
    <row r="290" spans="2:97" x14ac:dyDescent="0.45">
      <c r="B290" s="7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</row>
    <row r="291" spans="2:97" x14ac:dyDescent="0.45">
      <c r="B291" s="7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</row>
    <row r="292" spans="2:97" x14ac:dyDescent="0.45">
      <c r="B292" s="7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</row>
    <row r="293" spans="2:97" x14ac:dyDescent="0.45">
      <c r="B293" s="7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</row>
    <row r="294" spans="2:97" x14ac:dyDescent="0.45">
      <c r="B294" s="7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</row>
    <row r="295" spans="2:97" x14ac:dyDescent="0.45">
      <c r="B295" s="7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</row>
    <row r="296" spans="2:97" x14ac:dyDescent="0.45">
      <c r="B296" s="7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</row>
    <row r="297" spans="2:97" x14ac:dyDescent="0.45">
      <c r="B297" s="7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</row>
    <row r="298" spans="2:97" x14ac:dyDescent="0.45">
      <c r="B298" s="7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Sheet5!$B$3:$B$10</xm:f>
          </x14:formula1>
          <xm:sqref>C21:C23</xm:sqref>
        </x14:dataValidation>
        <x14:dataValidation type="list" allowBlank="1" showInputMessage="1" showErrorMessage="1">
          <x14:formula1>
            <xm:f>price_list!$F$114:$F$127</xm:f>
          </x14:formula1>
          <xm:sqref>C25</xm:sqref>
        </x14:dataValidation>
        <x14:dataValidation type="list" allowBlank="1" showInputMessage="1" showErrorMessage="1">
          <x14:formula1>
            <xm:f>price_list!$F$129:$F$141</xm:f>
          </x14:formula1>
          <xm:sqref>C26</xm:sqref>
        </x14:dataValidation>
        <x14:dataValidation type="list" allowBlank="1" showInputMessage="1" showErrorMessage="1">
          <x14:formula1>
            <xm:f>price_list!$F$144:$F$147</xm:f>
          </x14:formula1>
          <xm:sqref>C28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0"/>
  <sheetViews>
    <sheetView zoomScale="70" zoomScaleNormal="70" workbookViewId="0">
      <selection activeCell="I6" sqref="I6"/>
    </sheetView>
  </sheetViews>
  <sheetFormatPr defaultRowHeight="14.25" x14ac:dyDescent="0.45"/>
  <cols>
    <col min="2" max="2" width="28.06640625" bestFit="1" customWidth="1"/>
    <col min="3" max="3" width="28.06640625" customWidth="1"/>
    <col min="4" max="4" width="24.796875" customWidth="1"/>
    <col min="5" max="5" width="36.1328125" customWidth="1"/>
    <col min="6" max="6" width="9.265625" customWidth="1"/>
    <col min="7" max="7" width="11.265625" customWidth="1"/>
    <col min="8" max="9" width="24.796875" customWidth="1"/>
    <col min="10" max="10" width="14.9296875" customWidth="1"/>
    <col min="11" max="11" width="11.796875" bestFit="1" customWidth="1"/>
    <col min="12" max="13" width="9.1328125" bestFit="1" customWidth="1"/>
  </cols>
  <sheetData>
    <row r="2" spans="2:20" x14ac:dyDescent="0.45">
      <c r="B2" t="s">
        <v>134</v>
      </c>
      <c r="C2" t="s">
        <v>335</v>
      </c>
      <c r="D2" t="s">
        <v>336</v>
      </c>
      <c r="E2" t="s">
        <v>339</v>
      </c>
      <c r="F2" t="s">
        <v>338</v>
      </c>
      <c r="G2" t="s">
        <v>337</v>
      </c>
      <c r="H2" t="s">
        <v>341</v>
      </c>
      <c r="I2" t="s">
        <v>342</v>
      </c>
      <c r="J2" s="80" t="s">
        <v>286</v>
      </c>
      <c r="K2" s="81" t="s">
        <v>287</v>
      </c>
      <c r="L2" s="82" t="s">
        <v>267</v>
      </c>
      <c r="M2" s="70"/>
    </row>
    <row r="3" spans="2:20" x14ac:dyDescent="0.45">
      <c r="B3" s="71" t="s">
        <v>151</v>
      </c>
      <c r="C3" s="71" t="s">
        <v>151</v>
      </c>
      <c r="D3" s="71" t="s">
        <v>151</v>
      </c>
      <c r="E3" s="70" t="s">
        <v>340</v>
      </c>
      <c r="F3" s="70">
        <v>2</v>
      </c>
      <c r="G3" s="70">
        <v>1</v>
      </c>
      <c r="H3" s="70" t="s">
        <v>293</v>
      </c>
      <c r="I3" s="70" t="s">
        <v>343</v>
      </c>
      <c r="J3" s="79">
        <v>5.6888888888888891</v>
      </c>
      <c r="K3" s="75">
        <v>15.663374999999998</v>
      </c>
      <c r="L3" s="3">
        <f t="shared" ref="L3:L10" si="0">J3*K3</f>
        <v>89.107199999999992</v>
      </c>
      <c r="M3" s="79"/>
      <c r="Q3" s="16">
        <f t="shared" ref="Q3:Q10" si="1">K3/$K$3</f>
        <v>1</v>
      </c>
    </row>
    <row r="4" spans="2:20" x14ac:dyDescent="0.45">
      <c r="B4" s="71" t="s">
        <v>156</v>
      </c>
      <c r="C4" s="71" t="s">
        <v>151</v>
      </c>
      <c r="D4" s="71" t="s">
        <v>156</v>
      </c>
      <c r="E4" s="70" t="s">
        <v>340</v>
      </c>
      <c r="F4" s="70">
        <v>2</v>
      </c>
      <c r="G4" s="70">
        <v>2</v>
      </c>
      <c r="H4" s="70" t="s">
        <v>293</v>
      </c>
      <c r="I4" s="70" t="s">
        <v>343</v>
      </c>
      <c r="J4" s="2">
        <v>15.170370370370371</v>
      </c>
      <c r="K4" s="75">
        <v>9.708029296874999</v>
      </c>
      <c r="L4" s="3">
        <f t="shared" si="0"/>
        <v>147.27439999999999</v>
      </c>
      <c r="M4" s="2"/>
      <c r="Q4" s="16">
        <f t="shared" si="1"/>
        <v>0.61979166666666663</v>
      </c>
    </row>
    <row r="5" spans="2:20" x14ac:dyDescent="0.45">
      <c r="B5" s="71" t="s">
        <v>157</v>
      </c>
      <c r="C5" s="71" t="s">
        <v>151</v>
      </c>
      <c r="D5" s="71" t="s">
        <v>157</v>
      </c>
      <c r="E5" s="70" t="s">
        <v>340</v>
      </c>
      <c r="F5" s="70">
        <v>2</v>
      </c>
      <c r="G5" s="70">
        <v>4</v>
      </c>
      <c r="H5" s="70" t="s">
        <v>309</v>
      </c>
      <c r="I5" s="70" t="s">
        <v>343</v>
      </c>
      <c r="J5" s="2">
        <v>30.340740740740742</v>
      </c>
      <c r="K5" s="75">
        <v>7.7501074218749997</v>
      </c>
      <c r="L5" s="3">
        <f t="shared" si="0"/>
        <v>235.14400000000001</v>
      </c>
      <c r="M5" s="2"/>
      <c r="Q5" s="16">
        <f t="shared" si="1"/>
        <v>0.49479166666666669</v>
      </c>
    </row>
    <row r="6" spans="2:20" x14ac:dyDescent="0.45">
      <c r="B6" s="71" t="s">
        <v>246</v>
      </c>
      <c r="C6" s="71" t="s">
        <v>151</v>
      </c>
      <c r="D6" s="71" t="s">
        <v>157</v>
      </c>
      <c r="E6" s="70" t="s">
        <v>340</v>
      </c>
      <c r="F6" s="70">
        <v>4</v>
      </c>
      <c r="G6" s="70">
        <v>4</v>
      </c>
      <c r="H6" s="70" t="s">
        <v>309</v>
      </c>
      <c r="I6" s="70" t="s">
        <v>310</v>
      </c>
      <c r="J6" s="2">
        <v>67.2</v>
      </c>
      <c r="K6" s="75">
        <v>6.519499999999999</v>
      </c>
      <c r="L6" s="3">
        <f t="shared" si="0"/>
        <v>438.11039999999997</v>
      </c>
      <c r="M6" s="2"/>
      <c r="Q6" s="16">
        <f t="shared" si="1"/>
        <v>0.41622574955908287</v>
      </c>
    </row>
    <row r="7" spans="2:20" x14ac:dyDescent="0.45">
      <c r="B7" s="71" t="s">
        <v>247</v>
      </c>
      <c r="C7" s="71" t="s">
        <v>151</v>
      </c>
      <c r="D7" s="71" t="s">
        <v>159</v>
      </c>
      <c r="E7" s="70" t="s">
        <v>340</v>
      </c>
      <c r="F7" s="70">
        <v>4</v>
      </c>
      <c r="G7" s="70">
        <v>8</v>
      </c>
      <c r="H7" s="70" t="s">
        <v>309</v>
      </c>
      <c r="I7" s="70" t="s">
        <v>310</v>
      </c>
      <c r="J7" s="2">
        <v>134.4</v>
      </c>
      <c r="K7" s="75">
        <v>6.0222499999999997</v>
      </c>
      <c r="L7" s="3">
        <f t="shared" si="0"/>
        <v>809.3904</v>
      </c>
      <c r="M7" s="2"/>
      <c r="Q7" s="16">
        <f t="shared" si="1"/>
        <v>0.38447971781305118</v>
      </c>
    </row>
    <row r="8" spans="2:20" x14ac:dyDescent="0.45">
      <c r="B8" s="70" t="s">
        <v>198</v>
      </c>
      <c r="C8" s="70" t="s">
        <v>152</v>
      </c>
      <c r="D8" s="70" t="s">
        <v>253</v>
      </c>
      <c r="E8" s="70" t="s">
        <v>327</v>
      </c>
      <c r="F8" s="70">
        <v>2</v>
      </c>
      <c r="G8" s="70">
        <v>4</v>
      </c>
      <c r="H8" s="70" t="s">
        <v>311</v>
      </c>
      <c r="I8" s="70" t="s">
        <v>312</v>
      </c>
      <c r="J8" s="2">
        <v>288</v>
      </c>
      <c r="K8" s="75">
        <v>3.8981177083333329</v>
      </c>
      <c r="L8" s="3">
        <f t="shared" si="0"/>
        <v>1122.6578999999999</v>
      </c>
      <c r="M8" s="3"/>
      <c r="N8" s="3"/>
      <c r="Q8" s="16">
        <f t="shared" si="1"/>
        <v>0.24886831275720164</v>
      </c>
    </row>
    <row r="9" spans="2:20" x14ac:dyDescent="0.45">
      <c r="B9" s="70" t="s">
        <v>196</v>
      </c>
      <c r="C9" s="70" t="s">
        <v>252</v>
      </c>
      <c r="D9" s="70" t="s">
        <v>253</v>
      </c>
      <c r="E9" s="70" t="s">
        <v>327</v>
      </c>
      <c r="F9" s="70">
        <v>4</v>
      </c>
      <c r="G9" s="70">
        <v>4</v>
      </c>
      <c r="H9" s="70" t="s">
        <v>313</v>
      </c>
      <c r="I9" s="70" t="s">
        <v>314</v>
      </c>
      <c r="J9" s="2">
        <v>576</v>
      </c>
      <c r="K9" s="75">
        <v>3.8014302083333331</v>
      </c>
      <c r="L9" s="3">
        <f t="shared" si="0"/>
        <v>2189.6237999999998</v>
      </c>
      <c r="N9" s="3"/>
      <c r="Q9" s="16">
        <f t="shared" si="1"/>
        <v>0.2426954732510288</v>
      </c>
    </row>
    <row r="10" spans="2:20" x14ac:dyDescent="0.45">
      <c r="B10" s="70" t="s">
        <v>197</v>
      </c>
      <c r="C10" s="70" t="s">
        <v>253</v>
      </c>
      <c r="D10" s="70" t="s">
        <v>253</v>
      </c>
      <c r="E10" s="70" t="s">
        <v>328</v>
      </c>
      <c r="F10" s="70">
        <v>4</v>
      </c>
      <c r="G10" s="70">
        <v>4</v>
      </c>
      <c r="H10" s="70" t="s">
        <v>315</v>
      </c>
      <c r="I10" s="70" t="s">
        <v>316</v>
      </c>
      <c r="J10" s="2">
        <v>1152</v>
      </c>
      <c r="K10" s="75">
        <v>3.798207291666666</v>
      </c>
      <c r="L10" s="3">
        <f t="shared" si="0"/>
        <v>4375.5347999999994</v>
      </c>
      <c r="M10" s="3"/>
      <c r="Q10" s="16">
        <f t="shared" si="1"/>
        <v>0.24248971193415636</v>
      </c>
    </row>
    <row r="11" spans="2:20" x14ac:dyDescent="0.45">
      <c r="B11" s="70"/>
      <c r="C11" s="70"/>
      <c r="D11" s="70"/>
      <c r="E11" s="70"/>
      <c r="F11" s="70"/>
      <c r="G11" s="70"/>
      <c r="J11" s="2"/>
      <c r="K11" s="2"/>
      <c r="L11" s="2"/>
      <c r="M11" s="2"/>
    </row>
    <row r="12" spans="2:20" x14ac:dyDescent="0.45">
      <c r="C12" s="81"/>
      <c r="D12" s="81"/>
      <c r="E12" s="81"/>
      <c r="F12" s="81"/>
      <c r="G12" s="81"/>
      <c r="H12" s="81"/>
      <c r="I12" s="81"/>
      <c r="J12" s="19"/>
      <c r="K12" s="19"/>
      <c r="L12" s="19"/>
      <c r="M12" s="19"/>
    </row>
    <row r="13" spans="2:20" x14ac:dyDescent="0.45">
      <c r="B13" s="70"/>
      <c r="C13" s="70"/>
      <c r="D13" s="70"/>
      <c r="E13" s="70"/>
      <c r="F13" s="70"/>
      <c r="G13" s="70"/>
      <c r="H13" s="70"/>
      <c r="I13" s="70"/>
      <c r="K13" s="75"/>
      <c r="L13" s="75"/>
      <c r="M13" s="75"/>
      <c r="R13" s="16"/>
      <c r="S13" s="16"/>
      <c r="T13" s="16"/>
    </row>
    <row r="14" spans="2:20" x14ac:dyDescent="0.45">
      <c r="B14" s="70"/>
      <c r="C14" s="70"/>
      <c r="D14" s="70"/>
      <c r="E14" s="70"/>
      <c r="F14" s="70"/>
      <c r="G14" s="70"/>
      <c r="H14" s="70"/>
      <c r="I14" s="70"/>
      <c r="K14" s="75"/>
      <c r="L14" s="75"/>
      <c r="M14" s="75"/>
      <c r="R14" s="16"/>
      <c r="S14" s="16"/>
      <c r="T14" s="16"/>
    </row>
    <row r="15" spans="2:20" x14ac:dyDescent="0.45">
      <c r="B15" s="70"/>
      <c r="C15" s="70"/>
      <c r="D15" s="70"/>
      <c r="E15" s="70"/>
      <c r="F15" s="70"/>
      <c r="G15" s="70"/>
      <c r="H15" s="70"/>
      <c r="I15" s="70"/>
      <c r="K15" s="75"/>
      <c r="L15" s="75"/>
      <c r="M15" s="75"/>
      <c r="R15" s="16"/>
      <c r="S15" s="16"/>
      <c r="T15" s="16"/>
    </row>
    <row r="16" spans="2:20" x14ac:dyDescent="0.45">
      <c r="B16" s="70"/>
      <c r="C16" s="70"/>
      <c r="D16" s="70"/>
      <c r="E16" s="70"/>
      <c r="F16" s="70"/>
      <c r="G16" s="70"/>
      <c r="H16" s="70"/>
      <c r="I16" s="70"/>
      <c r="K16" s="75"/>
      <c r="L16" s="75"/>
      <c r="M16" s="75"/>
      <c r="R16" s="16"/>
      <c r="S16" s="16"/>
      <c r="T16" s="16"/>
    </row>
    <row r="17" spans="2:20" x14ac:dyDescent="0.45">
      <c r="B17" s="70"/>
      <c r="C17" s="70"/>
      <c r="D17" s="70"/>
      <c r="E17" s="70"/>
      <c r="F17" s="70"/>
      <c r="G17" s="70"/>
      <c r="H17" s="70"/>
      <c r="I17" s="70"/>
      <c r="K17" s="75"/>
      <c r="L17" s="75"/>
      <c r="M17" s="75"/>
      <c r="R17" s="16"/>
      <c r="S17" s="16"/>
      <c r="T17" s="16"/>
    </row>
    <row r="18" spans="2:20" x14ac:dyDescent="0.45">
      <c r="B18" s="70"/>
      <c r="C18" s="70"/>
      <c r="D18" s="70"/>
      <c r="E18" s="70"/>
      <c r="F18" s="70"/>
      <c r="G18" s="70"/>
      <c r="H18" s="70"/>
      <c r="I18" s="70"/>
      <c r="J18" s="75"/>
      <c r="L18" s="75"/>
      <c r="M18" s="75"/>
      <c r="Q18" s="16"/>
      <c r="S18" s="16"/>
      <c r="T18" s="16"/>
    </row>
    <row r="19" spans="2:20" x14ac:dyDescent="0.45">
      <c r="B19" s="70"/>
      <c r="C19" s="70"/>
      <c r="D19" s="70"/>
      <c r="E19" s="70"/>
      <c r="F19" s="70"/>
      <c r="G19" s="70"/>
      <c r="H19" s="70"/>
      <c r="I19" s="70"/>
      <c r="J19" s="75"/>
      <c r="K19" s="75"/>
      <c r="M19" s="75"/>
      <c r="Q19" s="16"/>
      <c r="R19" s="16"/>
      <c r="T19" s="16"/>
    </row>
    <row r="20" spans="2:20" x14ac:dyDescent="0.45">
      <c r="B20" s="70"/>
      <c r="C20" s="70"/>
      <c r="D20" s="70"/>
      <c r="E20" s="70"/>
      <c r="F20" s="70"/>
      <c r="G20" s="70"/>
      <c r="H20" s="70"/>
      <c r="I20" s="70"/>
      <c r="J20" s="75"/>
      <c r="K20" s="75"/>
      <c r="L20" s="75"/>
      <c r="Q20" s="16"/>
      <c r="R20" s="16"/>
      <c r="S20" s="16"/>
    </row>
    <row r="21" spans="2:20" x14ac:dyDescent="0.45">
      <c r="B21" s="70"/>
      <c r="C21" s="70"/>
      <c r="D21" s="70"/>
      <c r="E21" s="70"/>
      <c r="F21" s="70"/>
      <c r="G21" s="70"/>
      <c r="H21" s="70"/>
      <c r="I21" s="70"/>
      <c r="J21" s="75"/>
      <c r="K21" s="75"/>
      <c r="L21" s="75"/>
      <c r="M21" s="75"/>
    </row>
    <row r="22" spans="2:20" x14ac:dyDescent="0.45">
      <c r="C22" s="82"/>
      <c r="D22" s="82"/>
      <c r="E22" s="82"/>
      <c r="F22" s="82"/>
      <c r="G22" s="82"/>
      <c r="H22" s="82"/>
      <c r="I22" s="82"/>
    </row>
    <row r="23" spans="2:20" x14ac:dyDescent="0.45">
      <c r="B23" s="70"/>
      <c r="C23" s="70"/>
      <c r="D23" s="70"/>
      <c r="E23" s="70"/>
      <c r="F23" s="70"/>
      <c r="G23" s="70"/>
      <c r="H23" s="70"/>
      <c r="I23" s="70"/>
      <c r="K23" s="3"/>
      <c r="L23" s="3"/>
      <c r="M23" s="3"/>
    </row>
    <row r="24" spans="2:20" x14ac:dyDescent="0.45">
      <c r="B24" s="70"/>
      <c r="C24" s="70"/>
      <c r="D24" s="70"/>
      <c r="E24" s="70"/>
      <c r="F24" s="70"/>
      <c r="G24" s="70"/>
      <c r="H24" s="70"/>
      <c r="I24" s="70"/>
      <c r="K24" s="3"/>
      <c r="L24" s="3"/>
      <c r="M24" s="3"/>
    </row>
    <row r="25" spans="2:20" x14ac:dyDescent="0.45">
      <c r="B25" s="70"/>
      <c r="C25" s="70"/>
      <c r="D25" s="70"/>
      <c r="E25" s="70"/>
      <c r="F25" s="70"/>
      <c r="G25" s="70"/>
      <c r="H25" s="70"/>
      <c r="I25" s="70"/>
      <c r="K25" s="3"/>
      <c r="L25" s="3"/>
      <c r="M25" s="3"/>
    </row>
    <row r="26" spans="2:20" x14ac:dyDescent="0.45">
      <c r="B26" s="70"/>
      <c r="C26" s="70"/>
      <c r="D26" s="70"/>
      <c r="E26" s="70"/>
      <c r="F26" s="70"/>
      <c r="G26" s="70"/>
      <c r="H26" s="70"/>
      <c r="I26" s="70"/>
      <c r="K26" s="3"/>
      <c r="L26" s="3"/>
      <c r="M26" s="3"/>
    </row>
    <row r="27" spans="2:20" x14ac:dyDescent="0.45">
      <c r="B27" s="70"/>
      <c r="C27" s="70"/>
      <c r="D27" s="70"/>
      <c r="E27" s="70"/>
      <c r="F27" s="70"/>
      <c r="G27" s="70"/>
      <c r="H27" s="70"/>
      <c r="I27" s="70"/>
      <c r="K27" s="3"/>
      <c r="L27" s="3"/>
      <c r="M27" s="3"/>
    </row>
    <row r="28" spans="2:20" x14ac:dyDescent="0.45">
      <c r="B28" s="70"/>
      <c r="C28" s="70"/>
      <c r="D28" s="70"/>
      <c r="E28" s="70"/>
      <c r="F28" s="70"/>
      <c r="G28" s="70"/>
      <c r="H28" s="70"/>
      <c r="I28" s="70"/>
      <c r="J28" s="3"/>
    </row>
    <row r="29" spans="2:20" x14ac:dyDescent="0.45">
      <c r="B29" s="70"/>
      <c r="C29" s="70"/>
      <c r="D29" s="70"/>
      <c r="E29" s="70"/>
      <c r="F29" s="70"/>
      <c r="G29" s="70"/>
      <c r="H29" s="70"/>
      <c r="I29" s="70"/>
      <c r="J29" s="3"/>
    </row>
    <row r="30" spans="2:20" x14ac:dyDescent="0.45">
      <c r="B30" s="70"/>
      <c r="C30" s="70"/>
      <c r="D30" s="70"/>
      <c r="E30" s="70"/>
      <c r="F30" s="70"/>
      <c r="G30" s="70"/>
      <c r="H30" s="70"/>
      <c r="I30" s="70"/>
      <c r="J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price_list</vt:lpstr>
      <vt:lpstr>cost model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Guzman Lemos</dc:creator>
  <cp:lastModifiedBy>Jonathan Guzman Lemos</cp:lastModifiedBy>
  <dcterms:created xsi:type="dcterms:W3CDTF">2017-01-04T16:02:54Z</dcterms:created>
  <dcterms:modified xsi:type="dcterms:W3CDTF">2017-01-30T14:15:26Z</dcterms:modified>
</cp:coreProperties>
</file>