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uz\OneDrive - Microsoft\Documents\Offers Templates\"/>
    </mc:Choice>
  </mc:AlternateContent>
  <bookViews>
    <workbookView xWindow="0" yWindow="0" windowWidth="19200" windowHeight="6585"/>
  </bookViews>
  <sheets>
    <sheet name="model" sheetId="4" r:id="rId1"/>
    <sheet name="price_list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4" l="1"/>
  <c r="C56" i="4" s="1"/>
  <c r="D19" i="4"/>
  <c r="E19" i="4"/>
  <c r="C19" i="4"/>
  <c r="J8" i="5"/>
  <c r="I8" i="5"/>
  <c r="J7" i="5"/>
  <c r="I7" i="5"/>
  <c r="J6" i="5"/>
  <c r="I6" i="5"/>
  <c r="J5" i="5"/>
  <c r="I5" i="5"/>
  <c r="I4" i="5"/>
  <c r="J4" i="5"/>
  <c r="I3" i="5"/>
  <c r="J3" i="5"/>
  <c r="D17" i="4"/>
  <c r="E17" i="4"/>
  <c r="C17" i="4"/>
  <c r="D64" i="4"/>
  <c r="B65" i="4"/>
  <c r="B66" i="4"/>
  <c r="B67" i="4"/>
  <c r="B68" i="4"/>
  <c r="B69" i="4"/>
  <c r="B70" i="4"/>
  <c r="B71" i="4"/>
  <c r="B72" i="4"/>
  <c r="B73" i="4"/>
  <c r="B74" i="4"/>
  <c r="B75" i="4"/>
  <c r="B76" i="4"/>
  <c r="B64" i="4"/>
  <c r="C8" i="4"/>
  <c r="C9" i="4" s="1"/>
  <c r="D67" i="4" s="1"/>
  <c r="P64" i="4" l="1"/>
  <c r="C20" i="4"/>
  <c r="E20" i="4"/>
  <c r="D20" i="4"/>
  <c r="D65" i="4"/>
  <c r="D66" i="4"/>
  <c r="D68" i="4"/>
  <c r="D71" i="4"/>
  <c r="D75" i="4"/>
  <c r="D72" i="4"/>
  <c r="D76" i="4"/>
  <c r="D69" i="4"/>
  <c r="D73" i="4"/>
  <c r="D74" i="4"/>
  <c r="D70" i="4"/>
  <c r="C37" i="4" l="1" a="1"/>
  <c r="C37" i="4" s="1"/>
  <c r="D45" i="4" s="1"/>
  <c r="D22" i="4"/>
  <c r="D24" i="4" s="1"/>
  <c r="D25" i="4" s="1"/>
  <c r="E22" i="4"/>
  <c r="E24" i="4" s="1"/>
  <c r="E28" i="4" s="1"/>
  <c r="C22" i="4"/>
  <c r="C24" i="4" s="1"/>
  <c r="C38" i="4" l="1"/>
  <c r="E46" i="4" s="1"/>
  <c r="E45" i="4"/>
  <c r="C45" i="4"/>
  <c r="C39" i="4"/>
  <c r="E47" i="4" s="1"/>
  <c r="E25" i="4"/>
  <c r="D28" i="4"/>
  <c r="D26" i="4"/>
  <c r="E26" i="4"/>
  <c r="C25" i="4"/>
  <c r="C28" i="4"/>
  <c r="C26" i="4"/>
  <c r="D46" i="4" l="1"/>
  <c r="C46" i="4"/>
  <c r="D47" i="4"/>
  <c r="C47" i="4"/>
  <c r="C29" i="4"/>
  <c r="E29" i="4"/>
  <c r="D29" i="4"/>
  <c r="C33" i="4" l="1"/>
  <c r="D37" i="4" a="1"/>
  <c r="C31" i="4"/>
  <c r="C32" i="4"/>
  <c r="C34" i="4" l="1"/>
  <c r="D37" i="4"/>
  <c r="D39" i="4"/>
  <c r="D38" i="4"/>
  <c r="E70" i="4"/>
  <c r="Q70" i="4" s="1"/>
  <c r="E64" i="4"/>
  <c r="Q64" i="4" s="1"/>
  <c r="E66" i="4"/>
  <c r="Q66" i="4" s="1"/>
  <c r="E73" i="4"/>
  <c r="Q73" i="4" s="1"/>
  <c r="E65" i="4"/>
  <c r="Q65" i="4" s="1"/>
  <c r="E67" i="4"/>
  <c r="Q67" i="4" s="1"/>
  <c r="E75" i="4"/>
  <c r="Q75" i="4" s="1"/>
  <c r="E72" i="4"/>
  <c r="Q72" i="4" s="1"/>
  <c r="E69" i="4"/>
  <c r="Q69" i="4" s="1"/>
  <c r="E74" i="4"/>
  <c r="Q74" i="4" s="1"/>
  <c r="E71" i="4"/>
  <c r="Q71" i="4" s="1"/>
  <c r="E68" i="4"/>
  <c r="Q68" i="4" s="1"/>
  <c r="E76" i="4"/>
  <c r="Q76" i="4" s="1"/>
  <c r="I64" i="4" l="1"/>
  <c r="R64" i="4"/>
  <c r="S64" i="4" s="1"/>
  <c r="I76" i="4"/>
  <c r="O76" i="4"/>
  <c r="I69" i="4"/>
  <c r="O69" i="4"/>
  <c r="I65" i="4"/>
  <c r="O65" i="4"/>
  <c r="I70" i="4"/>
  <c r="O70" i="4"/>
  <c r="I68" i="4"/>
  <c r="O68" i="4"/>
  <c r="I72" i="4"/>
  <c r="O72" i="4"/>
  <c r="I73" i="4"/>
  <c r="O73" i="4"/>
  <c r="I66" i="4"/>
  <c r="O66" i="4"/>
  <c r="I71" i="4"/>
  <c r="O71" i="4"/>
  <c r="I75" i="4"/>
  <c r="O75" i="4"/>
  <c r="I74" i="4"/>
  <c r="O74" i="4"/>
  <c r="I67" i="4"/>
  <c r="O67" i="4"/>
  <c r="D48" i="4"/>
  <c r="D49" i="4" s="1"/>
  <c r="C48" i="4"/>
  <c r="C49" i="4" s="1"/>
  <c r="E48" i="4"/>
  <c r="E49" i="4" s="1"/>
  <c r="F76" i="4"/>
  <c r="F69" i="4"/>
  <c r="F65" i="4"/>
  <c r="F70" i="4"/>
  <c r="F68" i="4"/>
  <c r="F72" i="4"/>
  <c r="F73" i="4"/>
  <c r="F71" i="4"/>
  <c r="F66" i="4"/>
  <c r="F75" i="4"/>
  <c r="F74" i="4"/>
  <c r="F67" i="4"/>
  <c r="F64" i="4"/>
  <c r="V64" i="4" l="1"/>
  <c r="P67" i="4"/>
  <c r="R67" i="4" s="1"/>
  <c r="S67" i="4" s="1"/>
  <c r="P66" i="4"/>
  <c r="R66" i="4" s="1"/>
  <c r="S66" i="4" s="1"/>
  <c r="P72" i="4"/>
  <c r="R72" i="4" s="1"/>
  <c r="S72" i="4" s="1"/>
  <c r="P69" i="4"/>
  <c r="R69" i="4" s="1"/>
  <c r="S69" i="4" s="1"/>
  <c r="P74" i="4"/>
  <c r="R74" i="4" s="1"/>
  <c r="S74" i="4" s="1"/>
  <c r="P71" i="4"/>
  <c r="R71" i="4" s="1"/>
  <c r="S71" i="4" s="1"/>
  <c r="P73" i="4"/>
  <c r="R73" i="4" s="1"/>
  <c r="S73" i="4" s="1"/>
  <c r="P68" i="4"/>
  <c r="R68" i="4" s="1"/>
  <c r="S68" i="4" s="1"/>
  <c r="P65" i="4"/>
  <c r="R65" i="4" s="1"/>
  <c r="S65" i="4" s="1"/>
  <c r="P76" i="4"/>
  <c r="R76" i="4" s="1"/>
  <c r="S76" i="4" s="1"/>
  <c r="P75" i="4"/>
  <c r="R75" i="4" s="1"/>
  <c r="S75" i="4" s="1"/>
  <c r="P70" i="4"/>
  <c r="R70" i="4" s="1"/>
  <c r="S70" i="4" s="1"/>
  <c r="C52" i="4"/>
  <c r="C51" i="4"/>
  <c r="V76" i="4" l="1"/>
  <c r="V71" i="4"/>
  <c r="V66" i="4"/>
  <c r="V65" i="4"/>
  <c r="V74" i="4"/>
  <c r="V67" i="4"/>
  <c r="V68" i="4"/>
  <c r="V69" i="4"/>
  <c r="V70" i="4"/>
  <c r="V75" i="4"/>
  <c r="V73" i="4"/>
  <c r="V72" i="4"/>
  <c r="C53" i="4"/>
  <c r="J65" i="4"/>
  <c r="K65" i="4" s="1"/>
  <c r="J67" i="4"/>
  <c r="K67" i="4" s="1"/>
  <c r="J69" i="4"/>
  <c r="K69" i="4" s="1"/>
  <c r="J71" i="4"/>
  <c r="K71" i="4" s="1"/>
  <c r="J73" i="4"/>
  <c r="K73" i="4" s="1"/>
  <c r="J75" i="4"/>
  <c r="K75" i="4" s="1"/>
  <c r="J76" i="4"/>
  <c r="K76" i="4" s="1"/>
  <c r="J64" i="4"/>
  <c r="K64" i="4" s="1"/>
  <c r="J66" i="4"/>
  <c r="K66" i="4" s="1"/>
  <c r="J68" i="4"/>
  <c r="K68" i="4" s="1"/>
  <c r="J70" i="4"/>
  <c r="K70" i="4" s="1"/>
  <c r="J72" i="4"/>
  <c r="K72" i="4" s="1"/>
  <c r="J74" i="4"/>
  <c r="K74" i="4" s="1"/>
  <c r="G76" i="4"/>
  <c r="G68" i="4"/>
  <c r="G75" i="4"/>
  <c r="G64" i="4"/>
  <c r="G69" i="4"/>
  <c r="G72" i="4"/>
  <c r="G66" i="4"/>
  <c r="G73" i="4"/>
  <c r="G74" i="4"/>
  <c r="G65" i="4"/>
  <c r="G70" i="4"/>
  <c r="G71" i="4"/>
  <c r="G67" i="4"/>
  <c r="H70" i="4" l="1"/>
  <c r="W70" i="4" s="1"/>
  <c r="X70" i="4" s="1"/>
  <c r="M70" i="4"/>
  <c r="H65" i="4"/>
  <c r="M65" i="4"/>
  <c r="H72" i="4"/>
  <c r="W72" i="4" s="1"/>
  <c r="X72" i="4" s="1"/>
  <c r="M72" i="4"/>
  <c r="H68" i="4"/>
  <c r="M68" i="4"/>
  <c r="H74" i="4"/>
  <c r="M74" i="4"/>
  <c r="H69" i="4"/>
  <c r="M69" i="4"/>
  <c r="H76" i="4"/>
  <c r="C12" i="4" s="1"/>
  <c r="M76" i="4"/>
  <c r="H67" i="4"/>
  <c r="M67" i="4"/>
  <c r="H71" i="4"/>
  <c r="M71" i="4"/>
  <c r="H73" i="4"/>
  <c r="M73" i="4"/>
  <c r="H64" i="4"/>
  <c r="M64" i="4"/>
  <c r="H66" i="4"/>
  <c r="M66" i="4"/>
  <c r="H75" i="4"/>
  <c r="M75" i="4"/>
  <c r="T66" i="4" l="1"/>
  <c r="N66" i="4"/>
  <c r="T67" i="4"/>
  <c r="N67" i="4"/>
  <c r="T69" i="4"/>
  <c r="N69" i="4"/>
  <c r="T65" i="4"/>
  <c r="N65" i="4"/>
  <c r="T73" i="4"/>
  <c r="N73" i="4"/>
  <c r="T68" i="4"/>
  <c r="N68" i="4"/>
  <c r="T75" i="4"/>
  <c r="N75" i="4"/>
  <c r="T64" i="4"/>
  <c r="U64" i="4" s="1"/>
  <c r="U65" i="4" s="1"/>
  <c r="U66" i="4" s="1"/>
  <c r="U67" i="4" s="1"/>
  <c r="U68" i="4" s="1"/>
  <c r="U69" i="4" s="1"/>
  <c r="N64" i="4"/>
  <c r="T71" i="4"/>
  <c r="N71" i="4"/>
  <c r="T76" i="4"/>
  <c r="N76" i="4"/>
  <c r="T74" i="4"/>
  <c r="N74" i="4"/>
  <c r="T72" i="4"/>
  <c r="N72" i="4"/>
  <c r="T70" i="4"/>
  <c r="N70" i="4"/>
  <c r="L70" i="4"/>
  <c r="L71" i="4"/>
  <c r="W71" i="4"/>
  <c r="X71" i="4" s="1"/>
  <c r="L66" i="4"/>
  <c r="W66" i="4"/>
  <c r="X66" i="4" s="1"/>
  <c r="L73" i="4"/>
  <c r="W73" i="4"/>
  <c r="X73" i="4" s="1"/>
  <c r="L67" i="4"/>
  <c r="W67" i="4"/>
  <c r="X67" i="4" s="1"/>
  <c r="L69" i="4"/>
  <c r="W69" i="4"/>
  <c r="X69" i="4" s="1"/>
  <c r="L68" i="4"/>
  <c r="W68" i="4"/>
  <c r="X68" i="4" s="1"/>
  <c r="L65" i="4"/>
  <c r="W65" i="4"/>
  <c r="X65" i="4" s="1"/>
  <c r="L64" i="4"/>
  <c r="W64" i="4"/>
  <c r="X64" i="4" s="1"/>
  <c r="L75" i="4"/>
  <c r="W75" i="4"/>
  <c r="X75" i="4" s="1"/>
  <c r="L76" i="4"/>
  <c r="W76" i="4"/>
  <c r="X76" i="4" s="1"/>
  <c r="C13" i="4" s="1"/>
  <c r="L74" i="4"/>
  <c r="W74" i="4"/>
  <c r="X74" i="4" s="1"/>
  <c r="L72" i="4"/>
  <c r="U70" i="4" l="1"/>
  <c r="U71" i="4" s="1"/>
  <c r="U72" i="4" s="1"/>
  <c r="U73" i="4" s="1"/>
  <c r="U74" i="4" s="1"/>
  <c r="U75" i="4" s="1"/>
  <c r="U76" i="4" s="1"/>
  <c r="C11" i="4"/>
</calcChain>
</file>

<file path=xl/sharedStrings.xml><?xml version="1.0" encoding="utf-8"?>
<sst xmlns="http://schemas.openxmlformats.org/spreadsheetml/2006/main" count="103" uniqueCount="93">
  <si>
    <t>month</t>
  </si>
  <si>
    <t>CSP discount %</t>
  </si>
  <si>
    <t>discounted price</t>
  </si>
  <si>
    <t>gm $</t>
  </si>
  <si>
    <t>gm %</t>
  </si>
  <si>
    <t>growth_rate</t>
  </si>
  <si>
    <t>MSFT revenue</t>
  </si>
  <si>
    <t>growth_period</t>
  </si>
  <si>
    <t>std</t>
  </si>
  <si>
    <t>prm</t>
  </si>
  <si>
    <t>adv</t>
  </si>
  <si>
    <t>azure backup unit price per mo</t>
  </si>
  <si>
    <t>max backup capacity in GB</t>
  </si>
  <si>
    <t>storage unit price per mo</t>
  </si>
  <si>
    <t>storage type</t>
  </si>
  <si>
    <t>LRS-HOT</t>
  </si>
  <si>
    <t>GRS-HOT</t>
  </si>
  <si>
    <t>RA-GRS-HOT</t>
  </si>
  <si>
    <t>min (GB)</t>
  </si>
  <si>
    <t>max (GB)</t>
  </si>
  <si>
    <t>min (TB)</t>
  </si>
  <si>
    <t>max (TB)</t>
  </si>
  <si>
    <t>unit price</t>
  </si>
  <si>
    <t>LRS-COOL</t>
  </si>
  <si>
    <t>GRS-COOL</t>
  </si>
  <si>
    <t>RA-GRS-COOL</t>
  </si>
  <si>
    <t>Category</t>
  </si>
  <si>
    <t>Type</t>
  </si>
  <si>
    <t>storage</t>
  </si>
  <si>
    <t>estimated retail price (ERP) of plan</t>
  </si>
  <si>
    <t>FY17 rebate</t>
  </si>
  <si>
    <t>net cost for partner</t>
  </si>
  <si>
    <t>units proportion</t>
  </si>
  <si>
    <t>% of total sales in $</t>
  </si>
  <si>
    <t>% of total sales in units</t>
  </si>
  <si>
    <t>gross margin in $</t>
  </si>
  <si>
    <t>gross margin in %</t>
  </si>
  <si>
    <t>base plans</t>
  </si>
  <si>
    <t>project svcs</t>
  </si>
  <si>
    <t>managed svcs</t>
  </si>
  <si>
    <t>ip svcs</t>
  </si>
  <si>
    <t>complementary services (upsell add-ons)</t>
  </si>
  <si>
    <t>unit price as % of ERP</t>
  </si>
  <si>
    <t>average expected gross margin in %</t>
  </si>
  <si>
    <t>upsell revenue</t>
  </si>
  <si>
    <t>average ticket price for upsell add-ons</t>
  </si>
  <si>
    <t>base plans revenue</t>
  </si>
  <si>
    <t>average ticket cost for base plans</t>
  </si>
  <si>
    <t>average ERP for base plans</t>
  </si>
  <si>
    <t>expected attach rate % across all plans</t>
  </si>
  <si>
    <t>add-on price for STD plan</t>
  </si>
  <si>
    <t>add-on price for ADV plan</t>
  </si>
  <si>
    <t>add-on price for PRM plan</t>
  </si>
  <si>
    <t>STD</t>
  </si>
  <si>
    <t>ADV</t>
  </si>
  <si>
    <t>PRM</t>
  </si>
  <si>
    <t>average add-on unit price</t>
  </si>
  <si>
    <t>average add-on gross margin</t>
  </si>
  <si>
    <t>average ticket GM for upsell add-ons</t>
  </si>
  <si>
    <t>total sales</t>
  </si>
  <si>
    <t>base plans gm</t>
  </si>
  <si>
    <t>upsell gm</t>
  </si>
  <si>
    <t>average GM for base plans</t>
  </si>
  <si>
    <t>average ticket GM for upsell add-ons %</t>
  </si>
  <si>
    <t>average GM for base plans %</t>
  </si>
  <si>
    <t>max upsell cogs</t>
  </si>
  <si>
    <t>units sold</t>
  </si>
  <si>
    <t>net seats added</t>
  </si>
  <si>
    <t>avrg work hours/mo</t>
  </si>
  <si>
    <t>avrg work minutes/mo</t>
  </si>
  <si>
    <t>avrg service time per unit for project svcs (minutes)</t>
  </si>
  <si>
    <t>avrg service time per unit for managed svcs (minutes)</t>
  </si>
  <si>
    <t># req FTEs for prj svcs</t>
  </si>
  <si>
    <t># req FTEs for mngd svcs</t>
  </si>
  <si>
    <t>people costs</t>
  </si>
  <si>
    <t>avg monthly cost per FTE for upsell svcs</t>
  </si>
  <si>
    <t># req FTEs for upsell svcs (min)</t>
  </si>
  <si>
    <t xml:space="preserve">avg support monthly calls per unit </t>
  </si>
  <si>
    <t>cashflow</t>
  </si>
  <si>
    <t>acum</t>
  </si>
  <si>
    <t>total actual cogs</t>
  </si>
  <si>
    <t>real gm $</t>
  </si>
  <si>
    <t>real gm %</t>
  </si>
  <si>
    <t>total cogs</t>
  </si>
  <si>
    <t>NPV</t>
  </si>
  <si>
    <t>discount rate (mo)</t>
  </si>
  <si>
    <t>last month MRR for partner</t>
  </si>
  <si>
    <t>last month real GM % for partner</t>
  </si>
  <si>
    <t>expected MSFT MRR by initial month</t>
  </si>
  <si>
    <t>expected MSFT MRR by last month</t>
  </si>
  <si>
    <t>initial month</t>
  </si>
  <si>
    <t>last month</t>
  </si>
  <si>
    <t>Backup as a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</si>
</sst>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164" formatCode="0.0%"/>
    <numFmt numFmtId="165" formatCode="_-&quot;$&quot;\ * #,##0.0_-;\-&quot;$&quot;\ * #,##0.0_-;_-&quot;$&quot;\ * &quot;-&quot;_-;_-@_-"/>
    <numFmt numFmtId="166" formatCode="_-&quot;$&quot;\ * #,##0.00_-;\-&quot;$&quot;\ * #,##0.00_-;_-&quot;$&quot;\ * &quot;-&quot;_-;_-@_-"/>
    <numFmt numFmtId="167" formatCode="_-* #,##0.00_-;\-* #,##0.00_-;_-* &quot;-&quot;_-;_-@_-"/>
    <numFmt numFmtId="168" formatCode="_-&quot;$&quot;\ * #,##0.0000_-;\-&quot;$&quot;\ * #,##0.0000_-;_-&quot;$&quot;\ * &quot;-&quot;_-;_-@_-"/>
    <numFmt numFmtId="169" formatCode="_-&quot;$&quot;\ * #,##0.0_-;\-&quot;$&quot;\ * #,##0.0_-;_-&quot;$&quot;\ * &quot;-&quot;?_-;_-@_-"/>
    <numFmt numFmtId="170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9" fontId="0" fillId="0" borderId="0" xfId="0" applyNumberFormat="1"/>
    <xf numFmtId="41" fontId="0" fillId="0" borderId="0" xfId="1" applyFont="1"/>
    <xf numFmtId="42" fontId="0" fillId="0" borderId="0" xfId="2" applyFont="1"/>
    <xf numFmtId="0" fontId="2" fillId="0" borderId="0" xfId="0" applyFont="1"/>
    <xf numFmtId="42" fontId="0" fillId="2" borderId="0" xfId="2" applyFont="1" applyFill="1"/>
    <xf numFmtId="9" fontId="0" fillId="2" borderId="0" xfId="0" applyNumberFormat="1" applyFill="1"/>
    <xf numFmtId="41" fontId="0" fillId="0" borderId="0" xfId="0" applyNumberFormat="1"/>
    <xf numFmtId="9" fontId="0" fillId="0" borderId="0" xfId="3" applyFont="1"/>
    <xf numFmtId="164" fontId="0" fillId="0" borderId="0" xfId="3" applyNumberFormat="1" applyFont="1"/>
    <xf numFmtId="9" fontId="0" fillId="2" borderId="0" xfId="3" applyFont="1" applyFill="1"/>
    <xf numFmtId="0" fontId="0" fillId="2" borderId="0" xfId="0" applyFill="1"/>
    <xf numFmtId="165" fontId="0" fillId="2" borderId="0" xfId="2" applyNumberFormat="1" applyFont="1" applyFill="1"/>
    <xf numFmtId="44" fontId="0" fillId="0" borderId="0" xfId="0" applyNumberFormat="1"/>
    <xf numFmtId="166" fontId="0" fillId="0" borderId="0" xfId="2" applyNumberFormat="1" applyFont="1" applyFill="1"/>
    <xf numFmtId="9" fontId="0" fillId="0" borderId="0" xfId="3" applyFont="1" applyFill="1"/>
    <xf numFmtId="164" fontId="0" fillId="0" borderId="0" xfId="3" applyNumberFormat="1" applyFont="1" applyFill="1"/>
    <xf numFmtId="167" fontId="0" fillId="0" borderId="0" xfId="0" applyNumberFormat="1"/>
    <xf numFmtId="42" fontId="0" fillId="0" borderId="0" xfId="0" applyNumberFormat="1"/>
    <xf numFmtId="9" fontId="0" fillId="0" borderId="0" xfId="0" applyNumberFormat="1" applyFill="1"/>
    <xf numFmtId="3" fontId="0" fillId="0" borderId="0" xfId="0" applyNumberFormat="1"/>
    <xf numFmtId="3" fontId="0" fillId="2" borderId="0" xfId="0" applyNumberFormat="1" applyFill="1"/>
    <xf numFmtId="10" fontId="0" fillId="0" borderId="0" xfId="3" applyNumberFormat="1" applyFont="1" applyFill="1"/>
    <xf numFmtId="2" fontId="0" fillId="0" borderId="0" xfId="0" applyNumberFormat="1"/>
    <xf numFmtId="41" fontId="0" fillId="0" borderId="0" xfId="1" applyFont="1" applyFill="1"/>
    <xf numFmtId="41" fontId="0" fillId="2" borderId="0" xfId="1" applyFont="1" applyFill="1"/>
    <xf numFmtId="166" fontId="0" fillId="0" borderId="0" xfId="2" applyNumberFormat="1" applyFont="1"/>
    <xf numFmtId="168" fontId="0" fillId="0" borderId="0" xfId="2" applyNumberFormat="1" applyFont="1"/>
    <xf numFmtId="165" fontId="0" fillId="0" borderId="0" xfId="2" applyNumberFormat="1" applyFont="1" applyFill="1"/>
    <xf numFmtId="168" fontId="0" fillId="2" borderId="0" xfId="2" applyNumberFormat="1" applyFont="1" applyFill="1"/>
    <xf numFmtId="169" fontId="0" fillId="0" borderId="0" xfId="0" applyNumberFormat="1"/>
    <xf numFmtId="167" fontId="0" fillId="0" borderId="0" xfId="1" applyNumberFormat="1" applyFont="1"/>
    <xf numFmtId="170" fontId="0" fillId="0" borderId="0" xfId="1" applyNumberFormat="1" applyFont="1"/>
    <xf numFmtId="164" fontId="0" fillId="3" borderId="0" xfId="3" applyNumberFormat="1" applyFont="1" applyFill="1"/>
    <xf numFmtId="10" fontId="2" fillId="0" borderId="0" xfId="3" applyNumberFormat="1" applyFont="1" applyFill="1" applyAlignment="1">
      <alignment wrapText="1"/>
    </xf>
    <xf numFmtId="10" fontId="2" fillId="0" borderId="0" xfId="3" applyNumberFormat="1" applyFont="1" applyFill="1"/>
    <xf numFmtId="165" fontId="0" fillId="3" borderId="0" xfId="2" applyNumberFormat="1" applyFont="1" applyFill="1"/>
    <xf numFmtId="166" fontId="0" fillId="0" borderId="0" xfId="0" applyNumberFormat="1"/>
    <xf numFmtId="166" fontId="2" fillId="0" borderId="0" xfId="0" applyNumberFormat="1" applyFont="1"/>
    <xf numFmtId="167" fontId="0" fillId="2" borderId="0" xfId="1" applyNumberFormat="1" applyFont="1" applyFill="1"/>
    <xf numFmtId="0" fontId="2" fillId="0" borderId="0" xfId="0" applyFont="1" applyAlignment="1">
      <alignment wrapText="1"/>
    </xf>
    <xf numFmtId="0" fontId="2" fillId="0" borderId="0" xfId="0" applyFont="1" applyFill="1"/>
    <xf numFmtId="0" fontId="0" fillId="0" borderId="0" xfId="0" applyFill="1"/>
    <xf numFmtId="2" fontId="0" fillId="0" borderId="0" xfId="0" applyNumberFormat="1" applyFill="1"/>
    <xf numFmtId="0" fontId="2" fillId="0" borderId="0" xfId="0" applyFont="1" applyFill="1" applyAlignment="1">
      <alignment wrapText="1"/>
    </xf>
    <xf numFmtId="10" fontId="0" fillId="0" borderId="0" xfId="3" applyNumberFormat="1" applyFont="1"/>
    <xf numFmtId="0" fontId="3" fillId="0" borderId="0" xfId="0" applyFont="1"/>
    <xf numFmtId="42" fontId="2" fillId="3" borderId="0" xfId="2" applyFont="1" applyFill="1"/>
    <xf numFmtId="42" fontId="2" fillId="3" borderId="0" xfId="0" applyNumberFormat="1" applyFont="1" applyFill="1"/>
    <xf numFmtId="164" fontId="2" fillId="3" borderId="0" xfId="0" applyNumberFormat="1" applyFont="1" applyFill="1"/>
  </cellXfs>
  <cellStyles count="4">
    <cellStyle name="Comma [0]" xfId="1" builtinId="6"/>
    <cellStyle name="Currency [0]" xfId="2" builtinId="7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Financial Actuals COGS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model!$U$63</c:f>
              <c:strCache>
                <c:ptCount val="1"/>
                <c:pt idx="0">
                  <c:v>acum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model!$U$64:$U$76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180.14705882352905</c:v>
                </c:pt>
                <c:pt idx="5">
                  <c:v>753.89845486921615</c:v>
                </c:pt>
                <c:pt idx="6">
                  <c:v>1852.5296703930912</c:v>
                </c:pt>
                <c:pt idx="7">
                  <c:v>3651.0993745011465</c:v>
                </c:pt>
                <c:pt idx="8">
                  <c:v>6383.0520543322109</c:v>
                </c:pt>
                <c:pt idx="9">
                  <c:v>10359.690936706287</c:v>
                </c:pt>
                <c:pt idx="10">
                  <c:v>15996.14554648945</c:v>
                </c:pt>
                <c:pt idx="11">
                  <c:v>23846.000002214387</c:v>
                </c:pt>
                <c:pt idx="12">
                  <c:v>34647.47059044968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64-4EB3-96BC-AC9F634CF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96928"/>
        <c:axId val="490099552"/>
      </c:areaChart>
      <c:barChart>
        <c:barDir val="col"/>
        <c:grouping val="clustered"/>
        <c:varyColors val="0"/>
        <c:ser>
          <c:idx val="3"/>
          <c:order val="3"/>
          <c:tx>
            <c:strRef>
              <c:f>model!$T$63</c:f>
              <c:strCache>
                <c:ptCount val="1"/>
                <c:pt idx="0">
                  <c:v>cashflow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model!$T$64:$T$76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180.14705882352905</c:v>
                </c:pt>
                <c:pt idx="5">
                  <c:v>573.7513960456871</c:v>
                </c:pt>
                <c:pt idx="6">
                  <c:v>1098.6312155238752</c:v>
                </c:pt>
                <c:pt idx="7">
                  <c:v>1798.5697041080555</c:v>
                </c:pt>
                <c:pt idx="8">
                  <c:v>2731.952679831064</c:v>
                </c:pt>
                <c:pt idx="9">
                  <c:v>3976.6388823740754</c:v>
                </c:pt>
                <c:pt idx="10">
                  <c:v>5636.4546097831626</c:v>
                </c:pt>
                <c:pt idx="11">
                  <c:v>7849.8544557249352</c:v>
                </c:pt>
                <c:pt idx="12">
                  <c:v>10801.47058823529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64-4EB3-96BC-AC9F634CF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096928"/>
        <c:axId val="490099552"/>
      </c:barChart>
      <c:lineChart>
        <c:grouping val="standard"/>
        <c:varyColors val="0"/>
        <c:ser>
          <c:idx val="0"/>
          <c:order val="0"/>
          <c:tx>
            <c:strRef>
              <c:f>model!$H$63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model!$H$64:$H$76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2180.1470588235288</c:v>
                </c:pt>
                <c:pt idx="5">
                  <c:v>2907.2728282090102</c:v>
                </c:pt>
                <c:pt idx="6">
                  <c:v>3876.9106255627976</c:v>
                </c:pt>
                <c:pt idx="7">
                  <c:v>5169.9434097697094</c:v>
                </c:pt>
                <c:pt idx="8">
                  <c:v>6894.2303399994416</c:v>
                </c:pt>
                <c:pt idx="9">
                  <c:v>9193.6039166598966</c:v>
                </c:pt>
                <c:pt idx="10">
                  <c:v>12259.867861686651</c:v>
                </c:pt>
                <c:pt idx="11">
                  <c:v>16348.79654904949</c:v>
                </c:pt>
                <c:pt idx="12">
                  <c:v>21801.470588235286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4-4EB3-96BC-AC9F634CFAAF}"/>
            </c:ext>
          </c:extLst>
        </c:ser>
        <c:ser>
          <c:idx val="1"/>
          <c:order val="1"/>
          <c:tx>
            <c:strRef>
              <c:f>model!$V$63</c:f>
              <c:strCache>
                <c:ptCount val="1"/>
                <c:pt idx="0">
                  <c:v>total actual cogs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model!$V$64:$V$76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2000</c:v>
                </c:pt>
                <c:pt idx="5">
                  <c:v>2333.5214321633239</c:v>
                </c:pt>
                <c:pt idx="6">
                  <c:v>2778.2794100389228</c:v>
                </c:pt>
                <c:pt idx="7">
                  <c:v>3371.3737056616551</c:v>
                </c:pt>
                <c:pt idx="8">
                  <c:v>4162.277660168379</c:v>
                </c:pt>
                <c:pt idx="9">
                  <c:v>5216.9650342858222</c:v>
                </c:pt>
                <c:pt idx="10">
                  <c:v>6623.4132519034902</c:v>
                </c:pt>
                <c:pt idx="11">
                  <c:v>8498.9420933245565</c:v>
                </c:pt>
                <c:pt idx="12">
                  <c:v>10999.999999999998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64-4EB3-96BC-AC9F634CF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096928"/>
        <c:axId val="490099552"/>
      </c:lineChart>
      <c:catAx>
        <c:axId val="4900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9552"/>
        <c:crosses val="autoZero"/>
        <c:auto val="1"/>
        <c:lblAlgn val="ctr"/>
        <c:lblOffset val="100"/>
        <c:noMultiLvlLbl val="0"/>
      </c:catAx>
      <c:valAx>
        <c:axId val="4900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0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Revenue</a:t>
            </a:r>
            <a:r>
              <a:rPr lang="es-CO" baseline="0"/>
              <a:t> Composition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model!$F$63</c:f>
              <c:strCache>
                <c:ptCount val="1"/>
                <c:pt idx="0">
                  <c:v>base plans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model!$F$64:$F$76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1470.5882352941171</c:v>
                </c:pt>
                <c:pt idx="5">
                  <c:v>1961.0609296519463</c:v>
                </c:pt>
                <c:pt idx="6">
                  <c:v>2615.1167794690032</c:v>
                </c:pt>
                <c:pt idx="7">
                  <c:v>3487.3142730318446</c:v>
                </c:pt>
                <c:pt idx="8">
                  <c:v>4650.4083237770265</c:v>
                </c:pt>
                <c:pt idx="9">
                  <c:v>6201.419168067383</c:v>
                </c:pt>
                <c:pt idx="10">
                  <c:v>8269.7253704463074</c:v>
                </c:pt>
                <c:pt idx="11">
                  <c:v>11027.856019594934</c:v>
                </c:pt>
                <c:pt idx="12">
                  <c:v>14705.882352941169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BD-4987-A075-7E7954CFCBA9}"/>
            </c:ext>
          </c:extLst>
        </c:ser>
        <c:ser>
          <c:idx val="2"/>
          <c:order val="2"/>
          <c:tx>
            <c:strRef>
              <c:f>model!$G$63</c:f>
              <c:strCache>
                <c:ptCount val="1"/>
                <c:pt idx="0">
                  <c:v>upsell revenue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model!$G$64:$G$76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709.5588235294116</c:v>
                </c:pt>
                <c:pt idx="5">
                  <c:v>946.21189855706416</c:v>
                </c:pt>
                <c:pt idx="6">
                  <c:v>1261.7938460937942</c:v>
                </c:pt>
                <c:pt idx="7">
                  <c:v>1682.6291367378651</c:v>
                </c:pt>
                <c:pt idx="8">
                  <c:v>2243.8220162224156</c:v>
                </c:pt>
                <c:pt idx="9">
                  <c:v>2992.1847485925127</c:v>
                </c:pt>
                <c:pt idx="10">
                  <c:v>3990.1424912403436</c:v>
                </c:pt>
                <c:pt idx="11">
                  <c:v>5320.9405294545559</c:v>
                </c:pt>
                <c:pt idx="12">
                  <c:v>7095.5882352941153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BD-4987-A075-7E7954CFC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model!$H$63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model!$H$64:$H$76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2180.1470588235288</c:v>
                </c:pt>
                <c:pt idx="5">
                  <c:v>2907.2728282090102</c:v>
                </c:pt>
                <c:pt idx="6">
                  <c:v>3876.9106255627976</c:v>
                </c:pt>
                <c:pt idx="7">
                  <c:v>5169.9434097697094</c:v>
                </c:pt>
                <c:pt idx="8">
                  <c:v>6894.2303399994416</c:v>
                </c:pt>
                <c:pt idx="9">
                  <c:v>9193.6039166598966</c:v>
                </c:pt>
                <c:pt idx="10">
                  <c:v>12259.867861686651</c:v>
                </c:pt>
                <c:pt idx="11">
                  <c:v>16348.79654904949</c:v>
                </c:pt>
                <c:pt idx="12">
                  <c:v>21801.470588235286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BD-4987-A075-7E7954CFC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aseline="0"/>
              <a:t>Gross Margin Composition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model!$I$63</c:f>
              <c:strCache>
                <c:ptCount val="1"/>
                <c:pt idx="0">
                  <c:v>base plans gm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model!$I$64:$I$76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470.58823529411751</c:v>
                </c:pt>
                <c:pt idx="5">
                  <c:v>627.53949748862283</c:v>
                </c:pt>
                <c:pt idx="6">
                  <c:v>836.83736943008103</c:v>
                </c:pt>
                <c:pt idx="7">
                  <c:v>1115.9405673701904</c:v>
                </c:pt>
                <c:pt idx="8">
                  <c:v>1488.1306636086485</c:v>
                </c:pt>
                <c:pt idx="9">
                  <c:v>1984.4541337815629</c:v>
                </c:pt>
                <c:pt idx="10">
                  <c:v>2646.3121185428186</c:v>
                </c:pt>
                <c:pt idx="11">
                  <c:v>3528.9139262703789</c:v>
                </c:pt>
                <c:pt idx="12">
                  <c:v>4705.8823529411748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5-421C-9F01-5F2F711A6B18}"/>
            </c:ext>
          </c:extLst>
        </c:ser>
        <c:ser>
          <c:idx val="2"/>
          <c:order val="2"/>
          <c:tx>
            <c:strRef>
              <c:f>model!$J$63</c:f>
              <c:strCache>
                <c:ptCount val="1"/>
                <c:pt idx="0">
                  <c:v>upsell gm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model!$J$64:$J$76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349.0808823529411</c:v>
                </c:pt>
                <c:pt idx="5">
                  <c:v>465.50683817613083</c:v>
                </c:pt>
                <c:pt idx="6">
                  <c:v>620.76334552645471</c:v>
                </c:pt>
                <c:pt idx="7">
                  <c:v>827.8012255609342</c:v>
                </c:pt>
                <c:pt idx="8">
                  <c:v>1103.8906758565718</c:v>
                </c:pt>
                <c:pt idx="9">
                  <c:v>1472.0618750199953</c:v>
                </c:pt>
                <c:pt idx="10">
                  <c:v>1963.0260598096925</c:v>
                </c:pt>
                <c:pt idx="11">
                  <c:v>2617.7373226513478</c:v>
                </c:pt>
                <c:pt idx="12">
                  <c:v>3490.8088235294108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15-421C-9F01-5F2F711A6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454816"/>
        <c:axId val="731456456"/>
      </c:barChart>
      <c:lineChart>
        <c:grouping val="standard"/>
        <c:varyColors val="0"/>
        <c:ser>
          <c:idx val="0"/>
          <c:order val="0"/>
          <c:tx>
            <c:strRef>
              <c:f>model!$K$63</c:f>
              <c:strCache>
                <c:ptCount val="1"/>
                <c:pt idx="0">
                  <c:v>gm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model!$K$64:$K$76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819.66911764705856</c:v>
                </c:pt>
                <c:pt idx="5">
                  <c:v>1093.0463356647538</c:v>
                </c:pt>
                <c:pt idx="6">
                  <c:v>1457.6007149565357</c:v>
                </c:pt>
                <c:pt idx="7">
                  <c:v>1943.7417929311246</c:v>
                </c:pt>
                <c:pt idx="8">
                  <c:v>2592.0213394652201</c:v>
                </c:pt>
                <c:pt idx="9">
                  <c:v>3456.5160088015582</c:v>
                </c:pt>
                <c:pt idx="10">
                  <c:v>4609.338178352511</c:v>
                </c:pt>
                <c:pt idx="11">
                  <c:v>6146.6512489217266</c:v>
                </c:pt>
                <c:pt idx="12">
                  <c:v>8196.6911764705856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15-421C-9F01-5F2F711A6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54816"/>
        <c:axId val="731456456"/>
      </c:lineChart>
      <c:catAx>
        <c:axId val="7314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6456"/>
        <c:crosses val="autoZero"/>
        <c:auto val="1"/>
        <c:lblAlgn val="ctr"/>
        <c:lblOffset val="100"/>
        <c:noMultiLvlLbl val="0"/>
      </c:catAx>
      <c:valAx>
        <c:axId val="73145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1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Composition of Revenue and Units by Plan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model!$B$29</c:f>
              <c:strCache>
                <c:ptCount val="1"/>
                <c:pt idx="0">
                  <c:v>% of total sales in units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C2-46E8-81A8-50177607B2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5C2-46E8-81A8-50177607B2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5C2-46E8-81A8-50177607B2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model!$C$15:$E$15</c:f>
              <c:strCache>
                <c:ptCount val="3"/>
                <c:pt idx="0">
                  <c:v>std</c:v>
                </c:pt>
                <c:pt idx="1">
                  <c:v>adv</c:v>
                </c:pt>
                <c:pt idx="2">
                  <c:v>prm</c:v>
                </c:pt>
              </c:strCache>
            </c:strRef>
          </c:cat>
          <c:val>
            <c:numRef>
              <c:f>model!$C$29:$E$29</c:f>
              <c:numCache>
                <c:formatCode>0%</c:formatCode>
                <c:ptCount val="3"/>
                <c:pt idx="0">
                  <c:v>0.88937329700272472</c:v>
                </c:pt>
                <c:pt idx="1">
                  <c:v>9.264305177111716E-2</c:v>
                </c:pt>
                <c:pt idx="2">
                  <c:v>1.7983651226158037E-2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39-43DE-96CE-3653607EB1E7}"/>
            </c:ext>
          </c:extLst>
        </c:ser>
        <c:ser>
          <c:idx val="1"/>
          <c:order val="1"/>
          <c:tx>
            <c:strRef>
              <c:f>model!$B$27</c:f>
              <c:strCache>
                <c:ptCount val="1"/>
                <c:pt idx="0">
                  <c:v>% of total sales in $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5C2-46E8-81A8-50177607B2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5C2-46E8-81A8-50177607B2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5C2-46E8-81A8-50177607B2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model!$C$15:$E$15</c:f>
              <c:strCache>
                <c:ptCount val="3"/>
                <c:pt idx="0">
                  <c:v>std</c:v>
                </c:pt>
                <c:pt idx="1">
                  <c:v>adv</c:v>
                </c:pt>
                <c:pt idx="2">
                  <c:v>prm</c:v>
                </c:pt>
              </c:strCache>
            </c:strRef>
          </c:cat>
          <c:val>
            <c:numRef>
              <c:f>model!$C$27:$E$27</c:f>
              <c:numCache>
                <c:formatCode>0%</c:formatCode>
                <c:ptCount val="3"/>
                <c:pt idx="0">
                  <c:v>0.6</c:v>
                </c:pt>
                <c:pt idx="1">
                  <c:v>0.25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39-43DE-96CE-3653607EB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384601</xdr:colOff>
      <xdr:row>3</xdr:row>
      <xdr:rowOff>12005</xdr:rowOff>
    </xdr:from>
    <xdr:to>
      <xdr:col>11</xdr:col>
      <xdr:colOff>179636</xdr:colOff>
      <xdr:row>18</xdr:row>
      <xdr:rowOff>136559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638484-282E-4889-89D4-B2DE39C8B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391205</xdr:colOff>
      <xdr:row>19</xdr:row>
      <xdr:rowOff>26531</xdr:rowOff>
    </xdr:from>
    <xdr:to>
      <xdr:col>11</xdr:col>
      <xdr:colOff>186240</xdr:colOff>
      <xdr:row>34</xdr:row>
      <xdr:rowOff>151086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E0DBBA-782A-402F-AFAE-5ACC0621E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319767</xdr:colOff>
      <xdr:row>19</xdr:row>
      <xdr:rowOff>40820</xdr:rowOff>
    </xdr:from>
    <xdr:to>
      <xdr:col>18</xdr:col>
      <xdr:colOff>305303</xdr:colOff>
      <xdr:row>34</xdr:row>
      <xdr:rowOff>165375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0E626E-06C5-44D8-863C-BC40E9A1E4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333373</xdr:colOff>
      <xdr:row>3</xdr:row>
      <xdr:rowOff>2040</xdr:rowOff>
    </xdr:from>
    <xdr:to>
      <xdr:col>18</xdr:col>
      <xdr:colOff>318909</xdr:colOff>
      <xdr:row>18</xdr:row>
      <xdr:rowOff>126595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DA3FDD-B059-48B4-A36E-0F70756CC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77"/>
  <sheetViews>
    <sheetView tabSelected="1" topLeftCell="A44" zoomScale="70" zoomScaleNormal="70" workbookViewId="0">
      <selection activeCell="C57" sqref="C57"/>
    </sheetView>
  </sheetViews>
  <sheetFormatPr defaultRowHeight="14.25" x14ac:dyDescent="0.45"/>
  <cols>
    <col min="2" max="2" width="34.33203125" customWidth="1"/>
    <col min="3" max="3" width="16.46484375" customWidth="1"/>
    <col min="4" max="4" width="12.59765625" customWidth="1"/>
    <col min="5" max="6" width="13.1328125" customWidth="1"/>
    <col min="7" max="7" width="12.46484375" bestFit="1" customWidth="1"/>
    <col min="8" max="8" width="10.73046875" bestFit="1" customWidth="1"/>
    <col min="9" max="9" width="12.19921875" bestFit="1" customWidth="1"/>
    <col min="10" max="10" width="10.73046875" customWidth="1"/>
    <col min="13" max="13" width="9.6640625" bestFit="1" customWidth="1"/>
    <col min="15" max="17" width="9.59765625" customWidth="1"/>
    <col min="20" max="20" width="10.3984375" bestFit="1" customWidth="1"/>
  </cols>
  <sheetData>
    <row r="2" spans="2:5" ht="21" x14ac:dyDescent="0.65">
      <c r="B2" s="46" t="s">
        <v>92</v>
      </c>
    </row>
    <row r="4" spans="2:5" x14ac:dyDescent="0.45">
      <c r="B4" s="4" t="s">
        <v>88</v>
      </c>
      <c r="C4" s="21">
        <v>1000</v>
      </c>
    </row>
    <row r="5" spans="2:5" x14ac:dyDescent="0.45">
      <c r="B5" s="4" t="s">
        <v>89</v>
      </c>
      <c r="C5" s="21">
        <v>10000</v>
      </c>
    </row>
    <row r="6" spans="2:5" x14ac:dyDescent="0.45">
      <c r="B6" s="4" t="s">
        <v>90</v>
      </c>
      <c r="C6" s="11">
        <v>4</v>
      </c>
    </row>
    <row r="7" spans="2:5" x14ac:dyDescent="0.45">
      <c r="B7" s="4" t="s">
        <v>91</v>
      </c>
      <c r="C7" s="21">
        <v>12</v>
      </c>
    </row>
    <row r="8" spans="2:5" x14ac:dyDescent="0.45">
      <c r="B8" s="4" t="s">
        <v>7</v>
      </c>
      <c r="C8" s="20">
        <f>C7-C6</f>
        <v>8</v>
      </c>
    </row>
    <row r="9" spans="2:5" x14ac:dyDescent="0.45">
      <c r="B9" s="4" t="s">
        <v>5</v>
      </c>
      <c r="C9" s="22">
        <f>EXP(LN($C$5/$C$4)/$C$8)-1</f>
        <v>0.33352143216332397</v>
      </c>
    </row>
    <row r="10" spans="2:5" x14ac:dyDescent="0.45">
      <c r="B10" s="4" t="s">
        <v>85</v>
      </c>
      <c r="C10" s="6">
        <v>0.03</v>
      </c>
    </row>
    <row r="11" spans="2:5" x14ac:dyDescent="0.45">
      <c r="B11" s="4" t="s">
        <v>84</v>
      </c>
      <c r="C11" s="47">
        <f>NPV($C$10,T65:T76)</f>
        <v>25682.748280580578</v>
      </c>
    </row>
    <row r="12" spans="2:5" x14ac:dyDescent="0.45">
      <c r="B12" s="4" t="s">
        <v>86</v>
      </c>
      <c r="C12" s="48">
        <f>H76</f>
        <v>21801.470588235286</v>
      </c>
    </row>
    <row r="13" spans="2:5" x14ac:dyDescent="0.45">
      <c r="B13" s="4" t="s">
        <v>87</v>
      </c>
      <c r="C13" s="49">
        <f>$X$76</f>
        <v>0.49544688026981443</v>
      </c>
    </row>
    <row r="14" spans="2:5" x14ac:dyDescent="0.45">
      <c r="C14" s="22"/>
    </row>
    <row r="15" spans="2:5" x14ac:dyDescent="0.45">
      <c r="B15" s="4" t="s">
        <v>37</v>
      </c>
      <c r="C15" s="35" t="s">
        <v>8</v>
      </c>
      <c r="D15" s="4" t="s">
        <v>10</v>
      </c>
      <c r="E15" s="4" t="s">
        <v>9</v>
      </c>
    </row>
    <row r="16" spans="2:5" x14ac:dyDescent="0.45">
      <c r="B16" s="4" t="s">
        <v>12</v>
      </c>
      <c r="C16" s="25">
        <v>50</v>
      </c>
      <c r="D16" s="25">
        <v>500</v>
      </c>
      <c r="E16" s="25">
        <v>1000</v>
      </c>
    </row>
    <row r="17" spans="2:13" x14ac:dyDescent="0.45">
      <c r="B17" s="4" t="s">
        <v>11</v>
      </c>
      <c r="C17" s="5">
        <f>IF(C16&lt;=50,5,ROUNDUP(C16/500,0)*10)</f>
        <v>5</v>
      </c>
      <c r="D17" s="5">
        <f t="shared" ref="D17:E17" si="0">IF(D16&lt;=50,5,ROUNDUP(D16/500,0)*10)</f>
        <v>10</v>
      </c>
      <c r="E17" s="5">
        <f t="shared" si="0"/>
        <v>20</v>
      </c>
    </row>
    <row r="18" spans="2:13" x14ac:dyDescent="0.45">
      <c r="B18" s="4" t="s">
        <v>14</v>
      </c>
      <c r="C18" s="5" t="s">
        <v>23</v>
      </c>
      <c r="D18" s="5" t="s">
        <v>15</v>
      </c>
      <c r="E18" s="5" t="s">
        <v>16</v>
      </c>
    </row>
    <row r="19" spans="2:13" x14ac:dyDescent="0.45">
      <c r="B19" s="4" t="s">
        <v>13</v>
      </c>
      <c r="C19" s="29">
        <f>VLOOKUP(C18,price_list!$F$3:$K$8,6,)</f>
        <v>0.01</v>
      </c>
      <c r="D19" s="29">
        <f>VLOOKUP(D18,price_list!$F$3:$K$8,6,)</f>
        <v>2.4E-2</v>
      </c>
      <c r="E19" s="29">
        <f>VLOOKUP(E18,price_list!$F$3:$K$8,6,)</f>
        <v>4.8000000000000001E-2</v>
      </c>
    </row>
    <row r="20" spans="2:13" x14ac:dyDescent="0.45">
      <c r="B20" s="4" t="s">
        <v>29</v>
      </c>
      <c r="C20" s="12">
        <f>C16*C19+C17</f>
        <v>5.5</v>
      </c>
      <c r="D20" s="12">
        <f>D16*D19+D17</f>
        <v>22</v>
      </c>
      <c r="E20" s="12">
        <f>E16*E19+E17</f>
        <v>68</v>
      </c>
    </row>
    <row r="21" spans="2:13" x14ac:dyDescent="0.45">
      <c r="B21" s="4" t="s">
        <v>1</v>
      </c>
      <c r="C21" s="10">
        <v>0.15</v>
      </c>
      <c r="D21" s="10">
        <v>0.15</v>
      </c>
      <c r="E21" s="10">
        <v>0.15</v>
      </c>
    </row>
    <row r="22" spans="2:13" x14ac:dyDescent="0.45">
      <c r="B22" s="4" t="s">
        <v>2</v>
      </c>
      <c r="C22" s="28">
        <f>C20*(1-C21)</f>
        <v>4.6749999999999998</v>
      </c>
      <c r="D22" s="28">
        <f>D20*(1-D21)</f>
        <v>18.7</v>
      </c>
      <c r="E22" s="28">
        <f>E20*(1-E21)</f>
        <v>57.8</v>
      </c>
    </row>
    <row r="23" spans="2:13" x14ac:dyDescent="0.45">
      <c r="B23" s="4" t="s">
        <v>30</v>
      </c>
      <c r="C23" s="10">
        <v>0.2</v>
      </c>
      <c r="D23" s="10">
        <v>0.2</v>
      </c>
      <c r="E23" s="10">
        <v>0.2</v>
      </c>
    </row>
    <row r="24" spans="2:13" x14ac:dyDescent="0.45">
      <c r="B24" s="4" t="s">
        <v>31</v>
      </c>
      <c r="C24" s="28">
        <f>C22*(1-C23)</f>
        <v>3.74</v>
      </c>
      <c r="D24" s="28">
        <f t="shared" ref="D24:E24" si="1">D22*(1-D23)</f>
        <v>14.96</v>
      </c>
      <c r="E24" s="28">
        <f t="shared" si="1"/>
        <v>46.24</v>
      </c>
    </row>
    <row r="25" spans="2:13" x14ac:dyDescent="0.45">
      <c r="B25" s="4" t="s">
        <v>36</v>
      </c>
      <c r="C25" s="16">
        <f>1-C24/C20</f>
        <v>0.31999999999999995</v>
      </c>
      <c r="D25" s="16">
        <f t="shared" ref="D25:E25" si="2">1-D24/D20</f>
        <v>0.31999999999999995</v>
      </c>
      <c r="E25" s="16">
        <f t="shared" si="2"/>
        <v>0.31999999999999995</v>
      </c>
    </row>
    <row r="26" spans="2:13" x14ac:dyDescent="0.45">
      <c r="B26" s="4" t="s">
        <v>35</v>
      </c>
      <c r="C26" s="28">
        <f>C20-C24</f>
        <v>1.7599999999999998</v>
      </c>
      <c r="D26" s="28">
        <f t="shared" ref="D26:E26" si="3">D20-D24</f>
        <v>7.0399999999999991</v>
      </c>
      <c r="E26" s="28">
        <f t="shared" si="3"/>
        <v>21.759999999999998</v>
      </c>
    </row>
    <row r="27" spans="2:13" x14ac:dyDescent="0.45">
      <c r="B27" s="34" t="s">
        <v>33</v>
      </c>
      <c r="C27" s="10">
        <v>0.6</v>
      </c>
      <c r="D27" s="10">
        <v>0.25</v>
      </c>
      <c r="E27" s="10">
        <v>0.15</v>
      </c>
    </row>
    <row r="28" spans="2:13" x14ac:dyDescent="0.45">
      <c r="B28" s="4" t="s">
        <v>32</v>
      </c>
      <c r="C28" s="32">
        <f>C27/C24</f>
        <v>0.16042780748663099</v>
      </c>
      <c r="D28" s="32">
        <f t="shared" ref="D28:E28" si="4">D27/D24</f>
        <v>1.6711229946524062E-2</v>
      </c>
      <c r="E28" s="32">
        <f t="shared" si="4"/>
        <v>3.2439446366782005E-3</v>
      </c>
      <c r="G28" s="2"/>
      <c r="H28" s="2"/>
      <c r="I28" s="2"/>
      <c r="J28" s="2"/>
      <c r="M28" s="2"/>
    </row>
    <row r="29" spans="2:13" x14ac:dyDescent="0.45">
      <c r="B29" s="34" t="s">
        <v>34</v>
      </c>
      <c r="C29" s="8">
        <f>C28/SUM($C$28:$E$28)</f>
        <v>0.88937329700272472</v>
      </c>
      <c r="D29" s="8">
        <f>D28/SUM($C$28:$E$28)</f>
        <v>9.264305177111716E-2</v>
      </c>
      <c r="E29" s="8">
        <f>E28/SUM($C$28:$E$28)</f>
        <v>1.7983651226158037E-2</v>
      </c>
      <c r="G29" s="3"/>
      <c r="H29" s="3"/>
      <c r="I29" s="3"/>
      <c r="J29" s="3"/>
      <c r="M29" s="3"/>
    </row>
    <row r="30" spans="2:13" x14ac:dyDescent="0.45">
      <c r="D30" s="22"/>
    </row>
    <row r="31" spans="2:13" x14ac:dyDescent="0.45">
      <c r="B31" s="4" t="s">
        <v>47</v>
      </c>
      <c r="C31" s="36">
        <f>SUMPRODUCT(C29:E29,C24:E24)</f>
        <v>5.5437602179836514</v>
      </c>
      <c r="D31" s="22"/>
      <c r="G31" s="2"/>
      <c r="H31" s="2"/>
      <c r="I31" s="2"/>
      <c r="J31" s="2"/>
      <c r="M31" s="2"/>
    </row>
    <row r="32" spans="2:13" x14ac:dyDescent="0.45">
      <c r="B32" s="4" t="s">
        <v>48</v>
      </c>
      <c r="C32" s="36">
        <f>SUMPRODUCT(C20:E20,C29:E29)</f>
        <v>8.1525885558583084</v>
      </c>
      <c r="D32" s="22"/>
      <c r="E32" s="26"/>
    </row>
    <row r="33" spans="2:13" x14ac:dyDescent="0.45">
      <c r="B33" s="4" t="s">
        <v>62</v>
      </c>
      <c r="C33" s="36">
        <f>SUMPRODUCT(C29:E29,C26:E26)</f>
        <v>2.6088283378746588</v>
      </c>
      <c r="D33" s="14"/>
      <c r="E33" s="13"/>
    </row>
    <row r="34" spans="2:13" x14ac:dyDescent="0.45">
      <c r="B34" s="4" t="s">
        <v>64</v>
      </c>
      <c r="C34" s="33">
        <f>C33/C32</f>
        <v>0.32</v>
      </c>
      <c r="D34" s="14"/>
      <c r="E34" s="13"/>
    </row>
    <row r="35" spans="2:13" x14ac:dyDescent="0.45">
      <c r="B35" s="4"/>
      <c r="C35" s="4"/>
      <c r="D35" s="22"/>
    </row>
    <row r="36" spans="2:13" ht="28.5" x14ac:dyDescent="0.45">
      <c r="C36" s="40" t="s">
        <v>29</v>
      </c>
      <c r="D36" s="34" t="s">
        <v>34</v>
      </c>
    </row>
    <row r="37" spans="2:13" x14ac:dyDescent="0.45">
      <c r="B37" s="4" t="s">
        <v>53</v>
      </c>
      <c r="C37" s="28">
        <f t="array" ref="C37:C39">TRANSPOSE(C20:E20)</f>
        <v>5.5</v>
      </c>
      <c r="D37" s="15">
        <f t="array" ref="D37:D39">TRANSPOSE(C29:E29)</f>
        <v>0.88937329700272472</v>
      </c>
      <c r="G37" s="2"/>
    </row>
    <row r="38" spans="2:13" x14ac:dyDescent="0.45">
      <c r="B38" s="4" t="s">
        <v>54</v>
      </c>
      <c r="C38" s="28">
        <v>22</v>
      </c>
      <c r="D38" s="15">
        <v>9.264305177111716E-2</v>
      </c>
      <c r="G38" s="2"/>
    </row>
    <row r="39" spans="2:13" x14ac:dyDescent="0.45">
      <c r="B39" s="4" t="s">
        <v>55</v>
      </c>
      <c r="C39" s="28">
        <v>68</v>
      </c>
      <c r="D39" s="15">
        <v>1.7983651226158037E-2</v>
      </c>
      <c r="G39" s="2"/>
    </row>
    <row r="40" spans="2:13" x14ac:dyDescent="0.45">
      <c r="C40" s="22"/>
      <c r="D40" s="1"/>
      <c r="E40" s="1"/>
      <c r="G40" s="26"/>
      <c r="H40" s="26"/>
      <c r="I40" s="26"/>
      <c r="J40" s="26"/>
      <c r="M40" s="26"/>
    </row>
    <row r="41" spans="2:13" x14ac:dyDescent="0.45">
      <c r="B41" s="4" t="s">
        <v>41</v>
      </c>
      <c r="C41" s="22" t="s">
        <v>38</v>
      </c>
      <c r="D41" s="1" t="s">
        <v>39</v>
      </c>
      <c r="E41" s="1" t="s">
        <v>40</v>
      </c>
      <c r="G41" s="30"/>
      <c r="H41" s="30"/>
      <c r="I41" s="30"/>
      <c r="J41" s="30"/>
      <c r="M41" s="30"/>
    </row>
    <row r="42" spans="2:13" x14ac:dyDescent="0.45">
      <c r="B42" t="s">
        <v>49</v>
      </c>
      <c r="C42" s="10">
        <v>0.75</v>
      </c>
      <c r="D42" s="10">
        <v>0.85</v>
      </c>
      <c r="E42" s="10">
        <v>0.35</v>
      </c>
      <c r="G42" s="30"/>
      <c r="H42" s="30"/>
      <c r="I42" s="30"/>
      <c r="J42" s="30"/>
      <c r="M42" s="30"/>
    </row>
    <row r="43" spans="2:13" x14ac:dyDescent="0.45">
      <c r="B43" t="s">
        <v>42</v>
      </c>
      <c r="C43" s="10">
        <v>0.15</v>
      </c>
      <c r="D43" s="10">
        <v>0.25</v>
      </c>
      <c r="E43" s="10">
        <v>0.45</v>
      </c>
      <c r="G43" s="3"/>
      <c r="H43" s="3"/>
      <c r="I43" s="3"/>
      <c r="J43" s="3"/>
      <c r="K43" s="18"/>
      <c r="L43" s="37"/>
      <c r="M43" s="3"/>
    </row>
    <row r="44" spans="2:13" x14ac:dyDescent="0.45">
      <c r="B44" t="s">
        <v>43</v>
      </c>
      <c r="C44" s="10">
        <v>0.35</v>
      </c>
      <c r="D44" s="6">
        <v>0.45</v>
      </c>
      <c r="E44" s="6">
        <v>0.65</v>
      </c>
      <c r="G44" s="3"/>
      <c r="H44" s="3"/>
      <c r="I44" s="3"/>
      <c r="J44" s="3"/>
      <c r="K44" s="18"/>
      <c r="L44" s="37"/>
      <c r="M44" s="3"/>
    </row>
    <row r="45" spans="2:13" x14ac:dyDescent="0.45">
      <c r="B45" t="s">
        <v>50</v>
      </c>
      <c r="C45" s="14">
        <f t="shared" ref="C45:E47" si="5">$C37*C$43</f>
        <v>0.82499999999999996</v>
      </c>
      <c r="D45" s="14">
        <f t="shared" si="5"/>
        <v>1.375</v>
      </c>
      <c r="E45" s="14">
        <f t="shared" si="5"/>
        <v>2.4750000000000001</v>
      </c>
      <c r="G45" s="3"/>
      <c r="H45" s="3"/>
      <c r="I45" s="3"/>
      <c r="J45" s="3"/>
      <c r="K45" s="18"/>
      <c r="L45" s="37"/>
      <c r="M45" s="3"/>
    </row>
    <row r="46" spans="2:13" x14ac:dyDescent="0.45">
      <c r="B46" t="s">
        <v>51</v>
      </c>
      <c r="C46" s="14">
        <f t="shared" si="5"/>
        <v>3.3</v>
      </c>
      <c r="D46" s="14">
        <f t="shared" si="5"/>
        <v>5.5</v>
      </c>
      <c r="E46" s="14">
        <f t="shared" si="5"/>
        <v>9.9</v>
      </c>
      <c r="G46" s="3"/>
      <c r="H46" s="3"/>
      <c r="I46" s="3"/>
      <c r="J46" s="3"/>
      <c r="K46" s="18"/>
      <c r="L46" s="37"/>
      <c r="M46" s="3"/>
    </row>
    <row r="47" spans="2:13" x14ac:dyDescent="0.45">
      <c r="B47" t="s">
        <v>52</v>
      </c>
      <c r="C47" s="14">
        <f t="shared" si="5"/>
        <v>10.199999999999999</v>
      </c>
      <c r="D47" s="14">
        <f t="shared" si="5"/>
        <v>17</v>
      </c>
      <c r="E47" s="14">
        <f t="shared" si="5"/>
        <v>30.6</v>
      </c>
      <c r="G47" s="3"/>
      <c r="H47" s="3"/>
      <c r="I47" s="3"/>
      <c r="J47" s="3"/>
      <c r="K47" s="18"/>
      <c r="L47" s="37"/>
      <c r="M47" s="3"/>
    </row>
    <row r="48" spans="2:13" x14ac:dyDescent="0.45">
      <c r="B48" t="s">
        <v>56</v>
      </c>
      <c r="C48" s="14">
        <f>SUMPRODUCT(C45:C47,$D$37:$D$39)*C42</f>
        <v>0.91716621253405983</v>
      </c>
      <c r="D48" s="14">
        <f t="shared" ref="D48:E48" si="6">SUMPRODUCT(D45:D47,$D$37:$D$39)*D42</f>
        <v>1.7324250681198905</v>
      </c>
      <c r="E48" s="14">
        <f t="shared" si="6"/>
        <v>1.2840326975476839</v>
      </c>
      <c r="G48" s="3"/>
      <c r="H48" s="3"/>
      <c r="I48" s="3"/>
      <c r="J48" s="3"/>
      <c r="K48" s="18"/>
      <c r="L48" s="37"/>
      <c r="M48" s="3"/>
    </row>
    <row r="49" spans="2:24" x14ac:dyDescent="0.45">
      <c r="B49" t="s">
        <v>57</v>
      </c>
      <c r="C49" s="14">
        <f>C48*C44</f>
        <v>0.32100817438692092</v>
      </c>
      <c r="D49" s="14">
        <f>D48*D44</f>
        <v>0.77959128065395078</v>
      </c>
      <c r="E49" s="14">
        <f>E48*E44</f>
        <v>0.83462125340599458</v>
      </c>
      <c r="G49" s="3"/>
      <c r="H49" s="3"/>
      <c r="I49" s="3"/>
      <c r="J49" s="3"/>
      <c r="K49" s="18"/>
      <c r="L49" s="37"/>
      <c r="M49" s="3"/>
    </row>
    <row r="50" spans="2:24" x14ac:dyDescent="0.45">
      <c r="C50" s="22"/>
      <c r="D50" s="1"/>
      <c r="E50" s="1"/>
      <c r="K50" s="18"/>
      <c r="L50" s="38"/>
    </row>
    <row r="51" spans="2:24" x14ac:dyDescent="0.45">
      <c r="B51" s="4" t="s">
        <v>45</v>
      </c>
      <c r="C51" s="36">
        <f>SUM(C48:E48)</f>
        <v>3.9336239782016342</v>
      </c>
      <c r="D51" s="1"/>
      <c r="E51" s="1"/>
      <c r="K51" s="23"/>
    </row>
    <row r="52" spans="2:24" x14ac:dyDescent="0.45">
      <c r="B52" s="4" t="s">
        <v>58</v>
      </c>
      <c r="C52" s="36">
        <f>SUM(C49:E49)</f>
        <v>1.9352207084468662</v>
      </c>
      <c r="D52" s="1"/>
      <c r="E52" s="1"/>
      <c r="K52" s="23"/>
    </row>
    <row r="53" spans="2:24" x14ac:dyDescent="0.45">
      <c r="B53" s="4" t="s">
        <v>63</v>
      </c>
      <c r="C53" s="33">
        <f>C52/C51</f>
        <v>0.49196891191709846</v>
      </c>
      <c r="D53" s="1"/>
      <c r="E53" s="1"/>
      <c r="K53" s="23"/>
    </row>
    <row r="54" spans="2:24" s="42" customFormat="1" x14ac:dyDescent="0.45">
      <c r="B54" s="41"/>
      <c r="C54" s="16"/>
      <c r="D54" s="19"/>
      <c r="E54" s="19"/>
      <c r="K54" s="43"/>
    </row>
    <row r="55" spans="2:24" s="42" customFormat="1" x14ac:dyDescent="0.45">
      <c r="B55" s="41" t="s">
        <v>68</v>
      </c>
      <c r="C55" s="24">
        <f>(52-2)*5*8/12</f>
        <v>166.66666666666666</v>
      </c>
      <c r="D55" s="19"/>
      <c r="E55" s="19"/>
      <c r="K55" s="43"/>
    </row>
    <row r="56" spans="2:24" s="42" customFormat="1" x14ac:dyDescent="0.45">
      <c r="B56" s="41" t="s">
        <v>69</v>
      </c>
      <c r="C56" s="24">
        <f>C55*60</f>
        <v>10000</v>
      </c>
      <c r="D56" s="19"/>
      <c r="E56" s="19"/>
      <c r="K56" s="43"/>
    </row>
    <row r="57" spans="2:24" s="42" customFormat="1" ht="28.5" x14ac:dyDescent="0.45">
      <c r="B57" s="44" t="s">
        <v>70</v>
      </c>
      <c r="C57" s="25">
        <v>10</v>
      </c>
      <c r="D57" s="19"/>
      <c r="E57" s="19"/>
      <c r="K57" s="43"/>
    </row>
    <row r="58" spans="2:24" s="42" customFormat="1" ht="28.5" x14ac:dyDescent="0.45">
      <c r="B58" s="44" t="s">
        <v>71</v>
      </c>
      <c r="C58" s="25">
        <v>5</v>
      </c>
      <c r="D58" s="19"/>
      <c r="E58" s="19"/>
      <c r="K58" s="43"/>
    </row>
    <row r="59" spans="2:24" s="42" customFormat="1" x14ac:dyDescent="0.45">
      <c r="B59" s="44" t="s">
        <v>75</v>
      </c>
      <c r="C59" s="5">
        <v>1000</v>
      </c>
      <c r="D59" s="19"/>
      <c r="E59" s="19"/>
      <c r="K59" s="43"/>
    </row>
    <row r="60" spans="2:24" s="42" customFormat="1" x14ac:dyDescent="0.45">
      <c r="B60" s="44" t="s">
        <v>77</v>
      </c>
      <c r="C60" s="39">
        <v>0.5</v>
      </c>
      <c r="D60" s="19"/>
      <c r="E60" s="19"/>
      <c r="K60" s="43"/>
    </row>
    <row r="61" spans="2:24" x14ac:dyDescent="0.45">
      <c r="B61" s="44"/>
      <c r="C61" s="3"/>
    </row>
    <row r="62" spans="2:24" x14ac:dyDescent="0.45">
      <c r="B62" s="44"/>
      <c r="C62" s="3"/>
    </row>
    <row r="63" spans="2:24" ht="42.75" x14ac:dyDescent="0.45">
      <c r="B63" s="40"/>
      <c r="C63" s="40" t="s">
        <v>0</v>
      </c>
      <c r="D63" s="40" t="s">
        <v>6</v>
      </c>
      <c r="E63" s="40" t="s">
        <v>66</v>
      </c>
      <c r="F63" s="40" t="s">
        <v>46</v>
      </c>
      <c r="G63" s="40" t="s">
        <v>44</v>
      </c>
      <c r="H63" s="40" t="s">
        <v>59</v>
      </c>
      <c r="I63" s="40" t="s">
        <v>60</v>
      </c>
      <c r="J63" s="40" t="s">
        <v>61</v>
      </c>
      <c r="K63" s="40" t="s">
        <v>3</v>
      </c>
      <c r="L63" s="40" t="s">
        <v>4</v>
      </c>
      <c r="M63" s="40" t="s">
        <v>65</v>
      </c>
      <c r="N63" s="40" t="s">
        <v>83</v>
      </c>
      <c r="O63" s="40" t="s">
        <v>67</v>
      </c>
      <c r="P63" s="40" t="s">
        <v>72</v>
      </c>
      <c r="Q63" s="40" t="s">
        <v>73</v>
      </c>
      <c r="R63" s="40" t="s">
        <v>76</v>
      </c>
      <c r="S63" s="40" t="s">
        <v>74</v>
      </c>
      <c r="T63" s="40" t="s">
        <v>78</v>
      </c>
      <c r="U63" s="40" t="s">
        <v>79</v>
      </c>
      <c r="V63" s="40" t="s">
        <v>80</v>
      </c>
      <c r="W63" s="40" t="s">
        <v>81</v>
      </c>
      <c r="X63" s="40" t="s">
        <v>82</v>
      </c>
    </row>
    <row r="64" spans="2:24" x14ac:dyDescent="0.45">
      <c r="B64" t="str">
        <f t="shared" ref="B64:B76" si="7">IF($C$6=C64,$B$6,IF($C$7=C64,$B$7,""))</f>
        <v/>
      </c>
      <c r="C64">
        <v>0</v>
      </c>
      <c r="D64" s="3">
        <f t="shared" ref="D64:D76" si="8">IF($C$6=C64,$C$4,IF(C64&lt;$C$6,0,IF($C$7&lt;C64,$C$5,$C$4*(1+$C$9)^(C64-$C$6))))</f>
        <v>0</v>
      </c>
      <c r="E64" s="2">
        <f>D64/$C$31</f>
        <v>0</v>
      </c>
      <c r="F64" s="3">
        <f t="shared" ref="F64:F76" si="9">E64*$C$32</f>
        <v>0</v>
      </c>
      <c r="G64" s="3">
        <f>E64*$C$51</f>
        <v>0</v>
      </c>
      <c r="H64" s="18">
        <f>F64+G64</f>
        <v>0</v>
      </c>
      <c r="I64" s="18">
        <f>E64*$C$33</f>
        <v>0</v>
      </c>
      <c r="J64" s="18">
        <f>E64*$C$52</f>
        <v>0</v>
      </c>
      <c r="K64" s="18">
        <f>I64+J64</f>
        <v>0</v>
      </c>
      <c r="L64" s="9" t="e">
        <f>K64/H64</f>
        <v>#DIV/0!</v>
      </c>
      <c r="M64" s="18">
        <f>G64-J64</f>
        <v>0</v>
      </c>
      <c r="N64" s="18">
        <f t="shared" ref="N64:N76" si="10">D64+M64</f>
        <v>0</v>
      </c>
      <c r="O64" s="2">
        <v>0</v>
      </c>
      <c r="P64" s="31">
        <f>(O64*$C$57)/$C$56</f>
        <v>0</v>
      </c>
      <c r="Q64" s="31">
        <f t="shared" ref="Q64:Q76" si="11">(E64*$C$58*$C$60)/$C$56</f>
        <v>0</v>
      </c>
      <c r="R64" s="17">
        <f>ROUNDUP(P64+Q64,0)</f>
        <v>0</v>
      </c>
      <c r="S64" s="3">
        <f>R64*$C$59</f>
        <v>0</v>
      </c>
      <c r="T64" s="18">
        <f t="shared" ref="T64:T76" si="12">K64+(M64-S64)</f>
        <v>0</v>
      </c>
      <c r="U64" s="18">
        <f>T64</f>
        <v>0</v>
      </c>
      <c r="V64" s="18">
        <f t="shared" ref="V64:V76" si="13">D64+S64</f>
        <v>0</v>
      </c>
      <c r="W64" s="18">
        <f t="shared" ref="W64:W76" si="14">H64-V64</f>
        <v>0</v>
      </c>
      <c r="X64" s="9" t="e">
        <f t="shared" ref="X64:X76" si="15">W64/H64</f>
        <v>#DIV/0!</v>
      </c>
    </row>
    <row r="65" spans="2:24" x14ac:dyDescent="0.45">
      <c r="B65" t="str">
        <f t="shared" si="7"/>
        <v/>
      </c>
      <c r="C65">
        <v>1</v>
      </c>
      <c r="D65" s="3">
        <f t="shared" si="8"/>
        <v>0</v>
      </c>
      <c r="E65" s="2">
        <f t="shared" ref="E65:E76" si="16">D65/$C$31</f>
        <v>0</v>
      </c>
      <c r="F65" s="3">
        <f t="shared" si="9"/>
        <v>0</v>
      </c>
      <c r="G65" s="3">
        <f t="shared" ref="G65:G76" si="17">E65*$C$51</f>
        <v>0</v>
      </c>
      <c r="H65" s="18">
        <f t="shared" ref="H65:H76" si="18">F65+G65</f>
        <v>0</v>
      </c>
      <c r="I65" s="18">
        <f t="shared" ref="I65:I76" si="19">E65*$C$33</f>
        <v>0</v>
      </c>
      <c r="J65" s="18">
        <f t="shared" ref="J65:J76" si="20">E65*$C$52</f>
        <v>0</v>
      </c>
      <c r="K65" s="18">
        <f t="shared" ref="K65:K76" si="21">I65+J65</f>
        <v>0</v>
      </c>
      <c r="L65" s="9" t="e">
        <f t="shared" ref="L65:L76" si="22">K65/H65</f>
        <v>#DIV/0!</v>
      </c>
      <c r="M65" s="18">
        <f t="shared" ref="M65:M76" si="23">G65-J65</f>
        <v>0</v>
      </c>
      <c r="N65" s="18">
        <f t="shared" si="10"/>
        <v>0</v>
      </c>
      <c r="O65" s="2">
        <f t="shared" ref="O65:O76" si="24">E65-E64</f>
        <v>0</v>
      </c>
      <c r="P65" s="31">
        <f t="shared" ref="P65:P76" si="25">(O65*$C$57)/$C$56</f>
        <v>0</v>
      </c>
      <c r="Q65" s="31">
        <f t="shared" si="11"/>
        <v>0</v>
      </c>
      <c r="R65" s="17">
        <f t="shared" ref="R65:R76" si="26">ROUNDUP(P65+Q65,0)</f>
        <v>0</v>
      </c>
      <c r="S65" s="3">
        <f t="shared" ref="S65:S76" si="27">R65*$C$59</f>
        <v>0</v>
      </c>
      <c r="T65" s="18">
        <f t="shared" si="12"/>
        <v>0</v>
      </c>
      <c r="U65" s="18">
        <f>T65+U64</f>
        <v>0</v>
      </c>
      <c r="V65" s="18">
        <f t="shared" si="13"/>
        <v>0</v>
      </c>
      <c r="W65" s="18">
        <f t="shared" si="14"/>
        <v>0</v>
      </c>
      <c r="X65" s="9" t="e">
        <f t="shared" si="15"/>
        <v>#DIV/0!</v>
      </c>
    </row>
    <row r="66" spans="2:24" x14ac:dyDescent="0.45">
      <c r="B66" t="str">
        <f t="shared" si="7"/>
        <v/>
      </c>
      <c r="C66">
        <v>2</v>
      </c>
      <c r="D66" s="3">
        <f t="shared" si="8"/>
        <v>0</v>
      </c>
      <c r="E66" s="2">
        <f t="shared" si="16"/>
        <v>0</v>
      </c>
      <c r="F66" s="3">
        <f t="shared" si="9"/>
        <v>0</v>
      </c>
      <c r="G66" s="3">
        <f t="shared" si="17"/>
        <v>0</v>
      </c>
      <c r="H66" s="18">
        <f t="shared" si="18"/>
        <v>0</v>
      </c>
      <c r="I66" s="18">
        <f t="shared" si="19"/>
        <v>0</v>
      </c>
      <c r="J66" s="18">
        <f t="shared" si="20"/>
        <v>0</v>
      </c>
      <c r="K66" s="18">
        <f t="shared" si="21"/>
        <v>0</v>
      </c>
      <c r="L66" s="9" t="e">
        <f t="shared" si="22"/>
        <v>#DIV/0!</v>
      </c>
      <c r="M66" s="18">
        <f t="shared" si="23"/>
        <v>0</v>
      </c>
      <c r="N66" s="18">
        <f t="shared" si="10"/>
        <v>0</v>
      </c>
      <c r="O66" s="2">
        <f t="shared" si="24"/>
        <v>0</v>
      </c>
      <c r="P66" s="31">
        <f t="shared" si="25"/>
        <v>0</v>
      </c>
      <c r="Q66" s="31">
        <f t="shared" si="11"/>
        <v>0</v>
      </c>
      <c r="R66" s="17">
        <f t="shared" si="26"/>
        <v>0</v>
      </c>
      <c r="S66" s="3">
        <f t="shared" si="27"/>
        <v>0</v>
      </c>
      <c r="T66" s="18">
        <f t="shared" si="12"/>
        <v>0</v>
      </c>
      <c r="U66" s="18">
        <f t="shared" ref="U66:U76" si="28">T66+U65</f>
        <v>0</v>
      </c>
      <c r="V66" s="18">
        <f t="shared" si="13"/>
        <v>0</v>
      </c>
      <c r="W66" s="18">
        <f t="shared" si="14"/>
        <v>0</v>
      </c>
      <c r="X66" s="9" t="e">
        <f t="shared" si="15"/>
        <v>#DIV/0!</v>
      </c>
    </row>
    <row r="67" spans="2:24" x14ac:dyDescent="0.45">
      <c r="B67" t="str">
        <f t="shared" si="7"/>
        <v/>
      </c>
      <c r="C67">
        <v>3</v>
      </c>
      <c r="D67" s="3">
        <f t="shared" si="8"/>
        <v>0</v>
      </c>
      <c r="E67" s="2">
        <f t="shared" si="16"/>
        <v>0</v>
      </c>
      <c r="F67" s="3">
        <f t="shared" si="9"/>
        <v>0</v>
      </c>
      <c r="G67" s="3">
        <f t="shared" si="17"/>
        <v>0</v>
      </c>
      <c r="H67" s="18">
        <f t="shared" si="18"/>
        <v>0</v>
      </c>
      <c r="I67" s="18">
        <f t="shared" si="19"/>
        <v>0</v>
      </c>
      <c r="J67" s="18">
        <f t="shared" si="20"/>
        <v>0</v>
      </c>
      <c r="K67" s="18">
        <f t="shared" si="21"/>
        <v>0</v>
      </c>
      <c r="L67" s="9" t="e">
        <f t="shared" si="22"/>
        <v>#DIV/0!</v>
      </c>
      <c r="M67" s="18">
        <f t="shared" si="23"/>
        <v>0</v>
      </c>
      <c r="N67" s="18">
        <f t="shared" si="10"/>
        <v>0</v>
      </c>
      <c r="O67" s="2">
        <f t="shared" si="24"/>
        <v>0</v>
      </c>
      <c r="P67" s="31">
        <f t="shared" si="25"/>
        <v>0</v>
      </c>
      <c r="Q67" s="31">
        <f t="shared" si="11"/>
        <v>0</v>
      </c>
      <c r="R67" s="17">
        <f t="shared" si="26"/>
        <v>0</v>
      </c>
      <c r="S67" s="3">
        <f t="shared" si="27"/>
        <v>0</v>
      </c>
      <c r="T67" s="18">
        <f t="shared" si="12"/>
        <v>0</v>
      </c>
      <c r="U67" s="18">
        <f t="shared" si="28"/>
        <v>0</v>
      </c>
      <c r="V67" s="18">
        <f t="shared" si="13"/>
        <v>0</v>
      </c>
      <c r="W67" s="18">
        <f t="shared" si="14"/>
        <v>0</v>
      </c>
      <c r="X67" s="9" t="e">
        <f t="shared" si="15"/>
        <v>#DIV/0!</v>
      </c>
    </row>
    <row r="68" spans="2:24" x14ac:dyDescent="0.45">
      <c r="B68" t="str">
        <f t="shared" si="7"/>
        <v>initial month</v>
      </c>
      <c r="C68">
        <v>4</v>
      </c>
      <c r="D68" s="3">
        <f t="shared" si="8"/>
        <v>1000</v>
      </c>
      <c r="E68" s="2">
        <f t="shared" si="16"/>
        <v>180.38298206983328</v>
      </c>
      <c r="F68" s="3">
        <f t="shared" si="9"/>
        <v>1470.5882352941171</v>
      </c>
      <c r="G68" s="3">
        <f t="shared" si="17"/>
        <v>709.5588235294116</v>
      </c>
      <c r="H68" s="18">
        <f t="shared" si="18"/>
        <v>2180.1470588235288</v>
      </c>
      <c r="I68" s="18">
        <f t="shared" si="19"/>
        <v>470.58823529411751</v>
      </c>
      <c r="J68" s="18">
        <f t="shared" si="20"/>
        <v>349.0808823529411</v>
      </c>
      <c r="K68" s="18">
        <f t="shared" si="21"/>
        <v>819.66911764705856</v>
      </c>
      <c r="L68" s="9">
        <f t="shared" si="22"/>
        <v>0.37596964586846543</v>
      </c>
      <c r="M68" s="18">
        <f t="shared" si="23"/>
        <v>360.47794117647049</v>
      </c>
      <c r="N68" s="18">
        <f t="shared" si="10"/>
        <v>1360.4779411764705</v>
      </c>
      <c r="O68" s="2">
        <f t="shared" si="24"/>
        <v>180.38298206983328</v>
      </c>
      <c r="P68" s="31">
        <f t="shared" si="25"/>
        <v>0.18038298206983328</v>
      </c>
      <c r="Q68" s="31">
        <f t="shared" si="11"/>
        <v>4.5095745517458319E-2</v>
      </c>
      <c r="R68" s="17">
        <f t="shared" si="26"/>
        <v>1</v>
      </c>
      <c r="S68" s="3">
        <f t="shared" si="27"/>
        <v>1000</v>
      </c>
      <c r="T68" s="18">
        <f t="shared" si="12"/>
        <v>180.14705882352905</v>
      </c>
      <c r="U68" s="18">
        <f t="shared" si="28"/>
        <v>180.14705882352905</v>
      </c>
      <c r="V68" s="18">
        <f t="shared" si="13"/>
        <v>2000</v>
      </c>
      <c r="W68" s="18">
        <f t="shared" si="14"/>
        <v>180.14705882352882</v>
      </c>
      <c r="X68" s="9">
        <f t="shared" si="15"/>
        <v>8.263069139966249E-2</v>
      </c>
    </row>
    <row r="69" spans="2:24" x14ac:dyDescent="0.45">
      <c r="B69" t="str">
        <f t="shared" si="7"/>
        <v/>
      </c>
      <c r="C69">
        <v>5</v>
      </c>
      <c r="D69" s="3">
        <f t="shared" si="8"/>
        <v>1333.5214321633239</v>
      </c>
      <c r="E69" s="2">
        <f t="shared" si="16"/>
        <v>240.54457258765524</v>
      </c>
      <c r="F69" s="3">
        <f t="shared" si="9"/>
        <v>1961.0609296519463</v>
      </c>
      <c r="G69" s="3">
        <f t="shared" si="17"/>
        <v>946.21189855706416</v>
      </c>
      <c r="H69" s="18">
        <f t="shared" si="18"/>
        <v>2907.2728282090102</v>
      </c>
      <c r="I69" s="18">
        <f t="shared" si="19"/>
        <v>627.53949748862283</v>
      </c>
      <c r="J69" s="18">
        <f t="shared" si="20"/>
        <v>465.50683817613083</v>
      </c>
      <c r="K69" s="18">
        <f t="shared" si="21"/>
        <v>1093.0463356647538</v>
      </c>
      <c r="L69" s="9">
        <f t="shared" si="22"/>
        <v>0.37596964586846554</v>
      </c>
      <c r="M69" s="18">
        <f t="shared" si="23"/>
        <v>480.70506038093333</v>
      </c>
      <c r="N69" s="18">
        <f t="shared" si="10"/>
        <v>1814.2264925442573</v>
      </c>
      <c r="O69" s="2">
        <f t="shared" si="24"/>
        <v>60.161590517821963</v>
      </c>
      <c r="P69" s="31">
        <f t="shared" si="25"/>
        <v>6.0161590517821967E-2</v>
      </c>
      <c r="Q69" s="31">
        <f t="shared" si="11"/>
        <v>6.0136143146913811E-2</v>
      </c>
      <c r="R69" s="17">
        <f t="shared" si="26"/>
        <v>1</v>
      </c>
      <c r="S69" s="3">
        <f t="shared" si="27"/>
        <v>1000</v>
      </c>
      <c r="T69" s="18">
        <f t="shared" si="12"/>
        <v>573.7513960456871</v>
      </c>
      <c r="U69" s="18">
        <f t="shared" si="28"/>
        <v>753.89845486921615</v>
      </c>
      <c r="V69" s="18">
        <f t="shared" si="13"/>
        <v>2333.5214321633239</v>
      </c>
      <c r="W69" s="18">
        <f t="shared" si="14"/>
        <v>573.75139604568631</v>
      </c>
      <c r="X69" s="9">
        <f t="shared" si="15"/>
        <v>0.19735037953047524</v>
      </c>
    </row>
    <row r="70" spans="2:24" x14ac:dyDescent="0.45">
      <c r="B70" t="str">
        <f t="shared" si="7"/>
        <v/>
      </c>
      <c r="C70">
        <v>6</v>
      </c>
      <c r="D70" s="3">
        <f t="shared" si="8"/>
        <v>1778.2794100389228</v>
      </c>
      <c r="E70" s="2">
        <f t="shared" si="16"/>
        <v>320.77134293620469</v>
      </c>
      <c r="F70" s="3">
        <f t="shared" si="9"/>
        <v>2615.1167794690032</v>
      </c>
      <c r="G70" s="3">
        <f t="shared" si="17"/>
        <v>1261.7938460937942</v>
      </c>
      <c r="H70" s="18">
        <f t="shared" si="18"/>
        <v>3876.9106255627976</v>
      </c>
      <c r="I70" s="18">
        <f t="shared" si="19"/>
        <v>836.83736943008103</v>
      </c>
      <c r="J70" s="18">
        <f t="shared" si="20"/>
        <v>620.76334552645471</v>
      </c>
      <c r="K70" s="18">
        <f t="shared" si="21"/>
        <v>1457.6007149565357</v>
      </c>
      <c r="L70" s="9">
        <f t="shared" si="22"/>
        <v>0.37596964586846543</v>
      </c>
      <c r="M70" s="18">
        <f t="shared" si="23"/>
        <v>641.03050056733946</v>
      </c>
      <c r="N70" s="18">
        <f t="shared" si="10"/>
        <v>2419.3099106062623</v>
      </c>
      <c r="O70" s="2">
        <f t="shared" si="24"/>
        <v>80.226770348549451</v>
      </c>
      <c r="P70" s="31">
        <f t="shared" si="25"/>
        <v>8.0226770348549456E-2</v>
      </c>
      <c r="Q70" s="31">
        <f t="shared" si="11"/>
        <v>8.0192835734051171E-2</v>
      </c>
      <c r="R70" s="17">
        <f t="shared" si="26"/>
        <v>1</v>
      </c>
      <c r="S70" s="3">
        <f t="shared" si="27"/>
        <v>1000</v>
      </c>
      <c r="T70" s="18">
        <f t="shared" si="12"/>
        <v>1098.6312155238752</v>
      </c>
      <c r="U70" s="18">
        <f t="shared" si="28"/>
        <v>1852.5296703930912</v>
      </c>
      <c r="V70" s="18">
        <f t="shared" si="13"/>
        <v>2778.2794100389228</v>
      </c>
      <c r="W70" s="18">
        <f t="shared" si="14"/>
        <v>1098.6312155238747</v>
      </c>
      <c r="X70" s="9">
        <f t="shared" si="15"/>
        <v>0.28337800935619717</v>
      </c>
    </row>
    <row r="71" spans="2:24" x14ac:dyDescent="0.45">
      <c r="B71" t="str">
        <f t="shared" si="7"/>
        <v/>
      </c>
      <c r="C71">
        <v>7</v>
      </c>
      <c r="D71" s="3">
        <f t="shared" si="8"/>
        <v>2371.3737056616551</v>
      </c>
      <c r="E71" s="2">
        <f t="shared" si="16"/>
        <v>427.75546062924042</v>
      </c>
      <c r="F71" s="3">
        <f t="shared" si="9"/>
        <v>3487.3142730318446</v>
      </c>
      <c r="G71" s="3">
        <f t="shared" si="17"/>
        <v>1682.6291367378651</v>
      </c>
      <c r="H71" s="18">
        <f t="shared" si="18"/>
        <v>5169.9434097697094</v>
      </c>
      <c r="I71" s="18">
        <f t="shared" si="19"/>
        <v>1115.9405673701904</v>
      </c>
      <c r="J71" s="18">
        <f t="shared" si="20"/>
        <v>827.8012255609342</v>
      </c>
      <c r="K71" s="18">
        <f t="shared" si="21"/>
        <v>1943.7417929311246</v>
      </c>
      <c r="L71" s="9">
        <f t="shared" si="22"/>
        <v>0.37596964586846549</v>
      </c>
      <c r="M71" s="18">
        <f t="shared" si="23"/>
        <v>854.82791117693091</v>
      </c>
      <c r="N71" s="18">
        <f t="shared" si="10"/>
        <v>3226.2016168385862</v>
      </c>
      <c r="O71" s="2">
        <f t="shared" si="24"/>
        <v>106.98411769303573</v>
      </c>
      <c r="P71" s="31">
        <f t="shared" si="25"/>
        <v>0.10698411769303573</v>
      </c>
      <c r="Q71" s="31">
        <f t="shared" si="11"/>
        <v>0.1069388651573101</v>
      </c>
      <c r="R71" s="17">
        <f t="shared" si="26"/>
        <v>1</v>
      </c>
      <c r="S71" s="3">
        <f t="shared" si="27"/>
        <v>1000</v>
      </c>
      <c r="T71" s="18">
        <f t="shared" si="12"/>
        <v>1798.5697041080555</v>
      </c>
      <c r="U71" s="18">
        <f t="shared" si="28"/>
        <v>3651.0993745011465</v>
      </c>
      <c r="V71" s="18">
        <f t="shared" si="13"/>
        <v>3371.3737056616551</v>
      </c>
      <c r="W71" s="18">
        <f t="shared" si="14"/>
        <v>1798.5697041080543</v>
      </c>
      <c r="X71" s="9">
        <f t="shared" si="15"/>
        <v>0.34788963080510199</v>
      </c>
    </row>
    <row r="72" spans="2:24" x14ac:dyDescent="0.45">
      <c r="B72" t="str">
        <f t="shared" si="7"/>
        <v/>
      </c>
      <c r="C72">
        <v>8</v>
      </c>
      <c r="D72" s="3">
        <f t="shared" si="8"/>
        <v>3162.277660168379</v>
      </c>
      <c r="E72" s="2">
        <f t="shared" si="16"/>
        <v>570.42107447398701</v>
      </c>
      <c r="F72" s="3">
        <f t="shared" si="9"/>
        <v>4650.4083237770265</v>
      </c>
      <c r="G72" s="3">
        <f t="shared" si="17"/>
        <v>2243.8220162224156</v>
      </c>
      <c r="H72" s="18">
        <f t="shared" si="18"/>
        <v>6894.2303399994416</v>
      </c>
      <c r="I72" s="18">
        <f t="shared" si="19"/>
        <v>1488.1306636086485</v>
      </c>
      <c r="J72" s="18">
        <f t="shared" si="20"/>
        <v>1103.8906758565718</v>
      </c>
      <c r="K72" s="18">
        <f t="shared" si="21"/>
        <v>2592.0213394652201</v>
      </c>
      <c r="L72" s="9">
        <f t="shared" si="22"/>
        <v>0.37596964586846543</v>
      </c>
      <c r="M72" s="18">
        <f t="shared" si="23"/>
        <v>1139.9313403658439</v>
      </c>
      <c r="N72" s="18">
        <f t="shared" si="10"/>
        <v>4302.2090005342234</v>
      </c>
      <c r="O72" s="2">
        <f t="shared" si="24"/>
        <v>142.66561384474659</v>
      </c>
      <c r="P72" s="31">
        <f t="shared" si="25"/>
        <v>0.14266561384474657</v>
      </c>
      <c r="Q72" s="31">
        <f t="shared" si="11"/>
        <v>0.14260526861849676</v>
      </c>
      <c r="R72" s="17">
        <f t="shared" si="26"/>
        <v>1</v>
      </c>
      <c r="S72" s="3">
        <f t="shared" si="27"/>
        <v>1000</v>
      </c>
      <c r="T72" s="18">
        <f t="shared" si="12"/>
        <v>2731.952679831064</v>
      </c>
      <c r="U72" s="18">
        <f t="shared" si="28"/>
        <v>6383.0520543322109</v>
      </c>
      <c r="V72" s="18">
        <f t="shared" si="13"/>
        <v>4162.277660168379</v>
      </c>
      <c r="W72" s="18">
        <f t="shared" si="14"/>
        <v>2731.9526798310626</v>
      </c>
      <c r="X72" s="9">
        <f t="shared" si="15"/>
        <v>0.39626652216428321</v>
      </c>
    </row>
    <row r="73" spans="2:24" x14ac:dyDescent="0.45">
      <c r="B73" t="str">
        <f t="shared" si="7"/>
        <v/>
      </c>
      <c r="C73">
        <v>9</v>
      </c>
      <c r="D73" s="3">
        <f t="shared" si="8"/>
        <v>4216.9650342858222</v>
      </c>
      <c r="E73" s="2">
        <f t="shared" si="16"/>
        <v>760.66872816869329</v>
      </c>
      <c r="F73" s="3">
        <f t="shared" si="9"/>
        <v>6201.419168067383</v>
      </c>
      <c r="G73" s="3">
        <f t="shared" si="17"/>
        <v>2992.1847485925127</v>
      </c>
      <c r="H73" s="18">
        <f t="shared" si="18"/>
        <v>9193.6039166598966</v>
      </c>
      <c r="I73" s="18">
        <f t="shared" si="19"/>
        <v>1984.4541337815629</v>
      </c>
      <c r="J73" s="18">
        <f t="shared" si="20"/>
        <v>1472.0618750199953</v>
      </c>
      <c r="K73" s="18">
        <f t="shared" si="21"/>
        <v>3456.5160088015582</v>
      </c>
      <c r="L73" s="9">
        <f t="shared" si="22"/>
        <v>0.37596964586846543</v>
      </c>
      <c r="M73" s="18">
        <f t="shared" si="23"/>
        <v>1520.1228735725174</v>
      </c>
      <c r="N73" s="18">
        <f t="shared" si="10"/>
        <v>5737.0879078583393</v>
      </c>
      <c r="O73" s="2">
        <f t="shared" si="24"/>
        <v>190.24765369470629</v>
      </c>
      <c r="P73" s="31">
        <f t="shared" si="25"/>
        <v>0.19024765369470628</v>
      </c>
      <c r="Q73" s="31">
        <f t="shared" si="11"/>
        <v>0.19016718204217331</v>
      </c>
      <c r="R73" s="17">
        <f t="shared" si="26"/>
        <v>1</v>
      </c>
      <c r="S73" s="3">
        <f t="shared" si="27"/>
        <v>1000</v>
      </c>
      <c r="T73" s="18">
        <f t="shared" si="12"/>
        <v>3976.6388823740754</v>
      </c>
      <c r="U73" s="18">
        <f t="shared" si="28"/>
        <v>10359.690936706287</v>
      </c>
      <c r="V73" s="18">
        <f t="shared" si="13"/>
        <v>5216.9650342858222</v>
      </c>
      <c r="W73" s="18">
        <f t="shared" si="14"/>
        <v>3976.6388823740745</v>
      </c>
      <c r="X73" s="9">
        <f t="shared" si="15"/>
        <v>0.4325440728600386</v>
      </c>
    </row>
    <row r="74" spans="2:24" x14ac:dyDescent="0.45">
      <c r="B74" t="str">
        <f t="shared" si="7"/>
        <v/>
      </c>
      <c r="C74">
        <v>10</v>
      </c>
      <c r="D74" s="3">
        <f t="shared" si="8"/>
        <v>5623.4132519034902</v>
      </c>
      <c r="E74" s="2">
        <f t="shared" si="16"/>
        <v>1014.3680517893702</v>
      </c>
      <c r="F74" s="3">
        <f t="shared" si="9"/>
        <v>8269.7253704463074</v>
      </c>
      <c r="G74" s="3">
        <f t="shared" si="17"/>
        <v>3990.1424912403436</v>
      </c>
      <c r="H74" s="18">
        <f t="shared" si="18"/>
        <v>12259.867861686651</v>
      </c>
      <c r="I74" s="18">
        <f t="shared" si="19"/>
        <v>2646.3121185428186</v>
      </c>
      <c r="J74" s="18">
        <f t="shared" si="20"/>
        <v>1963.0260598096925</v>
      </c>
      <c r="K74" s="18">
        <f t="shared" si="21"/>
        <v>4609.338178352511</v>
      </c>
      <c r="L74" s="9">
        <f t="shared" si="22"/>
        <v>0.37596964586846549</v>
      </c>
      <c r="M74" s="18">
        <f t="shared" si="23"/>
        <v>2027.1164314306511</v>
      </c>
      <c r="N74" s="18">
        <f t="shared" si="10"/>
        <v>7650.5296833341417</v>
      </c>
      <c r="O74" s="2">
        <f t="shared" si="24"/>
        <v>253.69932362067686</v>
      </c>
      <c r="P74" s="31">
        <f t="shared" si="25"/>
        <v>0.25369932362067682</v>
      </c>
      <c r="Q74" s="31">
        <f t="shared" si="11"/>
        <v>0.25359201294734252</v>
      </c>
      <c r="R74" s="17">
        <f t="shared" si="26"/>
        <v>1</v>
      </c>
      <c r="S74" s="3">
        <f t="shared" si="27"/>
        <v>1000</v>
      </c>
      <c r="T74" s="18">
        <f t="shared" si="12"/>
        <v>5636.4546097831626</v>
      </c>
      <c r="U74" s="18">
        <f t="shared" si="28"/>
        <v>15996.14554648945</v>
      </c>
      <c r="V74" s="18">
        <f t="shared" si="13"/>
        <v>6623.4132519034902</v>
      </c>
      <c r="W74" s="18">
        <f t="shared" si="14"/>
        <v>5636.4546097831608</v>
      </c>
      <c r="X74" s="9">
        <f t="shared" si="15"/>
        <v>0.45974839805555012</v>
      </c>
    </row>
    <row r="75" spans="2:24" x14ac:dyDescent="0.45">
      <c r="B75" t="str">
        <f t="shared" si="7"/>
        <v/>
      </c>
      <c r="C75">
        <v>11</v>
      </c>
      <c r="D75" s="3">
        <f t="shared" si="8"/>
        <v>7498.9420933245574</v>
      </c>
      <c r="E75" s="2">
        <f t="shared" si="16"/>
        <v>1352.6815371628816</v>
      </c>
      <c r="F75" s="3">
        <f t="shared" si="9"/>
        <v>11027.856019594934</v>
      </c>
      <c r="G75" s="3">
        <f t="shared" si="17"/>
        <v>5320.9405294545559</v>
      </c>
      <c r="H75" s="18">
        <f t="shared" si="18"/>
        <v>16348.79654904949</v>
      </c>
      <c r="I75" s="18">
        <f t="shared" si="19"/>
        <v>3528.9139262703789</v>
      </c>
      <c r="J75" s="18">
        <f t="shared" si="20"/>
        <v>2617.7373226513478</v>
      </c>
      <c r="K75" s="18">
        <f t="shared" si="21"/>
        <v>6146.6512489217266</v>
      </c>
      <c r="L75" s="9">
        <f t="shared" si="22"/>
        <v>0.37596964586846543</v>
      </c>
      <c r="M75" s="18">
        <f t="shared" si="23"/>
        <v>2703.2032068032081</v>
      </c>
      <c r="N75" s="18">
        <f t="shared" si="10"/>
        <v>10202.145300127766</v>
      </c>
      <c r="O75" s="2">
        <f t="shared" si="24"/>
        <v>338.31348537351141</v>
      </c>
      <c r="P75" s="31">
        <f t="shared" si="25"/>
        <v>0.33831348537351141</v>
      </c>
      <c r="Q75" s="31">
        <f t="shared" si="11"/>
        <v>0.33817038429072038</v>
      </c>
      <c r="R75" s="17">
        <f t="shared" si="26"/>
        <v>1</v>
      </c>
      <c r="S75" s="3">
        <f t="shared" si="27"/>
        <v>1000</v>
      </c>
      <c r="T75" s="18">
        <f t="shared" si="12"/>
        <v>7849.8544557249352</v>
      </c>
      <c r="U75" s="18">
        <f t="shared" si="28"/>
        <v>23846.000002214387</v>
      </c>
      <c r="V75" s="18">
        <f t="shared" si="13"/>
        <v>8498.9420933245565</v>
      </c>
      <c r="W75" s="18">
        <f t="shared" si="14"/>
        <v>7849.8544557249334</v>
      </c>
      <c r="X75" s="9">
        <f t="shared" si="15"/>
        <v>0.48014876398846124</v>
      </c>
    </row>
    <row r="76" spans="2:24" x14ac:dyDescent="0.45">
      <c r="B76" t="str">
        <f t="shared" si="7"/>
        <v>last month</v>
      </c>
      <c r="C76">
        <v>12</v>
      </c>
      <c r="D76" s="3">
        <f t="shared" si="8"/>
        <v>9999.9999999999982</v>
      </c>
      <c r="E76" s="2">
        <f t="shared" si="16"/>
        <v>1803.8298206983325</v>
      </c>
      <c r="F76" s="3">
        <f t="shared" si="9"/>
        <v>14705.882352941169</v>
      </c>
      <c r="G76" s="3">
        <f t="shared" si="17"/>
        <v>7095.5882352941153</v>
      </c>
      <c r="H76" s="18">
        <f t="shared" si="18"/>
        <v>21801.470588235286</v>
      </c>
      <c r="I76" s="18">
        <f t="shared" si="19"/>
        <v>4705.8823529411748</v>
      </c>
      <c r="J76" s="18">
        <f t="shared" si="20"/>
        <v>3490.8088235294108</v>
      </c>
      <c r="K76" s="18">
        <f t="shared" si="21"/>
        <v>8196.6911764705856</v>
      </c>
      <c r="L76" s="9">
        <f t="shared" si="22"/>
        <v>0.37596964586846543</v>
      </c>
      <c r="M76" s="18">
        <f t="shared" si="23"/>
        <v>3604.7794117647045</v>
      </c>
      <c r="N76" s="18">
        <f t="shared" si="10"/>
        <v>13604.779411764703</v>
      </c>
      <c r="O76" s="2">
        <f t="shared" si="24"/>
        <v>451.1482835354509</v>
      </c>
      <c r="P76" s="31">
        <f t="shared" si="25"/>
        <v>0.45114828353545089</v>
      </c>
      <c r="Q76" s="31">
        <f t="shared" si="11"/>
        <v>0.45095745517458308</v>
      </c>
      <c r="R76" s="17">
        <f t="shared" si="26"/>
        <v>1</v>
      </c>
      <c r="S76" s="3">
        <f t="shared" si="27"/>
        <v>1000</v>
      </c>
      <c r="T76" s="18">
        <f t="shared" si="12"/>
        <v>10801.47058823529</v>
      </c>
      <c r="U76" s="18">
        <f t="shared" si="28"/>
        <v>34647.47059044968</v>
      </c>
      <c r="V76" s="18">
        <f t="shared" si="13"/>
        <v>10999.999999999998</v>
      </c>
      <c r="W76" s="18">
        <f t="shared" si="14"/>
        <v>10801.470588235288</v>
      </c>
      <c r="X76" s="9">
        <f t="shared" si="15"/>
        <v>0.49544688026981443</v>
      </c>
    </row>
    <row r="77" spans="2:24" x14ac:dyDescent="0.45">
      <c r="D77" s="3"/>
      <c r="E77" s="7"/>
      <c r="N77" s="45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price_list!$F$3:$F$8</xm:f>
          </x14:formula1>
          <xm:sqref>C18:E18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8"/>
  <sheetViews>
    <sheetView workbookViewId="0">
      <selection activeCell="F9" sqref="A9:XFD11"/>
    </sheetView>
  </sheetViews>
  <sheetFormatPr defaultRowHeight="14.25" x14ac:dyDescent="0.45"/>
  <cols>
    <col min="6" max="6" width="11.59765625" bestFit="1" customWidth="1"/>
  </cols>
  <sheetData>
    <row r="2" spans="5:11" x14ac:dyDescent="0.45">
      <c r="E2" t="s">
        <v>26</v>
      </c>
      <c r="F2" t="s">
        <v>27</v>
      </c>
      <c r="G2" t="s">
        <v>20</v>
      </c>
      <c r="H2" t="s">
        <v>21</v>
      </c>
      <c r="I2" t="s">
        <v>18</v>
      </c>
      <c r="J2" t="s">
        <v>19</v>
      </c>
      <c r="K2" t="s">
        <v>22</v>
      </c>
    </row>
    <row r="3" spans="5:11" x14ac:dyDescent="0.45">
      <c r="E3" t="s">
        <v>28</v>
      </c>
      <c r="F3" t="s">
        <v>15</v>
      </c>
      <c r="G3">
        <v>0</v>
      </c>
      <c r="H3">
        <v>100</v>
      </c>
      <c r="I3">
        <f>G3*1024</f>
        <v>0</v>
      </c>
      <c r="J3">
        <f>H3*1024</f>
        <v>102400</v>
      </c>
      <c r="K3" s="27">
        <v>2.4E-2</v>
      </c>
    </row>
    <row r="4" spans="5:11" x14ac:dyDescent="0.45">
      <c r="E4" t="s">
        <v>28</v>
      </c>
      <c r="F4" t="s">
        <v>23</v>
      </c>
      <c r="G4">
        <v>0</v>
      </c>
      <c r="H4">
        <v>100</v>
      </c>
      <c r="I4">
        <f t="shared" ref="I4" si="0">G4*1024</f>
        <v>0</v>
      </c>
      <c r="J4">
        <f t="shared" ref="J4" si="1">H4*1024</f>
        <v>102400</v>
      </c>
      <c r="K4" s="27">
        <v>0.01</v>
      </c>
    </row>
    <row r="5" spans="5:11" x14ac:dyDescent="0.45">
      <c r="E5" t="s">
        <v>28</v>
      </c>
      <c r="F5" t="s">
        <v>16</v>
      </c>
      <c r="G5">
        <v>0</v>
      </c>
      <c r="H5">
        <v>100</v>
      </c>
      <c r="I5">
        <f>G5*1024</f>
        <v>0</v>
      </c>
      <c r="J5">
        <f>H5*1024</f>
        <v>102400</v>
      </c>
      <c r="K5" s="27">
        <v>4.8000000000000001E-2</v>
      </c>
    </row>
    <row r="6" spans="5:11" x14ac:dyDescent="0.45">
      <c r="E6" t="s">
        <v>28</v>
      </c>
      <c r="F6" t="s">
        <v>24</v>
      </c>
      <c r="G6">
        <v>0</v>
      </c>
      <c r="H6">
        <v>100</v>
      </c>
      <c r="I6">
        <f t="shared" ref="I6" si="2">G6*1024</f>
        <v>0</v>
      </c>
      <c r="J6">
        <f t="shared" ref="J6" si="3">H6*1024</f>
        <v>102400</v>
      </c>
      <c r="K6" s="27">
        <v>0.02</v>
      </c>
    </row>
    <row r="7" spans="5:11" x14ac:dyDescent="0.45">
      <c r="E7" t="s">
        <v>28</v>
      </c>
      <c r="F7" t="s">
        <v>17</v>
      </c>
      <c r="G7">
        <v>0</v>
      </c>
      <c r="H7">
        <v>100</v>
      </c>
      <c r="I7">
        <f>G7*1024</f>
        <v>0</v>
      </c>
      <c r="J7">
        <f>H7*1024</f>
        <v>102400</v>
      </c>
      <c r="K7" s="27">
        <v>6.0999999999999999E-2</v>
      </c>
    </row>
    <row r="8" spans="5:11" x14ac:dyDescent="0.45">
      <c r="E8" t="s">
        <v>28</v>
      </c>
      <c r="F8" t="s">
        <v>25</v>
      </c>
      <c r="G8">
        <v>0</v>
      </c>
      <c r="H8">
        <v>100</v>
      </c>
      <c r="I8">
        <f t="shared" ref="I8" si="4">G8*1024</f>
        <v>0</v>
      </c>
      <c r="J8">
        <f t="shared" ref="J8" si="5">H8*1024</f>
        <v>102400</v>
      </c>
      <c r="K8" s="27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price_list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Guzman Lemos</dc:creator>
  <cp:lastModifiedBy>Jonathan Guzman Lemos</cp:lastModifiedBy>
  <dcterms:created xsi:type="dcterms:W3CDTF">2017-01-04T16:02:54Z</dcterms:created>
  <dcterms:modified xsi:type="dcterms:W3CDTF">2017-01-06T23:17:55Z</dcterms:modified>
</cp:coreProperties>
</file>