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jw12513/git/HCVST/"/>
    </mc:Choice>
  </mc:AlternateContent>
  <xr:revisionPtr revIDLastSave="0" documentId="13_ncr:1_{10517918-CCD5-2448-A577-AB86BAD1AD18}" xr6:coauthVersionLast="46" xr6:coauthVersionMax="46" xr10:uidLastSave="{00000000-0000-0000-0000-000000000000}"/>
  <bookViews>
    <workbookView xWindow="0" yWindow="460" windowWidth="25600" windowHeight="15540" activeTab="2" xr2:uid="{9426A51E-D1CB-CD4D-946E-02589EA87648}"/>
  </bookViews>
  <sheets>
    <sheet name="Parameters" sheetId="1" r:id="rId1"/>
    <sheet name="Sheet1" sheetId="4" r:id="rId2"/>
    <sheet name="Self-report" sheetId="2" r:id="rId3"/>
    <sheet name="Peer-led" sheetId="3" r:id="rId4"/>
  </sheets>
  <definedNames>
    <definedName name="_xlnm._FilterDatabase" localSheetId="0" hidden="1">Parameters!$A$1:$Y$30</definedName>
    <definedName name="_xlnm._FilterDatabase" localSheetId="2" hidden="1">'Self-report'!$E$1:$E$67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U7" i="1"/>
  <c r="P34" i="1"/>
  <c r="F7" i="1"/>
  <c r="U9" i="1" l="1"/>
  <c r="P27" i="1" l="1"/>
  <c r="P8" i="1"/>
  <c r="P31" i="1" s="1"/>
  <c r="P7" i="1"/>
  <c r="K27" i="1"/>
  <c r="K13" i="1"/>
  <c r="K9" i="1" s="1"/>
  <c r="K8" i="1"/>
  <c r="K31" i="1" s="1"/>
  <c r="K34" i="1"/>
  <c r="K7" i="1" s="1"/>
  <c r="K2" i="1"/>
  <c r="F14" i="1"/>
  <c r="F17" i="1"/>
  <c r="F20" i="1"/>
  <c r="F31" i="1"/>
  <c r="H31" i="1" s="1"/>
  <c r="F8" i="1"/>
  <c r="H8" i="1" s="1"/>
  <c r="F13" i="1"/>
  <c r="F9" i="1"/>
  <c r="H34" i="1"/>
  <c r="G34" i="1"/>
  <c r="F34" i="1"/>
  <c r="F4" i="4"/>
  <c r="Q9" i="1" l="1"/>
  <c r="R9" i="1"/>
  <c r="G8" i="1"/>
  <c r="G31" i="1"/>
  <c r="P9" i="1" l="1"/>
  <c r="O29" i="1" l="1"/>
  <c r="O30" i="1"/>
  <c r="O28" i="1"/>
  <c r="J2" i="1"/>
  <c r="E20" i="1"/>
  <c r="E17" i="1" l="1"/>
  <c r="E2" i="1"/>
  <c r="E14" i="1" s="1"/>
</calcChain>
</file>

<file path=xl/sharedStrings.xml><?xml version="1.0" encoding="utf-8"?>
<sst xmlns="http://schemas.openxmlformats.org/spreadsheetml/2006/main" count="871" uniqueCount="381">
  <si>
    <t>NumberFrom</t>
  </si>
  <si>
    <t>NumberTo</t>
  </si>
  <si>
    <t>NameFrom</t>
  </si>
  <si>
    <t>HCV status unknown 1</t>
  </si>
  <si>
    <t>Standard test pathway 2</t>
  </si>
  <si>
    <t>Positive Ab 3</t>
  </si>
  <si>
    <t>Confirmatory antigen/RNA test 4</t>
  </si>
  <si>
    <t>Positive chronic 5</t>
  </si>
  <si>
    <t>Link to care 6</t>
  </si>
  <si>
    <t>Start treatment 7</t>
  </si>
  <si>
    <t>Negative Ab 15</t>
  </si>
  <si>
    <t>Self-testing 18</t>
  </si>
  <si>
    <t>Positive Ab - trusted 20</t>
  </si>
  <si>
    <t>Go to health center 21</t>
  </si>
  <si>
    <t>Confirmatory antigen/RNA test 22</t>
  </si>
  <si>
    <t>Positive chronic 23</t>
  </si>
  <si>
    <t>Link to care 24</t>
  </si>
  <si>
    <t>Start treatment 25</t>
  </si>
  <si>
    <t>Positive Ab - not trusted 33</t>
  </si>
  <si>
    <t>Go to health center 34</t>
  </si>
  <si>
    <t>Retest antibody 36</t>
  </si>
  <si>
    <t>Positive Ab 37</t>
  </si>
  <si>
    <t>Confirmatory antigen/RNA test 38</t>
  </si>
  <si>
    <t>Positive chronic 39</t>
  </si>
  <si>
    <t>Link to care 40</t>
  </si>
  <si>
    <t>Start treatment 41</t>
  </si>
  <si>
    <t>Negative Ab 49</t>
  </si>
  <si>
    <t>Negative Ab 52</t>
  </si>
  <si>
    <t>Unclear result/test failure 54</t>
  </si>
  <si>
    <t>Go to health center 55</t>
  </si>
  <si>
    <t>Retest antibody 57</t>
  </si>
  <si>
    <t>Positive Ab 58</t>
  </si>
  <si>
    <t>Confirmatory antigen/RNA test 59</t>
  </si>
  <si>
    <t>Positive chronic 60</t>
  </si>
  <si>
    <t>Link to care 61</t>
  </si>
  <si>
    <t>Start treatment 62</t>
  </si>
  <si>
    <t>Negative Ab 70</t>
  </si>
  <si>
    <t>NameTo</t>
  </si>
  <si>
    <t>No testing 17</t>
  </si>
  <si>
    <t>No confirmatory test/LTFU 14</t>
  </si>
  <si>
    <t>Not chronic 13</t>
  </si>
  <si>
    <t>Not linked to care 12</t>
  </si>
  <si>
    <t>Not treated 11</t>
  </si>
  <si>
    <t>Cured 8</t>
  </si>
  <si>
    <t>Not cured 9</t>
  </si>
  <si>
    <t>Unknown 10</t>
  </si>
  <si>
    <t>Retest next year 16</t>
  </si>
  <si>
    <t>Result not reported 19</t>
  </si>
  <si>
    <t>Positive Ab  trusted 21</t>
  </si>
  <si>
    <t>Positive Ab  not trusted 33</t>
  </si>
  <si>
    <t>Negative Ab 50</t>
  </si>
  <si>
    <t>Unclear result/test failure 52</t>
  </si>
  <si>
    <t>No confirmatory test 22</t>
  </si>
  <si>
    <t>Confirmatory antigen/RNA test 23</t>
  </si>
  <si>
    <t>Positive chronic 24</t>
  </si>
  <si>
    <t>Not chronic 32</t>
  </si>
  <si>
    <t>Link to care 25</t>
  </si>
  <si>
    <t>Not linked to care 31</t>
  </si>
  <si>
    <t>Start treatment 26</t>
  </si>
  <si>
    <t>Not treated 30</t>
  </si>
  <si>
    <t>Cured 27</t>
  </si>
  <si>
    <t>Not cured 28</t>
  </si>
  <si>
    <t>Unknown 29</t>
  </si>
  <si>
    <t>No antibody retest 34</t>
  </si>
  <si>
    <t>Retest antibody 35</t>
  </si>
  <si>
    <t>Positive Ab 36</t>
  </si>
  <si>
    <t>Negative Ab 48</t>
  </si>
  <si>
    <t>Confirmatory antigen/RNA test 37</t>
  </si>
  <si>
    <t>No confirmatory test/LTFU 47</t>
  </si>
  <si>
    <t>Positive chronic 38</t>
  </si>
  <si>
    <t>Not chronic 46</t>
  </si>
  <si>
    <t>Link to care 39</t>
  </si>
  <si>
    <t>Not linked to care 45</t>
  </si>
  <si>
    <t>Start treatment 40</t>
  </si>
  <si>
    <t>Not treated 44</t>
  </si>
  <si>
    <t>Cured 41</t>
  </si>
  <si>
    <t>Not cured 42</t>
  </si>
  <si>
    <t>Unknown 43</t>
  </si>
  <si>
    <t>Retest next year 49</t>
  </si>
  <si>
    <t>Retest next year 51</t>
  </si>
  <si>
    <t>No antibody retest 53</t>
  </si>
  <si>
    <t>Retest antibody 54</t>
  </si>
  <si>
    <t>Positive Ab 55</t>
  </si>
  <si>
    <t>Negative Ab 67</t>
  </si>
  <si>
    <t>Confirmatory antigen/RNA test 56</t>
  </si>
  <si>
    <t>No confirmatory test/LTFU 66</t>
  </si>
  <si>
    <t>Positive chronic 57</t>
  </si>
  <si>
    <t>Not chronic 65</t>
  </si>
  <si>
    <t>Link to care 58</t>
  </si>
  <si>
    <t>Not linked to care 64</t>
  </si>
  <si>
    <t>Start treatment 59</t>
  </si>
  <si>
    <t>Not treated 63</t>
  </si>
  <si>
    <t>Cured 60</t>
  </si>
  <si>
    <t>Not cured 61</t>
  </si>
  <si>
    <t>Unknown 62</t>
  </si>
  <si>
    <t>Retest next year 68</t>
  </si>
  <si>
    <t>HCV Status unknown 1</t>
  </si>
  <si>
    <t>Parameter</t>
  </si>
  <si>
    <t>TotalPop</t>
  </si>
  <si>
    <t>ParameterType</t>
  </si>
  <si>
    <t>Transition</t>
  </si>
  <si>
    <t>Initial</t>
  </si>
  <si>
    <t>Cost</t>
  </si>
  <si>
    <t>ValueTest</t>
  </si>
  <si>
    <t>UnknownStatus</t>
  </si>
  <si>
    <t>Prevalence</t>
  </si>
  <si>
    <t>Comments</t>
  </si>
  <si>
    <t>Must sum to 1</t>
  </si>
  <si>
    <t>1-AccessStandard-AccessSelfTest</t>
  </si>
  <si>
    <t>1-above</t>
  </si>
  <si>
    <t>AntibodyPrevalence</t>
  </si>
  <si>
    <t>Check care cascade</t>
  </si>
  <si>
    <t>Check specific setting/get reference</t>
  </si>
  <si>
    <t>1-above2</t>
  </si>
  <si>
    <t>Could set to 0</t>
  </si>
  <si>
    <t>Leave retesting numbers at 0 for now</t>
  </si>
  <si>
    <t>Sum to 1</t>
  </si>
  <si>
    <t>Same as for standard pathway</t>
  </si>
  <si>
    <t>Self-test accuracy</t>
  </si>
  <si>
    <t>Same across all routes</t>
  </si>
  <si>
    <t>1-prevalence</t>
  </si>
  <si>
    <t>StandardAntibody</t>
  </si>
  <si>
    <t>PCR</t>
  </si>
  <si>
    <t>Treatment</t>
  </si>
  <si>
    <t>SelfTestUnit</t>
  </si>
  <si>
    <t>Cascade</t>
  </si>
  <si>
    <t>Intervention</t>
  </si>
  <si>
    <t>BaselineTest</t>
  </si>
  <si>
    <t>NewSelfTest</t>
  </si>
  <si>
    <t>SelfTestInstead</t>
  </si>
  <si>
    <t>ChronicPrevalence</t>
  </si>
  <si>
    <t>ReceivePCRTest</t>
  </si>
  <si>
    <t>LinkToCare</t>
  </si>
  <si>
    <t>StartTreatment</t>
  </si>
  <si>
    <t>Cured</t>
  </si>
  <si>
    <t>UnknownOutcome</t>
  </si>
  <si>
    <t>RetestNextYear</t>
  </si>
  <si>
    <t>Secondary</t>
  </si>
  <si>
    <t>Don't account for in the model</t>
  </si>
  <si>
    <t>PercentPositiveSelfTestsTrusted</t>
  </si>
  <si>
    <t>Various times when might receive counselling?</t>
  </si>
  <si>
    <t>SelfTestSuccess</t>
  </si>
  <si>
    <t>Calculate based on how many have been treated? This is % antibody tests that get chronic result.</t>
  </si>
  <si>
    <t>Vary this in first sensitivity analysis</t>
  </si>
  <si>
    <t>From data?</t>
  </si>
  <si>
    <t>Tests have result readable by person - of those that are brought in? Different assumption for the different model structures</t>
  </si>
  <si>
    <t>Either 100% or 0% - vary in initial analysis</t>
  </si>
  <si>
    <t>Percent of retests of positive tests that are positive - could vary this in first sensitivity anaysis too</t>
  </si>
  <si>
    <t>Label</t>
  </si>
  <si>
    <t>a</t>
  </si>
  <si>
    <t>b</t>
  </si>
  <si>
    <t>o</t>
  </si>
  <si>
    <t>n</t>
  </si>
  <si>
    <t>d</t>
  </si>
  <si>
    <t>t</t>
  </si>
  <si>
    <t>r</t>
  </si>
  <si>
    <t>s</t>
  </si>
  <si>
    <t>l</t>
  </si>
  <si>
    <t>e</t>
  </si>
  <si>
    <t>i</t>
  </si>
  <si>
    <t>c</t>
  </si>
  <si>
    <t>f</t>
  </si>
  <si>
    <t>g</t>
  </si>
  <si>
    <t>h</t>
  </si>
  <si>
    <t>j</t>
  </si>
  <si>
    <t>k</t>
  </si>
  <si>
    <t>m</t>
  </si>
  <si>
    <t>p</t>
  </si>
  <si>
    <t>q</t>
  </si>
  <si>
    <t>u</t>
  </si>
  <si>
    <t>v</t>
  </si>
  <si>
    <t>w</t>
  </si>
  <si>
    <t>x</t>
  </si>
  <si>
    <t>y</t>
  </si>
  <si>
    <t>z</t>
  </si>
  <si>
    <t>Population of unknown status</t>
  </si>
  <si>
    <t>b*v*w</t>
  </si>
  <si>
    <t>b*(1-v)*w</t>
  </si>
  <si>
    <t>(1-b)*w</t>
  </si>
  <si>
    <t>Add test performance relative to antibody here</t>
  </si>
  <si>
    <t>RetestAntibody</t>
  </si>
  <si>
    <t>1-x</t>
  </si>
  <si>
    <t>1-p</t>
  </si>
  <si>
    <t>1-d</t>
  </si>
  <si>
    <t>1-q</t>
  </si>
  <si>
    <t>1-r</t>
  </si>
  <si>
    <t>1-s-t</t>
  </si>
  <si>
    <t>1-b</t>
  </si>
  <si>
    <t>1-w</t>
  </si>
  <si>
    <t>1-z</t>
  </si>
  <si>
    <t>1-y</t>
  </si>
  <si>
    <t>Antibody retest uptake from positive or unclear self tests</t>
  </si>
  <si>
    <t>(c*m-c*m*n)*a</t>
  </si>
  <si>
    <t>(1-c*m-c*o)*a</t>
  </si>
  <si>
    <t>(c*m*n+c*o)*a</t>
  </si>
  <si>
    <t>HealthCenterVisit</t>
  </si>
  <si>
    <t>CounsellingPositive</t>
  </si>
  <si>
    <t>CounsellingNegative</t>
  </si>
  <si>
    <t>PreTreatCosts</t>
  </si>
  <si>
    <t>Don't go to health center 32</t>
  </si>
  <si>
    <t>No confirmatory test/LTFU 73</t>
  </si>
  <si>
    <t>Not chronic 31</t>
  </si>
  <si>
    <t>Not linked to care 30</t>
  </si>
  <si>
    <t>Not treated 29</t>
  </si>
  <si>
    <t>Cured 26</t>
  </si>
  <si>
    <t>Not cured 27</t>
  </si>
  <si>
    <t>Unknown 28</t>
  </si>
  <si>
    <t>Don't go to health center 51</t>
  </si>
  <si>
    <t>Not retested 35</t>
  </si>
  <si>
    <t>No confirmatory test/LTFU 48</t>
  </si>
  <si>
    <t>Not chronic 47</t>
  </si>
  <si>
    <t>Not linked to care 46</t>
  </si>
  <si>
    <t>Not treated 45</t>
  </si>
  <si>
    <t>Cured 42</t>
  </si>
  <si>
    <t>Not cured 43</t>
  </si>
  <si>
    <t>Unknown 44</t>
  </si>
  <si>
    <t>Retest next year 50</t>
  </si>
  <si>
    <t>Retest next year 53</t>
  </si>
  <si>
    <t>Don't go to health center 72</t>
  </si>
  <si>
    <t>Not retested 56</t>
  </si>
  <si>
    <t>No confirmatory test/LTFU 69</t>
  </si>
  <si>
    <t>Not chronic 68</t>
  </si>
  <si>
    <t>Not linked to care 67</t>
  </si>
  <si>
    <t>Not treated 66</t>
  </si>
  <si>
    <t>Cured 63</t>
  </si>
  <si>
    <t>Not cured 64</t>
  </si>
  <si>
    <t>Unknown 65</t>
  </si>
  <si>
    <t>Retest next year 71</t>
  </si>
  <si>
    <t>z1</t>
  </si>
  <si>
    <t>1-z1</t>
  </si>
  <si>
    <t>z2</t>
  </si>
  <si>
    <t>1-z2</t>
  </si>
  <si>
    <t>z3</t>
  </si>
  <si>
    <t>1-z3</t>
  </si>
  <si>
    <t>PercentReportResultsPos</t>
  </si>
  <si>
    <t>PercentReportResultsNeg</t>
  </si>
  <si>
    <t>PercentReportResultsUnknown</t>
  </si>
  <si>
    <t>Georgia</t>
  </si>
  <si>
    <t>GeorgiaSource</t>
  </si>
  <si>
    <t>Shaun 6.9/28.9</t>
  </si>
  <si>
    <t>September 2020 care cascade</t>
  </si>
  <si>
    <t>Oral test</t>
  </si>
  <si>
    <t>2166508 tests 6.8% in men40-49, or 147,323 over 5 years. 29465/year is 13% of 234360</t>
  </si>
  <si>
    <t>Arbitrary</t>
  </si>
  <si>
    <t>Arbitrary, but assume that most people getting tested are in hospital etc where they'd be tested anyway</t>
  </si>
  <si>
    <t>Not recorded in care cascade</t>
  </si>
  <si>
    <t>90% initiate who are positive, assume two step process 0.9*0.9</t>
  </si>
  <si>
    <t xml:space="preserve">FIND Georgia usability %completing without assistance </t>
  </si>
  <si>
    <t>FIND Georgia inter operator agreement</t>
  </si>
  <si>
    <t>Assumption</t>
  </si>
  <si>
    <t>(1-b)*w*z2</t>
  </si>
  <si>
    <t>b*(1-v)*w*z1</t>
  </si>
  <si>
    <t>b*v*w*z1</t>
  </si>
  <si>
    <t>i+k</t>
  </si>
  <si>
    <t>i+j</t>
  </si>
  <si>
    <t>Leave out for now</t>
  </si>
  <si>
    <t>Also have LIFER estimates</t>
  </si>
  <si>
    <t>LIFER study (weighted average of diagnostic w FIB or elastography paid by government)</t>
  </si>
  <si>
    <t>(1-w)*z3</t>
  </si>
  <si>
    <t>Self-testing 20</t>
  </si>
  <si>
    <t>(Prevalence*trust)*success*report1</t>
  </si>
  <si>
    <t>Prevalence*(1-trust)*success*report1</t>
  </si>
  <si>
    <t>(1-Prevalence)*success*report2</t>
  </si>
  <si>
    <t>(1-success)*report3</t>
  </si>
  <si>
    <t>1 - below</t>
  </si>
  <si>
    <t>Kenya</t>
  </si>
  <si>
    <t>KenyaSource</t>
  </si>
  <si>
    <t>Base case oral test</t>
  </si>
  <si>
    <t>Nyasha's paper</t>
  </si>
  <si>
    <t>Cost of distributing self test</t>
  </si>
  <si>
    <t>Not sure about this.</t>
  </si>
  <si>
    <t>Not account for this yet but do have some counselling within distribution cost</t>
  </si>
  <si>
    <t>FIND usability (agreement with professional use test)</t>
  </si>
  <si>
    <t>Assumption (5% of baseline testers)</t>
  </si>
  <si>
    <t>75% of PWID visited DIC according to polling booth survey 2018. But presume not all of them got HCV tests. To discuss.</t>
  </si>
  <si>
    <t xml:space="preserve"> </t>
  </si>
  <si>
    <t>100% in MSF treatment intervention</t>
  </si>
  <si>
    <t>84% started treatment, assume half lost in each step</t>
  </si>
  <si>
    <t>TLC have you ever been tested - no is 584/817 who answered</t>
  </si>
  <si>
    <t>FIND usability did not have in person demonstration, which Fern's study did. Ask for results?</t>
  </si>
  <si>
    <t>China</t>
  </si>
  <si>
    <t>ChinaSource</t>
  </si>
  <si>
    <t>Ong CE HIVST (not published yet?) - MSM population in Zhuhai</t>
  </si>
  <si>
    <t>4633 tests returned out of 4781 delivered</t>
  </si>
  <si>
    <t>Assume no differenc</t>
  </si>
  <si>
    <t>Assume no difference</t>
  </si>
  <si>
    <t>FIND usability</t>
  </si>
  <si>
    <t>Test</t>
  </si>
  <si>
    <t>FIND usability - 4% needed assistance</t>
  </si>
  <si>
    <t>Ask Jason - previously tested?</t>
  </si>
  <si>
    <t>Based on uptake of 1780 standard tests and estimated MSM population in Jason's study</t>
  </si>
  <si>
    <t>No data</t>
  </si>
  <si>
    <t>Vietnam</t>
  </si>
  <si>
    <t>VietnamSource</t>
  </si>
  <si>
    <t>DRIVE C screening results</t>
  </si>
  <si>
    <t>Reflex testing</t>
  </si>
  <si>
    <t>DRIVE C meeting July 2020</t>
  </si>
  <si>
    <t>1022 linked to care and 979 came for inclusion vist</t>
  </si>
  <si>
    <t>Agreement with professional use test</t>
  </si>
  <si>
    <t>FIND usability (but could be higher depending on distribution model)</t>
  </si>
  <si>
    <t>Change for peer led model</t>
  </si>
  <si>
    <t>Seems high - but what about per year?</t>
  </si>
  <si>
    <t>RDS cost data - test only</t>
  </si>
  <si>
    <t>Genexpert cost</t>
  </si>
  <si>
    <t>Guess for now, to update from DRIVE C questionnaire 8.1</t>
  </si>
  <si>
    <t>(m-m*o)[*a*c]</t>
  </si>
  <si>
    <t>(1-m-n)[*a*c]</t>
  </si>
  <si>
    <t>(n+m*o)[*a*c]</t>
  </si>
  <si>
    <t>WHO CHOICE in 2010 is 7.82</t>
  </si>
  <si>
    <t>WHO CHOICE in 2010 is 2.91 (also have other options from Nyasha's paper)</t>
  </si>
  <si>
    <t>WHO choice is 10.74</t>
  </si>
  <si>
    <t>WHO Choice - but don't need? 5.09</t>
  </si>
  <si>
    <t>ytest</t>
  </si>
  <si>
    <t>g.svr</t>
  </si>
  <si>
    <t>PCRsvr</t>
  </si>
  <si>
    <t>GeorgiaLow</t>
  </si>
  <si>
    <t>GeorgiaHigh</t>
  </si>
  <si>
    <t>Google * Shaun (census 2014) - men 40-49. Updated to 2020 estimates from Georgia Demographics.</t>
  </si>
  <si>
    <t>Hagan 2019/Serosurvey - estimated boundaries from figure in Hagan 2019 - ask Shaun for update</t>
  </si>
  <si>
    <t>Georgia FIND - 2018 USD (bounds are high and low estimates from different sites)</t>
  </si>
  <si>
    <t>Georgia FIND - 2018 USD (they assume 10% SE)</t>
  </si>
  <si>
    <t>CPI</t>
  </si>
  <si>
    <t>2019 not available</t>
  </si>
  <si>
    <t>KenyaLow</t>
  </si>
  <si>
    <t>KenyaHigh</t>
  </si>
  <si>
    <t>Akiyama LancetID 2019 (10.9 was from Jack's unpublished)</t>
  </si>
  <si>
    <t>Nyasha's paper - 2018 USD (SD bioline kit plus staff time for RDT visit)</t>
  </si>
  <si>
    <t>Nyasha's paper - as above</t>
  </si>
  <si>
    <t>Nyasha's paper - lowest cost considered. Take out pre treatment</t>
  </si>
  <si>
    <t>Nyasha's paper - confirmatory result visit plus baseline initial assessment</t>
  </si>
  <si>
    <t>ChinaLow</t>
  </si>
  <si>
    <t>ChinaHigh</t>
  </si>
  <si>
    <t>Assume approx $2 for postage and $1 for packaging ($1.60 estimated from Georgia post website for postage of a small package)</t>
  </si>
  <si>
    <t>Mangenah 2019 - note it involves a demonstration of the test and counselling etc. 2017 USD. * 14% of total costs attributable to test cost itself in Zambia
* Zambia has closest GDP per capita to Kenya
* Base cost is $16.42 so $14.12 for everything but the test kit (discuss this assumption with Fern)</t>
  </si>
  <si>
    <t>Liu 2019 systematic review - updated to Jin 2020 systematic review global</t>
  </si>
  <si>
    <t>from Chen personal communication - 2020 RMB - 8000-14000 includes PCR test and pre-treatment</t>
  </si>
  <si>
    <t>based on Chen RDT - 3 RMB plus double for processing/overheads changed to Ong personal communication (35 RMB for an ELISA test)</t>
  </si>
  <si>
    <t>PCR testing is 140 RMB</t>
  </si>
  <si>
    <t>Assume 10% of treatment costs</t>
  </si>
  <si>
    <t xml:space="preserve">Ong - $11686 2018 USD staff cost for HIVST, assume same for HCV and rest of costs are for HIV.4781 kits delivered </t>
  </si>
  <si>
    <t>VietnamLow</t>
  </si>
  <si>
    <t>VietnamHigh</t>
  </si>
  <si>
    <t>Des Jarlais 2018 - HaiPhong PWID (Drug Alco Depend 2018)</t>
  </si>
  <si>
    <t>Moles 2020 (72% in DRIVE C) - 66% is cited in DRIVE C protocol with range from other studies in Vietnam https://bmjopen.bmj.com/content/10/11/e039234#ref-17</t>
  </si>
  <si>
    <t>Assume 10% of treatment cost</t>
  </si>
  <si>
    <t>The Due 2020 - 2019 USD - no idea why previous estimate is so low? Drug + monitoring costs. Standard error for drug is 276.9 and for monitoring is 71.1, if want to calculate CI. Subtract estimated cost of PCR test.</t>
  </si>
  <si>
    <t>Assume $10 for CBO incentives per person - peer-led testing</t>
  </si>
  <si>
    <t>Jack's paper - increase bounds so max 80% coverage of NSP</t>
  </si>
  <si>
    <t>GeorgiaOld</t>
  </si>
  <si>
    <t>KenyaOld</t>
  </si>
  <si>
    <t>ChinaOld</t>
  </si>
  <si>
    <t>VietnamOld</t>
  </si>
  <si>
    <t>sens</t>
  </si>
  <si>
    <t>OraQuick sensitivity</t>
  </si>
  <si>
    <t>spec</t>
  </si>
  <si>
    <t>OraQuick specificity</t>
  </si>
  <si>
    <t>f1</t>
  </si>
  <si>
    <t>RDTCost</t>
  </si>
  <si>
    <t>LIFER study - removed pre treatment stuff from 338 total - 2017 USD. Should be 767 total?</t>
  </si>
  <si>
    <t>sens2</t>
  </si>
  <si>
    <t>spec2</t>
  </si>
  <si>
    <t>Retest sensitivity</t>
  </si>
  <si>
    <t>Retest specificity</t>
  </si>
  <si>
    <t>NewModel</t>
  </si>
  <si>
    <t>Interreaderagreement</t>
  </si>
  <si>
    <t>1 - ytest</t>
  </si>
  <si>
    <t>1-p  this was likely causing strange results before</t>
  </si>
  <si>
    <t>b*(sens2) + (1-b)*(1-spec2))</t>
  </si>
  <si>
    <t>1 - b*(sens2) + (1-b)*(1-spec2))</t>
  </si>
  <si>
    <t>1 - (b*(sens2) + (1-b)*(1-spec2)))</t>
  </si>
  <si>
    <t>v*w*z1*(b*sens*x + (1-b)*(1-spec*x))</t>
  </si>
  <si>
    <t>(1-v)*w*z1*(b*sens*x + (1-b)*(1-spec*x))</t>
  </si>
  <si>
    <t xml:space="preserve"> w*z2*(1-(b*sens*x + (1-b)*(1-spec*x)))</t>
  </si>
  <si>
    <t>d* (b*sens2) / (b*sens2 + (1-b)*(1-spec2))</t>
  </si>
  <si>
    <t>1 - (d* (b*sens2) / (b*sens2 + (1-b)*(1-spec2)))</t>
  </si>
  <si>
    <t>d* (b*sens*x) / (b*sens*x + (1-b)*(1-spec*x))</t>
  </si>
  <si>
    <t>1 - d* (b*sens*x) / (b*sens*x + (1-b)*(1-spec*x))</t>
  </si>
  <si>
    <t>((b*sens*x)*sens2 + (1-b)*(1-spec*x)*(1-spec2))) / ((b*sens*x + (1-b)*(1-spec*x))</t>
  </si>
  <si>
    <t>1 - ((b*sens*x)*sens2 + (1-b)*(1-spec*x)*(1-spec2))) / ((b*sens*x + (1-b)*(1-spec*x))</t>
  </si>
  <si>
    <t>d* (b*sens*x)*sens2 / ((b*sens*x)*sens2 + (1-b)*(1-spec*x)*(1-spec2)))</t>
  </si>
  <si>
    <t>1 - d* (b*sens*x)*sens2 / ((b*sens*x)*sens2 + (1-b)*(1-spec*x)*(1-spec2)))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</si>
</sst>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2" fillId="0" borderId="0" xfId="0" applyFont="1"/>
    <xf numFmtId="16" fontId="0" fillId="0" borderId="0" xfId="0" applyNumberFormat="1"/>
    <xf numFmtId="0" fontId="0" fillId="0" borderId="0" xfId="1" applyNumberFormat="1" applyFont="1"/>
    <xf numFmtId="2" fontId="0" fillId="0" borderId="0" xfId="0" applyNumberFormat="1"/>
    <xf numFmtId="0" fontId="0" fillId="2" borderId="0" xfId="0" applyFill="1"/>
    <xf numFmtId="9" fontId="0" fillId="0" borderId="0" xfId="0" applyNumberFormat="1" applyAlignment="1">
      <alignment wrapText="1"/>
    </xf>
    <xf numFmtId="0" fontId="0" fillId="0" borderId="0" xfId="0" applyNumberFormat="1"/>
    <xf numFmtId="0" fontId="4" fillId="0" borderId="0" xfId="0" applyFont="1"/>
    <xf numFmtId="0" fontId="0" fillId="0" borderId="0" xfId="0" quotePrefix="1"/>
    <xf numFmtId="0" fontId="0" fillId="0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B61A-F669-6B48-8A71-B654C41C6040}">
  <dimension ref="A1:Y36"/>
  <sheetViews>
    <sheetView topLeftCell="A4" workbookViewId="0">
      <selection activeCell="B24" sqref="B24"/>
    </sheetView>
  </sheetViews>
  <sheetFormatPr baseColWidth="10" defaultRowHeight="16" x14ac:dyDescent="0.2"/>
  <cols>
    <col min="2" max="2" width="27.83203125" bestFit="1" customWidth="1"/>
    <col min="3" max="3" width="13.6640625" customWidth="1"/>
    <col min="4" max="8" width="10.83203125" customWidth="1"/>
    <col min="9" max="9" width="25.33203125" customWidth="1"/>
    <col min="10" max="12" width="20.6640625" customWidth="1"/>
    <col min="13" max="13" width="20.33203125" customWidth="1"/>
    <col min="14" max="14" width="59.83203125" customWidth="1"/>
    <col min="15" max="18" width="20.6640625" customWidth="1"/>
    <col min="19" max="19" width="70" customWidth="1"/>
    <col min="20" max="23" width="20.6640625" customWidth="1"/>
    <col min="24" max="24" width="58.5" bestFit="1" customWidth="1"/>
  </cols>
  <sheetData>
    <row r="1" spans="1:25" x14ac:dyDescent="0.2">
      <c r="A1" t="s">
        <v>148</v>
      </c>
      <c r="B1" t="s">
        <v>97</v>
      </c>
      <c r="C1" t="s">
        <v>99</v>
      </c>
      <c r="D1" t="s">
        <v>287</v>
      </c>
      <c r="E1" t="s">
        <v>348</v>
      </c>
      <c r="F1" t="s">
        <v>237</v>
      </c>
      <c r="G1" t="s">
        <v>315</v>
      </c>
      <c r="H1" t="s">
        <v>316</v>
      </c>
      <c r="I1" t="s">
        <v>238</v>
      </c>
      <c r="J1" t="s">
        <v>349</v>
      </c>
      <c r="K1" t="s">
        <v>265</v>
      </c>
      <c r="L1" t="s">
        <v>323</v>
      </c>
      <c r="M1" t="s">
        <v>324</v>
      </c>
      <c r="N1" t="s">
        <v>266</v>
      </c>
      <c r="O1" t="s">
        <v>350</v>
      </c>
      <c r="P1" t="s">
        <v>280</v>
      </c>
      <c r="Q1" t="s">
        <v>330</v>
      </c>
      <c r="R1" t="s">
        <v>331</v>
      </c>
      <c r="S1" t="s">
        <v>281</v>
      </c>
      <c r="T1" t="s">
        <v>351</v>
      </c>
      <c r="U1" t="s">
        <v>292</v>
      </c>
      <c r="V1" t="s">
        <v>340</v>
      </c>
      <c r="W1" t="s">
        <v>341</v>
      </c>
      <c r="X1" t="s">
        <v>293</v>
      </c>
      <c r="Y1" t="s">
        <v>106</v>
      </c>
    </row>
    <row r="2" spans="1:25" x14ac:dyDescent="0.2">
      <c r="A2" t="s">
        <v>149</v>
      </c>
      <c r="B2" t="s">
        <v>98</v>
      </c>
      <c r="C2" t="s">
        <v>101</v>
      </c>
      <c r="D2">
        <v>4000000</v>
      </c>
      <c r="E2">
        <f>3720000*0.063</f>
        <v>234360</v>
      </c>
      <c r="F2">
        <v>234200</v>
      </c>
      <c r="I2" t="s">
        <v>317</v>
      </c>
      <c r="J2">
        <f>AVERAGE(9750,17150)</f>
        <v>13450</v>
      </c>
      <c r="K2">
        <f>AVERAGE(9750,17150)</f>
        <v>13450</v>
      </c>
      <c r="L2">
        <v>9750</v>
      </c>
      <c r="M2">
        <v>17150</v>
      </c>
      <c r="N2" t="s">
        <v>347</v>
      </c>
      <c r="O2">
        <v>17000</v>
      </c>
      <c r="P2">
        <v>17000</v>
      </c>
      <c r="S2" t="s">
        <v>282</v>
      </c>
      <c r="T2">
        <v>5000</v>
      </c>
      <c r="U2">
        <v>5000</v>
      </c>
      <c r="V2">
        <v>4000</v>
      </c>
      <c r="W2">
        <v>6000</v>
      </c>
      <c r="X2" t="s">
        <v>342</v>
      </c>
      <c r="Y2" t="s">
        <v>175</v>
      </c>
    </row>
    <row r="3" spans="1:25" x14ac:dyDescent="0.2">
      <c r="A3" t="s">
        <v>150</v>
      </c>
      <c r="B3" t="s">
        <v>110</v>
      </c>
      <c r="C3" t="s">
        <v>101</v>
      </c>
      <c r="D3">
        <v>4.8000000000000001E-2</v>
      </c>
      <c r="E3">
        <v>0.22700000000000001</v>
      </c>
      <c r="F3">
        <v>0.22700000000000001</v>
      </c>
      <c r="G3">
        <v>0.17699999999999999</v>
      </c>
      <c r="H3">
        <v>0.28799999999999998</v>
      </c>
      <c r="I3" t="s">
        <v>318</v>
      </c>
      <c r="J3">
        <v>0.109</v>
      </c>
      <c r="K3">
        <v>0.1285</v>
      </c>
      <c r="L3">
        <v>0.1067</v>
      </c>
      <c r="M3">
        <v>0.15390000000000001</v>
      </c>
      <c r="N3" t="s">
        <v>325</v>
      </c>
      <c r="O3">
        <v>0.01</v>
      </c>
      <c r="P3">
        <v>0.01</v>
      </c>
      <c r="Q3">
        <v>6.0000000000000001E-3</v>
      </c>
      <c r="R3">
        <v>1.4999999999999999E-2</v>
      </c>
      <c r="S3" t="s">
        <v>334</v>
      </c>
      <c r="T3" s="1">
        <v>0.6</v>
      </c>
      <c r="U3" s="1">
        <v>0.66</v>
      </c>
      <c r="V3" s="1">
        <v>0.46</v>
      </c>
      <c r="W3" s="1">
        <v>0.87</v>
      </c>
      <c r="X3" t="s">
        <v>343</v>
      </c>
    </row>
    <row r="4" spans="1:25" x14ac:dyDescent="0.2">
      <c r="A4" t="s">
        <v>160</v>
      </c>
      <c r="B4" t="s">
        <v>104</v>
      </c>
      <c r="C4" t="s">
        <v>101</v>
      </c>
      <c r="D4">
        <v>0.7</v>
      </c>
      <c r="E4">
        <v>0.76</v>
      </c>
      <c r="F4">
        <v>0.76</v>
      </c>
      <c r="I4" t="s">
        <v>239</v>
      </c>
      <c r="J4" s="1">
        <v>0.71</v>
      </c>
      <c r="K4" s="1">
        <v>0.71</v>
      </c>
      <c r="L4" s="1"/>
      <c r="M4" s="1"/>
      <c r="N4" t="s">
        <v>278</v>
      </c>
      <c r="O4" s="1">
        <v>0.8</v>
      </c>
      <c r="P4" s="1">
        <v>0.8</v>
      </c>
      <c r="Q4" s="1"/>
      <c r="R4" s="1"/>
      <c r="S4" t="s">
        <v>289</v>
      </c>
      <c r="T4" s="1">
        <v>0.7</v>
      </c>
      <c r="U4" s="1">
        <v>0.7</v>
      </c>
      <c r="V4" s="1"/>
      <c r="W4" s="1"/>
      <c r="X4" t="s">
        <v>304</v>
      </c>
    </row>
    <row r="5" spans="1:25" x14ac:dyDescent="0.2">
      <c r="A5" t="s">
        <v>153</v>
      </c>
      <c r="B5" t="s">
        <v>130</v>
      </c>
      <c r="C5" t="s">
        <v>101</v>
      </c>
      <c r="D5" s="1">
        <v>0.75</v>
      </c>
      <c r="E5" s="1">
        <v>0.80400000000000005</v>
      </c>
      <c r="F5" s="1">
        <v>0.8</v>
      </c>
      <c r="G5" s="1"/>
      <c r="H5" s="1"/>
      <c r="I5" s="1" t="s">
        <v>240</v>
      </c>
      <c r="J5" s="1">
        <v>0.77400000000000002</v>
      </c>
      <c r="K5" s="1">
        <v>0.77400000000000002</v>
      </c>
      <c r="L5" s="1"/>
      <c r="M5" s="1"/>
      <c r="N5" s="1" t="s">
        <v>268</v>
      </c>
      <c r="O5" s="1">
        <v>0.75</v>
      </c>
      <c r="P5" s="1">
        <v>0.75</v>
      </c>
      <c r="Q5" s="1"/>
      <c r="R5" s="1"/>
      <c r="S5" s="1"/>
      <c r="T5" s="1">
        <v>0.84</v>
      </c>
      <c r="U5" s="1">
        <v>0.84</v>
      </c>
      <c r="V5" s="1"/>
      <c r="W5" s="1"/>
      <c r="X5" s="1" t="s">
        <v>294</v>
      </c>
      <c r="Y5" t="s">
        <v>142</v>
      </c>
    </row>
    <row r="6" spans="1:25" x14ac:dyDescent="0.2">
      <c r="A6" t="s">
        <v>158</v>
      </c>
      <c r="B6" t="s">
        <v>124</v>
      </c>
      <c r="C6" t="s">
        <v>102</v>
      </c>
      <c r="D6">
        <v>4</v>
      </c>
      <c r="E6">
        <v>5</v>
      </c>
      <c r="F6">
        <v>5</v>
      </c>
      <c r="I6" t="s">
        <v>241</v>
      </c>
      <c r="J6">
        <v>5</v>
      </c>
      <c r="K6">
        <v>5</v>
      </c>
      <c r="N6" t="s">
        <v>267</v>
      </c>
      <c r="O6">
        <v>5</v>
      </c>
      <c r="P6">
        <v>5</v>
      </c>
      <c r="T6">
        <v>5</v>
      </c>
      <c r="U6">
        <v>5</v>
      </c>
    </row>
    <row r="7" spans="1:25" x14ac:dyDescent="0.2">
      <c r="A7" t="s">
        <v>161</v>
      </c>
      <c r="B7" t="s">
        <v>121</v>
      </c>
      <c r="C7" t="s">
        <v>102</v>
      </c>
      <c r="D7">
        <v>10</v>
      </c>
      <c r="E7">
        <v>31.24</v>
      </c>
      <c r="F7">
        <f>E7*Sheet1!F3/Sheet1!E3</f>
        <v>32.756045402980575</v>
      </c>
      <c r="I7" t="s">
        <v>319</v>
      </c>
      <c r="K7">
        <f>K34*2</f>
        <v>42.860012210275542</v>
      </c>
      <c r="N7" t="s">
        <v>326</v>
      </c>
      <c r="O7">
        <v>1</v>
      </c>
      <c r="P7">
        <f>35/6.91</f>
        <v>5.0651230101302458</v>
      </c>
      <c r="S7" t="s">
        <v>336</v>
      </c>
      <c r="U7">
        <f>U34*2</f>
        <v>4.4400000000000004</v>
      </c>
      <c r="V7" s="5"/>
      <c r="W7" s="5"/>
      <c r="X7" t="s">
        <v>302</v>
      </c>
      <c r="Y7" t="s">
        <v>256</v>
      </c>
    </row>
    <row r="8" spans="1:25" x14ac:dyDescent="0.2">
      <c r="A8" t="s">
        <v>162</v>
      </c>
      <c r="B8" t="s">
        <v>122</v>
      </c>
      <c r="C8" t="s">
        <v>102</v>
      </c>
      <c r="D8">
        <v>30</v>
      </c>
      <c r="E8">
        <v>26.53</v>
      </c>
      <c r="F8">
        <f>E8*Sheet1!F3/Sheet1!E3</f>
        <v>27.81747389696142</v>
      </c>
      <c r="G8" s="5">
        <f>F8-1.96*(0.1*E8)</f>
        <v>22.61759389696142</v>
      </c>
      <c r="H8" s="5">
        <f>F8+1.96*(0.1*E8)</f>
        <v>33.017353896961424</v>
      </c>
      <c r="I8" t="s">
        <v>320</v>
      </c>
      <c r="J8">
        <v>78.5</v>
      </c>
      <c r="K8">
        <f>(J8+20.42)*Sheet1!$F$4/Sheet1!$E$4</f>
        <v>103.55916970787631</v>
      </c>
      <c r="N8" t="s">
        <v>327</v>
      </c>
      <c r="O8">
        <v>50</v>
      </c>
      <c r="P8">
        <f>140/6.91</f>
        <v>20.260492040520983</v>
      </c>
      <c r="S8" t="s">
        <v>337</v>
      </c>
      <c r="T8">
        <v>26</v>
      </c>
      <c r="U8">
        <v>26</v>
      </c>
      <c r="X8" t="s">
        <v>303</v>
      </c>
    </row>
    <row r="9" spans="1:25" x14ac:dyDescent="0.2">
      <c r="A9" t="s">
        <v>163</v>
      </c>
      <c r="B9" t="s">
        <v>123</v>
      </c>
      <c r="C9" t="s">
        <v>102</v>
      </c>
      <c r="D9">
        <v>200</v>
      </c>
      <c r="E9">
        <f>767-E13</f>
        <v>729</v>
      </c>
      <c r="F9">
        <f>E9*Sheet1!$F$3/Sheet1!$D$3</f>
        <v>784.36797351282996</v>
      </c>
      <c r="I9" t="s">
        <v>358</v>
      </c>
      <c r="J9">
        <v>1552</v>
      </c>
      <c r="K9">
        <f>(J9*Sheet1!$F$4/Sheet1!$E$4)-K13</f>
        <v>1501.4928019624692</v>
      </c>
      <c r="N9" t="s">
        <v>328</v>
      </c>
      <c r="O9">
        <v>2247</v>
      </c>
      <c r="P9">
        <f>AVERAGE(Q9:R9)</f>
        <v>1414.6353111432704</v>
      </c>
      <c r="Q9">
        <f>8000/6.91-P8-P13</f>
        <v>980.48191027496364</v>
      </c>
      <c r="R9">
        <f>14000/6.91-P8-P13</f>
        <v>1848.7887120115772</v>
      </c>
      <c r="S9" t="s">
        <v>335</v>
      </c>
      <c r="T9">
        <v>122</v>
      </c>
      <c r="U9" s="5">
        <f>1384.4+355.6-U8-U13</f>
        <v>1542.6</v>
      </c>
      <c r="X9" t="s">
        <v>345</v>
      </c>
    </row>
    <row r="10" spans="1:25" x14ac:dyDescent="0.2">
      <c r="A10" t="s">
        <v>159</v>
      </c>
      <c r="B10" t="s">
        <v>195</v>
      </c>
      <c r="C10" t="s">
        <v>102</v>
      </c>
      <c r="D10">
        <v>5</v>
      </c>
      <c r="E10">
        <v>0</v>
      </c>
      <c r="F10">
        <v>0</v>
      </c>
      <c r="I10" t="s">
        <v>308</v>
      </c>
      <c r="J10">
        <v>0</v>
      </c>
      <c r="K10">
        <v>0</v>
      </c>
      <c r="N10" t="s">
        <v>309</v>
      </c>
      <c r="O10">
        <v>0</v>
      </c>
      <c r="P10">
        <v>0</v>
      </c>
      <c r="S10" t="s">
        <v>310</v>
      </c>
      <c r="T10">
        <v>0</v>
      </c>
      <c r="U10">
        <v>0</v>
      </c>
      <c r="X10" t="s">
        <v>311</v>
      </c>
    </row>
    <row r="11" spans="1:25" x14ac:dyDescent="0.2">
      <c r="A11" t="s">
        <v>164</v>
      </c>
      <c r="B11" t="s">
        <v>197</v>
      </c>
      <c r="C11" t="s">
        <v>102</v>
      </c>
      <c r="D11">
        <v>2</v>
      </c>
      <c r="E11">
        <v>0</v>
      </c>
      <c r="F11">
        <v>0</v>
      </c>
      <c r="I11" t="s">
        <v>255</v>
      </c>
      <c r="J11">
        <v>0</v>
      </c>
      <c r="K11">
        <v>0</v>
      </c>
      <c r="N11" t="s">
        <v>271</v>
      </c>
      <c r="O11">
        <v>0</v>
      </c>
      <c r="P11">
        <v>0</v>
      </c>
      <c r="T11">
        <v>0</v>
      </c>
      <c r="U11">
        <v>0</v>
      </c>
    </row>
    <row r="12" spans="1:25" x14ac:dyDescent="0.2">
      <c r="A12" t="s">
        <v>165</v>
      </c>
      <c r="B12" t="s">
        <v>196</v>
      </c>
      <c r="C12" t="s">
        <v>102</v>
      </c>
      <c r="D12">
        <v>3</v>
      </c>
      <c r="E12">
        <v>0</v>
      </c>
      <c r="F12">
        <v>0</v>
      </c>
      <c r="J12">
        <v>0</v>
      </c>
      <c r="K12">
        <v>0</v>
      </c>
      <c r="O12">
        <v>0</v>
      </c>
      <c r="P12">
        <v>0</v>
      </c>
      <c r="T12">
        <v>0</v>
      </c>
      <c r="U12">
        <v>0</v>
      </c>
      <c r="Y12" t="s">
        <v>140</v>
      </c>
    </row>
    <row r="13" spans="1:25" x14ac:dyDescent="0.2">
      <c r="A13" t="s">
        <v>157</v>
      </c>
      <c r="B13" t="s">
        <v>198</v>
      </c>
      <c r="C13" t="s">
        <v>102</v>
      </c>
      <c r="D13">
        <v>10</v>
      </c>
      <c r="E13">
        <v>38</v>
      </c>
      <c r="F13">
        <f>E13*Sheet1!$F$3/Sheet1!$D$3</f>
        <v>40.886122076114589</v>
      </c>
      <c r="I13" t="s">
        <v>257</v>
      </c>
      <c r="J13">
        <v>59</v>
      </c>
      <c r="K13">
        <f>(59.29+58.48)*Sheet1!$F$4/Sheet1!$E$4</f>
        <v>123.29320073288105</v>
      </c>
      <c r="N13" t="s">
        <v>329</v>
      </c>
      <c r="O13">
        <v>0</v>
      </c>
      <c r="P13">
        <v>157</v>
      </c>
      <c r="S13" t="s">
        <v>338</v>
      </c>
      <c r="T13">
        <v>0</v>
      </c>
      <c r="U13">
        <v>171.4</v>
      </c>
      <c r="X13" t="s">
        <v>344</v>
      </c>
    </row>
    <row r="14" spans="1:25" x14ac:dyDescent="0.2">
      <c r="A14" t="s">
        <v>166</v>
      </c>
      <c r="B14" t="s">
        <v>127</v>
      </c>
      <c r="C14" t="s">
        <v>126</v>
      </c>
      <c r="D14" s="1">
        <v>0.2</v>
      </c>
      <c r="E14" s="1">
        <f>29465/E2</f>
        <v>0.12572537975763781</v>
      </c>
      <c r="F14" s="1">
        <f>29465/F2</f>
        <v>0.12581127241673784</v>
      </c>
      <c r="G14" s="1"/>
      <c r="H14" s="1"/>
      <c r="I14" s="1" t="s">
        <v>242</v>
      </c>
      <c r="J14" s="1">
        <v>0.5</v>
      </c>
      <c r="K14" s="1">
        <v>0.5</v>
      </c>
      <c r="L14" s="1"/>
      <c r="M14" s="1"/>
      <c r="N14" s="1" t="s">
        <v>274</v>
      </c>
      <c r="O14" s="1">
        <v>0.1</v>
      </c>
      <c r="P14" s="1">
        <v>0.1</v>
      </c>
      <c r="Q14" s="1"/>
      <c r="R14" s="1"/>
      <c r="S14" s="1" t="s">
        <v>290</v>
      </c>
      <c r="T14" s="1">
        <v>0.5</v>
      </c>
      <c r="U14" s="1">
        <v>0.5</v>
      </c>
      <c r="V14" s="1"/>
      <c r="W14" s="1"/>
      <c r="X14" s="1" t="s">
        <v>301</v>
      </c>
      <c r="Y14" t="s">
        <v>144</v>
      </c>
    </row>
    <row r="15" spans="1:25" x14ac:dyDescent="0.2">
      <c r="A15" t="s">
        <v>152</v>
      </c>
      <c r="B15" t="s">
        <v>128</v>
      </c>
      <c r="C15" t="s">
        <v>126</v>
      </c>
      <c r="D15" s="1">
        <v>0.1</v>
      </c>
      <c r="E15" s="1">
        <v>0.1</v>
      </c>
      <c r="F15" s="1">
        <v>0.1</v>
      </c>
      <c r="G15" s="1"/>
      <c r="H15" s="1"/>
      <c r="I15" s="1" t="s">
        <v>243</v>
      </c>
      <c r="J15" s="1">
        <v>0.1</v>
      </c>
      <c r="K15" s="1">
        <v>0.1</v>
      </c>
      <c r="L15" s="1"/>
      <c r="M15" s="1"/>
      <c r="N15" s="1" t="s">
        <v>249</v>
      </c>
      <c r="O15" s="1">
        <v>0.1</v>
      </c>
      <c r="P15" s="1">
        <v>0.1</v>
      </c>
      <c r="Q15" s="1"/>
      <c r="R15" s="1"/>
      <c r="S15" s="1"/>
      <c r="T15" s="1">
        <v>0.1</v>
      </c>
      <c r="U15" s="1">
        <v>0.1</v>
      </c>
      <c r="V15" s="1"/>
      <c r="W15" s="1"/>
      <c r="X15" s="1"/>
      <c r="Y15" t="s">
        <v>143</v>
      </c>
    </row>
    <row r="16" spans="1:25" x14ac:dyDescent="0.2">
      <c r="A16" t="s">
        <v>151</v>
      </c>
      <c r="B16" t="s">
        <v>129</v>
      </c>
      <c r="C16" t="s">
        <v>126</v>
      </c>
      <c r="D16" s="1">
        <v>0.5</v>
      </c>
      <c r="E16" s="1">
        <v>0.05</v>
      </c>
      <c r="F16" s="1">
        <v>0.05</v>
      </c>
      <c r="G16" s="1"/>
      <c r="H16" s="1"/>
      <c r="I16" s="1" t="s">
        <v>244</v>
      </c>
      <c r="J16" s="1">
        <v>0.05</v>
      </c>
      <c r="K16" s="1">
        <v>0.05</v>
      </c>
      <c r="L16" s="1"/>
      <c r="M16" s="1"/>
      <c r="N16" s="1" t="s">
        <v>273</v>
      </c>
      <c r="O16" s="1">
        <v>0.05</v>
      </c>
      <c r="P16" s="1">
        <v>0.05</v>
      </c>
      <c r="Q16" s="1"/>
      <c r="R16" s="1"/>
      <c r="S16" s="1"/>
      <c r="T16" s="1">
        <v>0.05</v>
      </c>
      <c r="U16" s="1">
        <v>0.05</v>
      </c>
      <c r="V16" s="1"/>
      <c r="W16" s="1"/>
      <c r="X16" s="1"/>
      <c r="Y16" t="s">
        <v>143</v>
      </c>
    </row>
    <row r="17" spans="1:25" x14ac:dyDescent="0.2">
      <c r="A17" t="s">
        <v>167</v>
      </c>
      <c r="B17" t="s">
        <v>131</v>
      </c>
      <c r="C17" t="s">
        <v>125</v>
      </c>
      <c r="D17" s="1">
        <v>0.9</v>
      </c>
      <c r="E17" s="1">
        <f>111322/137727</f>
        <v>0.80828014840953477</v>
      </c>
      <c r="F17" s="1">
        <f>111322/137727</f>
        <v>0.80828014840953477</v>
      </c>
      <c r="G17" s="1"/>
      <c r="H17" s="1"/>
      <c r="I17" s="1" t="s">
        <v>240</v>
      </c>
      <c r="J17" s="1">
        <v>0.99</v>
      </c>
      <c r="K17" s="1">
        <v>1</v>
      </c>
      <c r="L17" s="1"/>
      <c r="M17" s="1"/>
      <c r="N17" s="1" t="s">
        <v>276</v>
      </c>
      <c r="O17" s="1">
        <v>0.9</v>
      </c>
      <c r="P17" s="1">
        <v>0.9</v>
      </c>
      <c r="Q17" s="1"/>
      <c r="R17" s="1"/>
      <c r="S17" s="1" t="s">
        <v>291</v>
      </c>
      <c r="T17" s="1">
        <v>1</v>
      </c>
      <c r="U17" s="1">
        <v>1</v>
      </c>
      <c r="V17" s="1"/>
      <c r="W17" s="1"/>
      <c r="X17" s="1" t="s">
        <v>295</v>
      </c>
      <c r="Y17" t="s">
        <v>275</v>
      </c>
    </row>
    <row r="18" spans="1:25" x14ac:dyDescent="0.2">
      <c r="A18" t="s">
        <v>168</v>
      </c>
      <c r="B18" t="s">
        <v>132</v>
      </c>
      <c r="C18" t="s">
        <v>125</v>
      </c>
      <c r="D18" s="1">
        <v>0.9</v>
      </c>
      <c r="E18" s="1">
        <v>0.9</v>
      </c>
      <c r="F18" s="1">
        <v>0.9</v>
      </c>
      <c r="G18" s="1"/>
      <c r="H18" s="1"/>
      <c r="I18" s="1" t="s">
        <v>245</v>
      </c>
      <c r="J18" s="1">
        <v>0.92</v>
      </c>
      <c r="K18" s="1">
        <v>0.92</v>
      </c>
      <c r="L18" s="1"/>
      <c r="M18" s="1"/>
      <c r="N18" s="1"/>
      <c r="O18" s="1">
        <v>0.9</v>
      </c>
      <c r="P18" s="1">
        <v>0.9</v>
      </c>
      <c r="Q18" s="1"/>
      <c r="R18" s="1"/>
      <c r="S18" s="1"/>
      <c r="T18" s="1">
        <v>0.88700000000000001</v>
      </c>
      <c r="U18" s="1">
        <v>0.88700000000000001</v>
      </c>
      <c r="V18" s="1"/>
      <c r="W18" s="1"/>
      <c r="X18" s="1" t="s">
        <v>296</v>
      </c>
    </row>
    <row r="19" spans="1:25" x14ac:dyDescent="0.2">
      <c r="A19" t="s">
        <v>155</v>
      </c>
      <c r="B19" t="s">
        <v>133</v>
      </c>
      <c r="C19" t="s">
        <v>125</v>
      </c>
      <c r="D19" s="1">
        <v>0.9</v>
      </c>
      <c r="E19" s="1">
        <v>0.9</v>
      </c>
      <c r="F19" s="1">
        <v>0.9</v>
      </c>
      <c r="G19" s="1"/>
      <c r="H19" s="1"/>
      <c r="I19" s="1" t="s">
        <v>246</v>
      </c>
      <c r="J19" s="1">
        <v>0.92</v>
      </c>
      <c r="K19" s="1">
        <v>0.92</v>
      </c>
      <c r="L19" s="1"/>
      <c r="M19" s="1"/>
      <c r="N19" s="1" t="s">
        <v>277</v>
      </c>
      <c r="O19" s="1">
        <v>0.9</v>
      </c>
      <c r="P19" s="1">
        <v>0.9</v>
      </c>
      <c r="Q19" s="1"/>
      <c r="R19" s="1"/>
      <c r="S19" s="1"/>
      <c r="T19" s="1">
        <v>0.96</v>
      </c>
      <c r="U19" s="1">
        <v>0.96</v>
      </c>
      <c r="V19" s="1"/>
      <c r="W19" s="1"/>
      <c r="X19" s="1" t="s">
        <v>297</v>
      </c>
      <c r="Y19" t="s">
        <v>275</v>
      </c>
    </row>
    <row r="20" spans="1:25" x14ac:dyDescent="0.2">
      <c r="A20" t="s">
        <v>156</v>
      </c>
      <c r="B20" t="s">
        <v>134</v>
      </c>
      <c r="C20" t="s">
        <v>125</v>
      </c>
      <c r="D20" s="1">
        <v>0.95</v>
      </c>
      <c r="E20" s="1">
        <f>98.9%*(1-E21)</f>
        <v>0.74175000000000013</v>
      </c>
      <c r="F20" s="1">
        <f>98.9%*(1-F21)</f>
        <v>0.74175000000000013</v>
      </c>
      <c r="G20" s="1"/>
      <c r="H20" s="1"/>
      <c r="I20" s="1" t="s">
        <v>240</v>
      </c>
      <c r="J20" s="1">
        <v>0.94799999999999995</v>
      </c>
      <c r="K20" s="1">
        <v>0.94799999999999995</v>
      </c>
      <c r="L20" s="1"/>
      <c r="M20" s="1"/>
      <c r="N20" s="1"/>
      <c r="O20" s="1">
        <v>0.98399999999999999</v>
      </c>
      <c r="P20" s="1">
        <v>0.98399999999999999</v>
      </c>
      <c r="Q20" s="1"/>
      <c r="R20" s="1"/>
      <c r="S20" s="1"/>
      <c r="T20" s="1">
        <v>0.92</v>
      </c>
      <c r="U20" s="1">
        <v>0.92</v>
      </c>
      <c r="V20" s="1"/>
      <c r="W20" s="1"/>
      <c r="X20" s="1" t="s">
        <v>296</v>
      </c>
    </row>
    <row r="21" spans="1:25" x14ac:dyDescent="0.2">
      <c r="A21" t="s">
        <v>154</v>
      </c>
      <c r="B21" t="s">
        <v>135</v>
      </c>
      <c r="C21" t="s">
        <v>125</v>
      </c>
      <c r="D21" s="1">
        <v>0.02</v>
      </c>
      <c r="E21" s="1">
        <v>0.25</v>
      </c>
      <c r="F21" s="1">
        <v>0.25</v>
      </c>
      <c r="G21" s="1"/>
      <c r="H21" s="1"/>
      <c r="I21" s="1" t="s">
        <v>240</v>
      </c>
      <c r="J21" s="1">
        <v>2.5000000000000001E-4</v>
      </c>
      <c r="K21" s="1">
        <v>2.5000000000000001E-4</v>
      </c>
      <c r="L21" s="1"/>
      <c r="M21" s="1"/>
      <c r="N21" s="1"/>
      <c r="O21" s="1">
        <v>0</v>
      </c>
      <c r="P21" s="1">
        <v>0</v>
      </c>
      <c r="Q21" s="1"/>
      <c r="R21" s="1"/>
      <c r="S21" s="1"/>
      <c r="T21" s="1">
        <v>0.05</v>
      </c>
      <c r="U21" s="1">
        <v>0.05</v>
      </c>
      <c r="V21" s="1"/>
      <c r="W21" s="1"/>
      <c r="X21" s="1" t="s">
        <v>296</v>
      </c>
    </row>
    <row r="22" spans="1:25" x14ac:dyDescent="0.2">
      <c r="A22" t="s">
        <v>169</v>
      </c>
      <c r="B22" t="s">
        <v>136</v>
      </c>
      <c r="C22" t="s">
        <v>137</v>
      </c>
      <c r="D22">
        <v>0</v>
      </c>
      <c r="E22" s="1">
        <v>0</v>
      </c>
      <c r="F22" s="1">
        <v>0</v>
      </c>
      <c r="G22" s="1"/>
      <c r="H22" s="1"/>
      <c r="J22">
        <v>0</v>
      </c>
      <c r="K22">
        <v>0</v>
      </c>
      <c r="O22">
        <v>0</v>
      </c>
      <c r="P22">
        <v>0</v>
      </c>
      <c r="T22" s="1">
        <v>0</v>
      </c>
      <c r="U22" s="1">
        <v>0</v>
      </c>
      <c r="V22" s="1"/>
      <c r="W22" s="1"/>
      <c r="Y22" t="s">
        <v>138</v>
      </c>
    </row>
    <row r="23" spans="1:25" x14ac:dyDescent="0.2">
      <c r="A23" t="s">
        <v>170</v>
      </c>
      <c r="B23" t="s">
        <v>139</v>
      </c>
      <c r="C23" t="s">
        <v>126</v>
      </c>
      <c r="D23" s="1">
        <v>0</v>
      </c>
      <c r="E23" s="1">
        <v>1</v>
      </c>
      <c r="F23" s="1">
        <v>1</v>
      </c>
      <c r="G23" s="1"/>
      <c r="H23" s="1"/>
      <c r="I23" s="1"/>
      <c r="J23" s="1">
        <v>1</v>
      </c>
      <c r="K23" s="1">
        <v>1</v>
      </c>
      <c r="L23" s="1"/>
      <c r="M23" s="1"/>
      <c r="N23" s="1"/>
      <c r="O23" s="1">
        <v>1</v>
      </c>
      <c r="P23" s="1">
        <v>1</v>
      </c>
      <c r="Q23" s="1"/>
      <c r="R23" s="1"/>
      <c r="S23" s="1"/>
      <c r="T23" s="1">
        <v>1</v>
      </c>
      <c r="U23" s="1">
        <v>1</v>
      </c>
      <c r="V23" s="1"/>
      <c r="W23" s="1"/>
      <c r="X23" s="1"/>
      <c r="Y23" t="s">
        <v>146</v>
      </c>
    </row>
    <row r="24" spans="1:25" x14ac:dyDescent="0.2">
      <c r="A24" t="s">
        <v>171</v>
      </c>
      <c r="B24" t="s">
        <v>141</v>
      </c>
      <c r="C24" t="s">
        <v>126</v>
      </c>
      <c r="D24" s="1">
        <v>0.7</v>
      </c>
      <c r="E24" s="1">
        <v>0.92</v>
      </c>
      <c r="F24" s="1">
        <v>0.95</v>
      </c>
      <c r="G24" s="1"/>
      <c r="H24" s="1"/>
      <c r="I24" s="1" t="s">
        <v>247</v>
      </c>
      <c r="J24" s="1">
        <v>0.9</v>
      </c>
      <c r="K24" s="1">
        <v>0.95</v>
      </c>
      <c r="L24" s="1"/>
      <c r="M24" s="1"/>
      <c r="N24" t="s">
        <v>279</v>
      </c>
      <c r="O24" s="1">
        <v>0.96</v>
      </c>
      <c r="P24" s="1">
        <v>0.95</v>
      </c>
      <c r="Q24" s="1"/>
      <c r="R24" s="1"/>
      <c r="S24" t="s">
        <v>288</v>
      </c>
      <c r="T24" s="1">
        <v>0.46</v>
      </c>
      <c r="U24" s="1">
        <v>0.95</v>
      </c>
      <c r="V24" s="1"/>
      <c r="W24" s="1"/>
      <c r="X24" s="1" t="s">
        <v>299</v>
      </c>
      <c r="Y24" t="s">
        <v>145</v>
      </c>
    </row>
    <row r="25" spans="1:25" x14ac:dyDescent="0.2">
      <c r="A25" t="s">
        <v>172</v>
      </c>
      <c r="B25" t="s">
        <v>364</v>
      </c>
      <c r="C25" t="s">
        <v>126</v>
      </c>
      <c r="D25" s="1">
        <v>0.9</v>
      </c>
      <c r="E25" s="1">
        <v>0.98</v>
      </c>
      <c r="F25" s="1">
        <v>0.98</v>
      </c>
      <c r="G25" s="1"/>
      <c r="H25" s="1"/>
      <c r="I25" s="1" t="s">
        <v>248</v>
      </c>
      <c r="J25" s="1">
        <v>0.92</v>
      </c>
      <c r="K25" s="1">
        <v>0.97</v>
      </c>
      <c r="L25" s="1"/>
      <c r="M25" s="1"/>
      <c r="N25" s="1" t="s">
        <v>272</v>
      </c>
      <c r="O25" s="1">
        <v>0.96</v>
      </c>
      <c r="P25" s="1">
        <v>0.97</v>
      </c>
      <c r="Q25" s="1"/>
      <c r="R25" s="1"/>
      <c r="S25" s="1" t="s">
        <v>286</v>
      </c>
      <c r="T25" s="1">
        <v>0.84</v>
      </c>
      <c r="U25" s="1">
        <v>0.88</v>
      </c>
      <c r="V25" s="1"/>
      <c r="W25" s="1"/>
      <c r="X25" s="1" t="s">
        <v>298</v>
      </c>
      <c r="Y25" t="s">
        <v>147</v>
      </c>
    </row>
    <row r="26" spans="1:25" x14ac:dyDescent="0.2">
      <c r="A26" t="s">
        <v>312</v>
      </c>
      <c r="B26" t="s">
        <v>180</v>
      </c>
      <c r="C26" t="s">
        <v>125</v>
      </c>
      <c r="D26" s="1">
        <v>0.9</v>
      </c>
      <c r="E26" s="1">
        <v>0.99</v>
      </c>
      <c r="F26" s="1">
        <v>1</v>
      </c>
      <c r="G26" s="1"/>
      <c r="H26" s="1"/>
      <c r="I26" s="1" t="s">
        <v>249</v>
      </c>
      <c r="J26" s="1">
        <v>0.99</v>
      </c>
      <c r="K26" s="1">
        <v>1</v>
      </c>
      <c r="L26" s="1"/>
      <c r="M26" s="1"/>
      <c r="N26" s="1" t="s">
        <v>249</v>
      </c>
      <c r="O26" s="1">
        <v>0.99</v>
      </c>
      <c r="P26" s="1">
        <v>1</v>
      </c>
      <c r="Q26" s="1"/>
      <c r="R26" s="1"/>
      <c r="S26" s="1"/>
      <c r="T26" s="1">
        <v>0.99</v>
      </c>
      <c r="U26" s="1">
        <v>1</v>
      </c>
      <c r="V26" s="1"/>
      <c r="W26" s="1"/>
      <c r="X26" s="1"/>
      <c r="Y26" t="s">
        <v>191</v>
      </c>
    </row>
    <row r="27" spans="1:25" ht="16" customHeight="1" x14ac:dyDescent="0.2">
      <c r="A27" t="s">
        <v>174</v>
      </c>
      <c r="B27" t="s">
        <v>269</v>
      </c>
      <c r="C27" t="s">
        <v>102</v>
      </c>
      <c r="D27" s="4">
        <v>0</v>
      </c>
      <c r="E27" s="4">
        <v>0</v>
      </c>
      <c r="F27" s="4">
        <v>3</v>
      </c>
      <c r="G27" s="4"/>
      <c r="H27" s="4"/>
      <c r="I27" s="4" t="s">
        <v>332</v>
      </c>
      <c r="J27" s="4">
        <v>14.12</v>
      </c>
      <c r="K27" s="4">
        <f>J27*Sheet1!F4/Sheet1!D4</f>
        <v>15.475461206654222</v>
      </c>
      <c r="L27" s="4"/>
      <c r="M27" s="4"/>
      <c r="N27" s="7" t="s">
        <v>333</v>
      </c>
      <c r="O27" s="5">
        <v>0.18</v>
      </c>
      <c r="P27" s="5">
        <f>11686/4781*Sheet1!F2/Sheet1!E2</f>
        <v>2.5151233414560719</v>
      </c>
      <c r="Q27" s="5"/>
      <c r="R27" s="5"/>
      <c r="S27" s="1" t="s">
        <v>339</v>
      </c>
      <c r="T27" s="5">
        <v>1</v>
      </c>
      <c r="U27" s="5">
        <v>10</v>
      </c>
      <c r="V27" s="5"/>
      <c r="W27" s="5"/>
      <c r="X27" s="1" t="s">
        <v>346</v>
      </c>
    </row>
    <row r="28" spans="1:25" x14ac:dyDescent="0.2">
      <c r="A28" t="s">
        <v>228</v>
      </c>
      <c r="B28" t="s">
        <v>234</v>
      </c>
      <c r="C28" t="s">
        <v>125</v>
      </c>
      <c r="D28" s="1">
        <v>0.9</v>
      </c>
      <c r="E28" s="1">
        <v>0.7</v>
      </c>
      <c r="F28" s="1">
        <v>0.65</v>
      </c>
      <c r="G28" s="1"/>
      <c r="H28" s="1"/>
      <c r="I28" s="1"/>
      <c r="J28" s="1">
        <v>0.8</v>
      </c>
      <c r="K28" s="1">
        <v>0.8</v>
      </c>
      <c r="L28" s="1"/>
      <c r="M28" s="1"/>
      <c r="N28" s="1" t="s">
        <v>270</v>
      </c>
      <c r="O28" s="1">
        <f>4633/4781</f>
        <v>0.96904413302656345</v>
      </c>
      <c r="P28" s="1">
        <v>0.65</v>
      </c>
      <c r="Q28" s="1"/>
      <c r="R28" s="1"/>
      <c r="S28" s="1" t="s">
        <v>283</v>
      </c>
      <c r="T28" s="1">
        <v>0.9</v>
      </c>
      <c r="U28" s="1">
        <v>0.8</v>
      </c>
      <c r="V28" s="1"/>
      <c r="W28" s="1"/>
      <c r="X28" s="1"/>
    </row>
    <row r="29" spans="1:25" x14ac:dyDescent="0.2">
      <c r="A29" t="s">
        <v>230</v>
      </c>
      <c r="B29" t="s">
        <v>235</v>
      </c>
      <c r="C29" t="s">
        <v>125</v>
      </c>
      <c r="D29" s="1">
        <v>0.05</v>
      </c>
      <c r="E29" s="1">
        <v>0.05</v>
      </c>
      <c r="F29" s="1">
        <v>0.05</v>
      </c>
      <c r="G29" s="1"/>
      <c r="H29" s="1"/>
      <c r="I29" s="1"/>
      <c r="J29" s="1">
        <v>0.8</v>
      </c>
      <c r="K29" s="1">
        <v>0.05</v>
      </c>
      <c r="L29" s="1"/>
      <c r="M29" s="1"/>
      <c r="N29" s="1"/>
      <c r="O29" s="1">
        <f t="shared" ref="O29:O30" si="0">4633/4781</f>
        <v>0.96904413302656345</v>
      </c>
      <c r="P29" s="1">
        <v>0.05</v>
      </c>
      <c r="Q29" s="1"/>
      <c r="R29" s="1"/>
      <c r="S29" s="1" t="s">
        <v>284</v>
      </c>
      <c r="T29" s="1">
        <v>0.05</v>
      </c>
      <c r="U29" s="1">
        <v>0.05</v>
      </c>
      <c r="V29" s="1"/>
      <c r="W29" s="1"/>
      <c r="X29" s="1"/>
    </row>
    <row r="30" spans="1:25" x14ac:dyDescent="0.2">
      <c r="A30" t="s">
        <v>232</v>
      </c>
      <c r="B30" t="s">
        <v>236</v>
      </c>
      <c r="C30" t="s">
        <v>125</v>
      </c>
      <c r="D30" s="1">
        <v>0.5</v>
      </c>
      <c r="E30" s="1">
        <v>0.7</v>
      </c>
      <c r="F30" s="1">
        <v>0.65</v>
      </c>
      <c r="G30" s="1"/>
      <c r="H30" s="1"/>
      <c r="I30" s="1"/>
      <c r="J30" s="1">
        <v>0.8</v>
      </c>
      <c r="K30" s="1">
        <v>0.8</v>
      </c>
      <c r="L30" s="1"/>
      <c r="M30" s="1"/>
      <c r="N30" s="1"/>
      <c r="O30" s="1">
        <f t="shared" si="0"/>
        <v>0.96904413302656345</v>
      </c>
      <c r="P30" s="1">
        <v>0.65</v>
      </c>
      <c r="Q30" s="1"/>
      <c r="R30" s="1"/>
      <c r="S30" s="1" t="s">
        <v>285</v>
      </c>
      <c r="T30" s="1">
        <v>0.5</v>
      </c>
      <c r="U30" s="1">
        <v>0.8</v>
      </c>
      <c r="V30" s="1"/>
      <c r="W30" s="1"/>
      <c r="X30" s="1" t="s">
        <v>300</v>
      </c>
    </row>
    <row r="31" spans="1:25" x14ac:dyDescent="0.2">
      <c r="A31" t="s">
        <v>313</v>
      </c>
      <c r="B31" t="s">
        <v>314</v>
      </c>
      <c r="C31" t="s">
        <v>102</v>
      </c>
      <c r="D31" s="1">
        <v>0.3</v>
      </c>
      <c r="E31">
        <v>26.53</v>
      </c>
      <c r="F31">
        <f>E31*Sheet1!F3/Sheet1!E3</f>
        <v>27.81747389696142</v>
      </c>
      <c r="G31" s="5">
        <f>F31-1.96*(0.1*E31)</f>
        <v>22.61759389696142</v>
      </c>
      <c r="H31" s="5">
        <f>F31+1.96*(0.1*E31)</f>
        <v>33.017353896961424</v>
      </c>
      <c r="J31">
        <v>78.5</v>
      </c>
      <c r="K31">
        <f>K8</f>
        <v>103.55916970787631</v>
      </c>
      <c r="O31">
        <v>50</v>
      </c>
      <c r="P31">
        <f>P8</f>
        <v>20.260492040520983</v>
      </c>
      <c r="T31">
        <v>26</v>
      </c>
      <c r="U31">
        <v>26</v>
      </c>
    </row>
    <row r="32" spans="1:25" x14ac:dyDescent="0.2">
      <c r="A32" t="s">
        <v>352</v>
      </c>
      <c r="B32" t="s">
        <v>353</v>
      </c>
      <c r="C32" t="s">
        <v>126</v>
      </c>
      <c r="F32" s="8">
        <v>0.98</v>
      </c>
      <c r="G32">
        <v>0.97</v>
      </c>
      <c r="H32">
        <v>0.99</v>
      </c>
      <c r="K32" s="8">
        <v>0.98</v>
      </c>
      <c r="P32" s="8">
        <v>0.98</v>
      </c>
      <c r="U32" s="8">
        <v>0.98</v>
      </c>
    </row>
    <row r="33" spans="1:21" x14ac:dyDescent="0.2">
      <c r="A33" t="s">
        <v>354</v>
      </c>
      <c r="B33" t="s">
        <v>355</v>
      </c>
      <c r="C33" t="s">
        <v>126</v>
      </c>
      <c r="F33" s="8">
        <v>1</v>
      </c>
      <c r="G33">
        <v>0.9</v>
      </c>
      <c r="H33">
        <v>1</v>
      </c>
      <c r="K33" s="8">
        <v>1</v>
      </c>
      <c r="P33" s="8">
        <v>1</v>
      </c>
      <c r="U33" s="8">
        <v>1</v>
      </c>
    </row>
    <row r="34" spans="1:21" x14ac:dyDescent="0.2">
      <c r="A34" t="s">
        <v>356</v>
      </c>
      <c r="B34" t="s">
        <v>357</v>
      </c>
      <c r="E34">
        <v>2.66</v>
      </c>
      <c r="F34">
        <f>E34*Sheet1!F3/Sheet1!E3</f>
        <v>2.78908709257133</v>
      </c>
      <c r="G34">
        <f>1.67*Sheet1!F3/Sheet1!E3</f>
        <v>1.7510434002233535</v>
      </c>
      <c r="H34">
        <f>4.08*Sheet1!F3/Sheet1!E3</f>
        <v>4.277998247252266</v>
      </c>
      <c r="J34">
        <v>14.55</v>
      </c>
      <c r="K34">
        <f>(J34+5.92)*Sheet1!$F$4/Sheet1!$E$4</f>
        <v>21.430006105137771</v>
      </c>
      <c r="P34">
        <f>6/6.91</f>
        <v>0.86830680173661356</v>
      </c>
      <c r="T34" s="5">
        <v>2.2200000000000002</v>
      </c>
      <c r="U34" s="5">
        <v>2.2200000000000002</v>
      </c>
    </row>
    <row r="35" spans="1:21" x14ac:dyDescent="0.2">
      <c r="A35" t="s">
        <v>359</v>
      </c>
      <c r="B35" t="s">
        <v>361</v>
      </c>
      <c r="F35">
        <v>1</v>
      </c>
      <c r="K35">
        <v>1</v>
      </c>
      <c r="P35">
        <v>1</v>
      </c>
      <c r="U35" s="8">
        <v>1</v>
      </c>
    </row>
    <row r="36" spans="1:21" x14ac:dyDescent="0.2">
      <c r="A36" t="s">
        <v>360</v>
      </c>
      <c r="B36" t="s">
        <v>362</v>
      </c>
      <c r="F36">
        <v>1</v>
      </c>
      <c r="K36">
        <v>1</v>
      </c>
      <c r="P36">
        <v>1</v>
      </c>
      <c r="U3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1F68-A115-1B46-B2E0-B5D7701E800A}">
  <dimension ref="A1:G5"/>
  <sheetViews>
    <sheetView workbookViewId="0">
      <selection activeCell="F22" sqref="F22"/>
    </sheetView>
  </sheetViews>
  <sheetFormatPr baseColWidth="10" defaultRowHeight="16" x14ac:dyDescent="0.2"/>
  <sheetData>
    <row r="1" spans="1:7" x14ac:dyDescent="0.2">
      <c r="A1" t="s">
        <v>321</v>
      </c>
      <c r="B1">
        <v>2015</v>
      </c>
      <c r="C1">
        <v>2016</v>
      </c>
      <c r="D1">
        <v>2017</v>
      </c>
      <c r="E1">
        <v>2018</v>
      </c>
      <c r="F1">
        <v>2019</v>
      </c>
    </row>
    <row r="2" spans="1:7" x14ac:dyDescent="0.2">
      <c r="A2" t="s">
        <v>280</v>
      </c>
      <c r="B2">
        <v>114.92212455459099</v>
      </c>
      <c r="C2">
        <v>117.220567045682</v>
      </c>
      <c r="D2">
        <v>119.088051569694</v>
      </c>
      <c r="E2">
        <v>121.558877247618</v>
      </c>
      <c r="F2">
        <v>125.083155733959</v>
      </c>
    </row>
    <row r="3" spans="1:7" x14ac:dyDescent="0.2">
      <c r="A3" t="s">
        <v>237</v>
      </c>
      <c r="B3">
        <v>114.664725</v>
      </c>
      <c r="C3">
        <v>117.112733333333</v>
      </c>
      <c r="D3">
        <v>124.18085833333301</v>
      </c>
      <c r="E3">
        <v>127.428491666667</v>
      </c>
      <c r="F3">
        <v>133.61246666666699</v>
      </c>
    </row>
    <row r="4" spans="1:7" x14ac:dyDescent="0.2">
      <c r="A4" t="s">
        <v>265</v>
      </c>
      <c r="B4">
        <v>150.18963879765201</v>
      </c>
      <c r="C4">
        <v>159.647316938312</v>
      </c>
      <c r="D4">
        <v>172.42823857621599</v>
      </c>
      <c r="E4">
        <v>180.514812183022</v>
      </c>
      <c r="F4" s="6">
        <f>E4/D4*E4</f>
        <v>188.98063151685196</v>
      </c>
      <c r="G4" t="s">
        <v>322</v>
      </c>
    </row>
    <row r="5" spans="1:7" x14ac:dyDescent="0.2">
      <c r="A5" t="s">
        <v>292</v>
      </c>
      <c r="B5">
        <v>144.55037019428801</v>
      </c>
      <c r="C5">
        <v>148.40733280127799</v>
      </c>
      <c r="D5">
        <v>153.63165215668499</v>
      </c>
      <c r="E5">
        <v>159.06964122458299</v>
      </c>
      <c r="F5">
        <v>163.516947912918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F24D-5226-E34A-88F5-702AF231CD7B}">
  <dimension ref="A1:J67"/>
  <sheetViews>
    <sheetView tabSelected="1" topLeftCell="F28" workbookViewId="0">
      <selection activeCell="H39" sqref="H39"/>
    </sheetView>
  </sheetViews>
  <sheetFormatPr baseColWidth="10" defaultRowHeight="16" x14ac:dyDescent="0.2"/>
  <cols>
    <col min="1" max="1" width="29.6640625" customWidth="1"/>
    <col min="3" max="3" width="29.6640625" customWidth="1"/>
    <col min="5" max="5" width="10.83203125" customWidth="1"/>
    <col min="6" max="6" width="13.6640625" customWidth="1"/>
    <col min="7" max="7" width="30.83203125" customWidth="1"/>
    <col min="8" max="8" width="60.6640625" customWidth="1"/>
    <col min="9" max="9" width="25.33203125" customWidth="1"/>
    <col min="10" max="10" width="32.5" customWidth="1"/>
  </cols>
  <sheetData>
    <row r="1" spans="1:10" x14ac:dyDescent="0.2">
      <c r="A1" t="s">
        <v>2</v>
      </c>
      <c r="B1" t="s">
        <v>0</v>
      </c>
      <c r="C1" t="s">
        <v>37</v>
      </c>
      <c r="D1" t="s">
        <v>1</v>
      </c>
      <c r="E1" t="s">
        <v>102</v>
      </c>
      <c r="F1" t="s">
        <v>99</v>
      </c>
      <c r="G1" t="s">
        <v>97</v>
      </c>
      <c r="H1" t="s">
        <v>363</v>
      </c>
      <c r="I1" t="s">
        <v>103</v>
      </c>
      <c r="J1" t="s">
        <v>106</v>
      </c>
    </row>
    <row r="2" spans="1:10" x14ac:dyDescent="0.2">
      <c r="A2" t="s">
        <v>96</v>
      </c>
      <c r="B2">
        <v>1</v>
      </c>
      <c r="C2" t="s">
        <v>4</v>
      </c>
      <c r="D2">
        <v>2</v>
      </c>
      <c r="E2" t="s">
        <v>161</v>
      </c>
      <c r="F2" t="s">
        <v>100</v>
      </c>
      <c r="G2" t="s">
        <v>305</v>
      </c>
      <c r="I2" s="1">
        <v>0.2</v>
      </c>
      <c r="J2" t="s">
        <v>107</v>
      </c>
    </row>
    <row r="3" spans="1:10" x14ac:dyDescent="0.2">
      <c r="A3" t="s">
        <v>96</v>
      </c>
      <c r="B3">
        <v>1</v>
      </c>
      <c r="C3" t="s">
        <v>38</v>
      </c>
      <c r="D3">
        <v>17</v>
      </c>
      <c r="E3">
        <v>0</v>
      </c>
      <c r="F3" t="s">
        <v>100</v>
      </c>
      <c r="G3" t="s">
        <v>306</v>
      </c>
      <c r="I3" s="1">
        <v>0.7</v>
      </c>
      <c r="J3" t="s">
        <v>108</v>
      </c>
    </row>
    <row r="4" spans="1:10" x14ac:dyDescent="0.2">
      <c r="A4" t="s">
        <v>96</v>
      </c>
      <c r="B4">
        <v>1</v>
      </c>
      <c r="C4" t="s">
        <v>259</v>
      </c>
      <c r="D4">
        <v>20</v>
      </c>
      <c r="E4" t="s">
        <v>158</v>
      </c>
      <c r="F4" t="s">
        <v>100</v>
      </c>
      <c r="G4" t="s">
        <v>307</v>
      </c>
      <c r="I4" s="1">
        <v>0.1</v>
      </c>
    </row>
    <row r="5" spans="1:10" x14ac:dyDescent="0.2">
      <c r="A5" t="s">
        <v>4</v>
      </c>
      <c r="B5">
        <v>2</v>
      </c>
      <c r="C5" t="s">
        <v>5</v>
      </c>
      <c r="D5">
        <v>3</v>
      </c>
      <c r="E5" t="s">
        <v>165</v>
      </c>
      <c r="F5" t="s">
        <v>100</v>
      </c>
      <c r="G5" s="9" t="s">
        <v>150</v>
      </c>
      <c r="H5" t="s">
        <v>367</v>
      </c>
      <c r="I5" t="s">
        <v>105</v>
      </c>
    </row>
    <row r="6" spans="1:10" x14ac:dyDescent="0.2">
      <c r="A6" t="s">
        <v>4</v>
      </c>
      <c r="B6">
        <v>2</v>
      </c>
      <c r="C6" t="s">
        <v>10</v>
      </c>
      <c r="D6">
        <v>15</v>
      </c>
      <c r="E6" t="s">
        <v>164</v>
      </c>
      <c r="F6" t="s">
        <v>100</v>
      </c>
      <c r="G6" s="9" t="s">
        <v>187</v>
      </c>
      <c r="H6" t="s">
        <v>369</v>
      </c>
      <c r="I6" t="s">
        <v>109</v>
      </c>
    </row>
    <row r="7" spans="1:10" x14ac:dyDescent="0.2">
      <c r="A7" t="s">
        <v>5</v>
      </c>
      <c r="B7">
        <v>3</v>
      </c>
      <c r="C7" t="s">
        <v>6</v>
      </c>
      <c r="D7">
        <v>4</v>
      </c>
      <c r="E7" t="s">
        <v>162</v>
      </c>
      <c r="F7" t="s">
        <v>100</v>
      </c>
      <c r="G7" t="s">
        <v>167</v>
      </c>
      <c r="I7" s="1">
        <v>0.9</v>
      </c>
      <c r="J7" t="s">
        <v>111</v>
      </c>
    </row>
    <row r="8" spans="1:10" x14ac:dyDescent="0.2">
      <c r="A8" t="s">
        <v>5</v>
      </c>
      <c r="B8">
        <v>3</v>
      </c>
      <c r="C8" t="s">
        <v>39</v>
      </c>
      <c r="D8">
        <v>14</v>
      </c>
      <c r="E8">
        <v>0</v>
      </c>
      <c r="F8" t="s">
        <v>100</v>
      </c>
      <c r="G8" t="s">
        <v>182</v>
      </c>
      <c r="I8" t="s">
        <v>109</v>
      </c>
    </row>
    <row r="9" spans="1:10" x14ac:dyDescent="0.2">
      <c r="A9" t="s">
        <v>6</v>
      </c>
      <c r="B9">
        <v>4</v>
      </c>
      <c r="C9" t="s">
        <v>7</v>
      </c>
      <c r="D9">
        <v>5</v>
      </c>
      <c r="E9" t="s">
        <v>165</v>
      </c>
      <c r="F9" t="s">
        <v>100</v>
      </c>
      <c r="G9" s="9" t="s">
        <v>153</v>
      </c>
      <c r="H9" t="s">
        <v>373</v>
      </c>
      <c r="I9" s="1">
        <v>0.75</v>
      </c>
      <c r="J9" t="s">
        <v>112</v>
      </c>
    </row>
    <row r="10" spans="1:10" x14ac:dyDescent="0.2">
      <c r="A10" t="s">
        <v>6</v>
      </c>
      <c r="B10">
        <v>4</v>
      </c>
      <c r="C10" t="s">
        <v>40</v>
      </c>
      <c r="D10">
        <v>13</v>
      </c>
      <c r="E10" t="s">
        <v>164</v>
      </c>
      <c r="F10" t="s">
        <v>100</v>
      </c>
      <c r="G10" s="9" t="s">
        <v>183</v>
      </c>
      <c r="H10" t="s">
        <v>374</v>
      </c>
      <c r="I10" t="s">
        <v>109</v>
      </c>
    </row>
    <row r="11" spans="1:10" x14ac:dyDescent="0.2">
      <c r="A11" t="s">
        <v>7</v>
      </c>
      <c r="B11">
        <v>5</v>
      </c>
      <c r="C11" t="s">
        <v>8</v>
      </c>
      <c r="D11">
        <v>6</v>
      </c>
      <c r="E11" t="s">
        <v>157</v>
      </c>
      <c r="F11" t="s">
        <v>100</v>
      </c>
      <c r="G11" t="s">
        <v>168</v>
      </c>
      <c r="I11" s="1">
        <v>0.9</v>
      </c>
      <c r="J11" t="s">
        <v>111</v>
      </c>
    </row>
    <row r="12" spans="1:10" x14ac:dyDescent="0.2">
      <c r="A12" t="s">
        <v>7</v>
      </c>
      <c r="B12">
        <v>5</v>
      </c>
      <c r="C12" t="s">
        <v>41</v>
      </c>
      <c r="D12">
        <v>12</v>
      </c>
      <c r="E12">
        <v>0</v>
      </c>
      <c r="F12" t="s">
        <v>100</v>
      </c>
      <c r="G12" t="s">
        <v>184</v>
      </c>
      <c r="I12" t="s">
        <v>109</v>
      </c>
    </row>
    <row r="13" spans="1:10" x14ac:dyDescent="0.2">
      <c r="A13" t="s">
        <v>8</v>
      </c>
      <c r="B13">
        <v>6</v>
      </c>
      <c r="C13" t="s">
        <v>9</v>
      </c>
      <c r="D13">
        <v>7</v>
      </c>
      <c r="E13" t="s">
        <v>163</v>
      </c>
      <c r="F13" t="s">
        <v>100</v>
      </c>
      <c r="G13" t="s">
        <v>155</v>
      </c>
      <c r="I13" s="1">
        <v>0.9</v>
      </c>
      <c r="J13" t="s">
        <v>111</v>
      </c>
    </row>
    <row r="14" spans="1:10" x14ac:dyDescent="0.2">
      <c r="A14" t="s">
        <v>8</v>
      </c>
      <c r="B14">
        <v>6</v>
      </c>
      <c r="C14" t="s">
        <v>42</v>
      </c>
      <c r="D14">
        <v>11</v>
      </c>
      <c r="E14">
        <v>0</v>
      </c>
      <c r="F14" t="s">
        <v>100</v>
      </c>
      <c r="G14" t="s">
        <v>185</v>
      </c>
      <c r="I14" t="s">
        <v>109</v>
      </c>
    </row>
    <row r="15" spans="1:10" x14ac:dyDescent="0.2">
      <c r="A15" t="s">
        <v>9</v>
      </c>
      <c r="B15">
        <v>7</v>
      </c>
      <c r="C15" t="s">
        <v>43</v>
      </c>
      <c r="D15">
        <v>8</v>
      </c>
      <c r="E15" t="s">
        <v>162</v>
      </c>
      <c r="F15" t="s">
        <v>100</v>
      </c>
      <c r="G15" t="s">
        <v>156</v>
      </c>
      <c r="I15" s="1">
        <v>0.95</v>
      </c>
    </row>
    <row r="16" spans="1:10" x14ac:dyDescent="0.2">
      <c r="A16" t="s">
        <v>9</v>
      </c>
      <c r="B16">
        <v>7</v>
      </c>
      <c r="C16" t="s">
        <v>44</v>
      </c>
      <c r="D16">
        <v>9</v>
      </c>
      <c r="E16" t="s">
        <v>162</v>
      </c>
      <c r="F16" t="s">
        <v>100</v>
      </c>
      <c r="G16" t="s">
        <v>186</v>
      </c>
      <c r="I16" s="1">
        <v>0.03</v>
      </c>
      <c r="J16" t="s">
        <v>111</v>
      </c>
    </row>
    <row r="17" spans="1:10" x14ac:dyDescent="0.2">
      <c r="A17" t="s">
        <v>9</v>
      </c>
      <c r="B17">
        <v>7</v>
      </c>
      <c r="C17" t="s">
        <v>45</v>
      </c>
      <c r="D17">
        <v>10</v>
      </c>
      <c r="E17">
        <v>0</v>
      </c>
      <c r="F17" t="s">
        <v>100</v>
      </c>
      <c r="G17" t="s">
        <v>154</v>
      </c>
      <c r="I17" t="s">
        <v>113</v>
      </c>
      <c r="J17" t="s">
        <v>114</v>
      </c>
    </row>
    <row r="18" spans="1:10" x14ac:dyDescent="0.2">
      <c r="A18" t="s">
        <v>10</v>
      </c>
      <c r="B18">
        <v>15</v>
      </c>
      <c r="C18" t="s">
        <v>46</v>
      </c>
      <c r="D18">
        <v>16</v>
      </c>
      <c r="E18">
        <v>0</v>
      </c>
      <c r="F18" t="s">
        <v>100</v>
      </c>
      <c r="G18" t="s">
        <v>169</v>
      </c>
      <c r="I18" s="1">
        <v>0</v>
      </c>
      <c r="J18" t="s">
        <v>115</v>
      </c>
    </row>
    <row r="19" spans="1:10" x14ac:dyDescent="0.2">
      <c r="A19" t="s">
        <v>259</v>
      </c>
      <c r="B19">
        <v>20</v>
      </c>
      <c r="C19" t="s">
        <v>47</v>
      </c>
      <c r="D19">
        <v>19</v>
      </c>
      <c r="E19">
        <v>0</v>
      </c>
      <c r="F19" t="s">
        <v>100</v>
      </c>
      <c r="G19" s="9" t="s">
        <v>264</v>
      </c>
      <c r="H19" t="s">
        <v>264</v>
      </c>
    </row>
    <row r="20" spans="1:10" x14ac:dyDescent="0.2">
      <c r="A20" t="s">
        <v>259</v>
      </c>
      <c r="B20">
        <v>20</v>
      </c>
      <c r="C20" t="s">
        <v>48</v>
      </c>
      <c r="D20">
        <v>21</v>
      </c>
      <c r="E20" t="s">
        <v>253</v>
      </c>
      <c r="F20" t="s">
        <v>100</v>
      </c>
      <c r="G20" s="9" t="s">
        <v>252</v>
      </c>
      <c r="H20" t="s">
        <v>370</v>
      </c>
      <c r="I20" s="1" t="s">
        <v>260</v>
      </c>
      <c r="J20" t="s">
        <v>179</v>
      </c>
    </row>
    <row r="21" spans="1:10" x14ac:dyDescent="0.2">
      <c r="A21" t="s">
        <v>259</v>
      </c>
      <c r="B21">
        <v>20</v>
      </c>
      <c r="C21" t="s">
        <v>49</v>
      </c>
      <c r="D21">
        <v>33</v>
      </c>
      <c r="E21" t="s">
        <v>159</v>
      </c>
      <c r="F21" t="s">
        <v>100</v>
      </c>
      <c r="G21" s="9" t="s">
        <v>251</v>
      </c>
      <c r="H21" t="s">
        <v>371</v>
      </c>
      <c r="I21" s="1" t="s">
        <v>261</v>
      </c>
    </row>
    <row r="22" spans="1:10" x14ac:dyDescent="0.2">
      <c r="A22" t="s">
        <v>259</v>
      </c>
      <c r="B22">
        <v>20</v>
      </c>
      <c r="C22" t="s">
        <v>50</v>
      </c>
      <c r="D22">
        <v>50</v>
      </c>
      <c r="E22" t="s">
        <v>254</v>
      </c>
      <c r="F22" t="s">
        <v>100</v>
      </c>
      <c r="G22" s="9" t="s">
        <v>250</v>
      </c>
      <c r="H22" t="s">
        <v>372</v>
      </c>
      <c r="I22" s="1" t="s">
        <v>262</v>
      </c>
    </row>
    <row r="23" spans="1:10" x14ac:dyDescent="0.2">
      <c r="A23" t="s">
        <v>259</v>
      </c>
      <c r="B23">
        <v>20</v>
      </c>
      <c r="C23" t="s">
        <v>51</v>
      </c>
      <c r="D23">
        <v>52</v>
      </c>
      <c r="E23" t="s">
        <v>159</v>
      </c>
      <c r="F23" t="s">
        <v>100</v>
      </c>
      <c r="G23" s="9" t="s">
        <v>258</v>
      </c>
      <c r="H23" t="s">
        <v>258</v>
      </c>
      <c r="I23" s="1" t="s">
        <v>263</v>
      </c>
      <c r="J23" t="s">
        <v>116</v>
      </c>
    </row>
    <row r="24" spans="1:10" x14ac:dyDescent="0.2">
      <c r="A24" t="s">
        <v>48</v>
      </c>
      <c r="B24">
        <v>21</v>
      </c>
      <c r="C24" t="s">
        <v>52</v>
      </c>
      <c r="D24">
        <v>22</v>
      </c>
      <c r="E24">
        <v>0</v>
      </c>
      <c r="F24" t="s">
        <v>100</v>
      </c>
      <c r="G24" s="9" t="s">
        <v>366</v>
      </c>
      <c r="H24" t="s">
        <v>365</v>
      </c>
      <c r="I24" s="1">
        <v>0.1</v>
      </c>
    </row>
    <row r="25" spans="1:10" x14ac:dyDescent="0.2">
      <c r="A25" t="s">
        <v>48</v>
      </c>
      <c r="B25">
        <v>21</v>
      </c>
      <c r="C25" t="s">
        <v>53</v>
      </c>
      <c r="D25">
        <v>23</v>
      </c>
      <c r="E25" t="s">
        <v>162</v>
      </c>
      <c r="F25" t="s">
        <v>100</v>
      </c>
      <c r="G25" s="9" t="s">
        <v>167</v>
      </c>
      <c r="H25" t="s">
        <v>312</v>
      </c>
      <c r="I25" s="1">
        <v>0.9</v>
      </c>
      <c r="J25" t="s">
        <v>116</v>
      </c>
    </row>
    <row r="26" spans="1:10" x14ac:dyDescent="0.2">
      <c r="A26" t="s">
        <v>53</v>
      </c>
      <c r="B26">
        <v>23</v>
      </c>
      <c r="C26" t="s">
        <v>54</v>
      </c>
      <c r="D26">
        <v>24</v>
      </c>
      <c r="E26" t="s">
        <v>165</v>
      </c>
      <c r="F26" t="s">
        <v>100</v>
      </c>
      <c r="G26" s="9" t="s">
        <v>153</v>
      </c>
      <c r="H26" t="s">
        <v>375</v>
      </c>
      <c r="I26" s="1">
        <v>0.75</v>
      </c>
      <c r="J26" t="s">
        <v>117</v>
      </c>
    </row>
    <row r="27" spans="1:10" x14ac:dyDescent="0.2">
      <c r="A27" t="s">
        <v>53</v>
      </c>
      <c r="B27">
        <v>23</v>
      </c>
      <c r="C27" t="s">
        <v>55</v>
      </c>
      <c r="D27">
        <v>32</v>
      </c>
      <c r="E27" t="s">
        <v>164</v>
      </c>
      <c r="F27" t="s">
        <v>100</v>
      </c>
      <c r="G27" s="9" t="s">
        <v>183</v>
      </c>
      <c r="H27" t="s">
        <v>376</v>
      </c>
      <c r="I27" t="s">
        <v>109</v>
      </c>
    </row>
    <row r="28" spans="1:10" x14ac:dyDescent="0.2">
      <c r="A28" t="s">
        <v>54</v>
      </c>
      <c r="B28">
        <v>24</v>
      </c>
      <c r="C28" t="s">
        <v>56</v>
      </c>
      <c r="D28">
        <v>25</v>
      </c>
      <c r="E28" t="s">
        <v>157</v>
      </c>
      <c r="F28" t="s">
        <v>100</v>
      </c>
      <c r="G28" t="s">
        <v>168</v>
      </c>
      <c r="I28" s="1">
        <v>0.9</v>
      </c>
      <c r="J28" t="s">
        <v>111</v>
      </c>
    </row>
    <row r="29" spans="1:10" x14ac:dyDescent="0.2">
      <c r="A29" t="s">
        <v>54</v>
      </c>
      <c r="B29">
        <v>24</v>
      </c>
      <c r="C29" t="s">
        <v>57</v>
      </c>
      <c r="D29">
        <v>31</v>
      </c>
      <c r="E29">
        <v>0</v>
      </c>
      <c r="F29" t="s">
        <v>100</v>
      </c>
      <c r="G29" t="s">
        <v>184</v>
      </c>
      <c r="I29" t="s">
        <v>109</v>
      </c>
    </row>
    <row r="30" spans="1:10" x14ac:dyDescent="0.2">
      <c r="A30" t="s">
        <v>56</v>
      </c>
      <c r="B30">
        <v>25</v>
      </c>
      <c r="C30" t="s">
        <v>58</v>
      </c>
      <c r="D30">
        <v>26</v>
      </c>
      <c r="E30" t="s">
        <v>163</v>
      </c>
      <c r="F30" t="s">
        <v>100</v>
      </c>
      <c r="G30" t="s">
        <v>155</v>
      </c>
      <c r="I30" s="1">
        <v>0.9</v>
      </c>
      <c r="J30" t="s">
        <v>111</v>
      </c>
    </row>
    <row r="31" spans="1:10" x14ac:dyDescent="0.2">
      <c r="A31" t="s">
        <v>56</v>
      </c>
      <c r="B31">
        <v>25</v>
      </c>
      <c r="C31" t="s">
        <v>59</v>
      </c>
      <c r="D31">
        <v>30</v>
      </c>
      <c r="E31">
        <v>0</v>
      </c>
      <c r="F31" t="s">
        <v>100</v>
      </c>
      <c r="G31" t="s">
        <v>185</v>
      </c>
      <c r="I31" t="s">
        <v>109</v>
      </c>
    </row>
    <row r="32" spans="1:10" x14ac:dyDescent="0.2">
      <c r="A32" t="s">
        <v>58</v>
      </c>
      <c r="B32">
        <v>26</v>
      </c>
      <c r="C32" t="s">
        <v>60</v>
      </c>
      <c r="D32">
        <v>27</v>
      </c>
      <c r="E32" t="s">
        <v>162</v>
      </c>
      <c r="F32" t="s">
        <v>100</v>
      </c>
      <c r="G32" t="s">
        <v>156</v>
      </c>
      <c r="I32" s="1">
        <v>0.95</v>
      </c>
    </row>
    <row r="33" spans="1:10" x14ac:dyDescent="0.2">
      <c r="A33" t="s">
        <v>58</v>
      </c>
      <c r="B33">
        <v>26</v>
      </c>
      <c r="C33" t="s">
        <v>61</v>
      </c>
      <c r="D33">
        <v>28</v>
      </c>
      <c r="E33" t="s">
        <v>162</v>
      </c>
      <c r="F33" t="s">
        <v>100</v>
      </c>
      <c r="G33" t="s">
        <v>186</v>
      </c>
      <c r="I33" s="1">
        <v>0.03</v>
      </c>
    </row>
    <row r="34" spans="1:10" x14ac:dyDescent="0.2">
      <c r="A34" t="s">
        <v>58</v>
      </c>
      <c r="B34">
        <v>26</v>
      </c>
      <c r="C34" t="s">
        <v>62</v>
      </c>
      <c r="D34">
        <v>29</v>
      </c>
      <c r="E34">
        <v>0</v>
      </c>
      <c r="F34" t="s">
        <v>100</v>
      </c>
      <c r="G34" t="s">
        <v>154</v>
      </c>
      <c r="I34" t="s">
        <v>113</v>
      </c>
      <c r="J34" t="s">
        <v>117</v>
      </c>
    </row>
    <row r="35" spans="1:10" x14ac:dyDescent="0.2">
      <c r="A35" t="s">
        <v>49</v>
      </c>
      <c r="B35">
        <v>33</v>
      </c>
      <c r="C35" t="s">
        <v>63</v>
      </c>
      <c r="D35">
        <v>34</v>
      </c>
      <c r="E35">
        <v>0</v>
      </c>
      <c r="F35" t="s">
        <v>100</v>
      </c>
      <c r="G35" t="s">
        <v>190</v>
      </c>
      <c r="I35" s="1">
        <v>0.1</v>
      </c>
    </row>
    <row r="36" spans="1:10" x14ac:dyDescent="0.2">
      <c r="A36" t="s">
        <v>49</v>
      </c>
      <c r="B36">
        <v>33</v>
      </c>
      <c r="C36" t="s">
        <v>64</v>
      </c>
      <c r="D36">
        <v>35</v>
      </c>
      <c r="E36" t="s">
        <v>161</v>
      </c>
      <c r="F36" t="s">
        <v>100</v>
      </c>
      <c r="G36" t="s">
        <v>173</v>
      </c>
      <c r="I36" s="1">
        <v>0.9</v>
      </c>
    </row>
    <row r="37" spans="1:10" x14ac:dyDescent="0.2">
      <c r="A37" t="s">
        <v>64</v>
      </c>
      <c r="B37">
        <v>35</v>
      </c>
      <c r="C37" t="s">
        <v>65</v>
      </c>
      <c r="D37">
        <v>36</v>
      </c>
      <c r="E37" t="s">
        <v>165</v>
      </c>
      <c r="F37" t="s">
        <v>100</v>
      </c>
      <c r="G37" s="9" t="s">
        <v>172</v>
      </c>
      <c r="H37" t="s">
        <v>377</v>
      </c>
      <c r="I37" s="1">
        <v>0.98</v>
      </c>
    </row>
    <row r="38" spans="1:10" x14ac:dyDescent="0.2">
      <c r="A38" t="s">
        <v>64</v>
      </c>
      <c r="B38">
        <v>35</v>
      </c>
      <c r="C38" t="s">
        <v>66</v>
      </c>
      <c r="D38">
        <v>48</v>
      </c>
      <c r="E38" t="s">
        <v>164</v>
      </c>
      <c r="F38" t="s">
        <v>100</v>
      </c>
      <c r="G38" s="9" t="s">
        <v>181</v>
      </c>
      <c r="H38" t="s">
        <v>378</v>
      </c>
      <c r="I38" s="1">
        <v>0.02</v>
      </c>
      <c r="J38" t="s">
        <v>118</v>
      </c>
    </row>
    <row r="39" spans="1:10" x14ac:dyDescent="0.2">
      <c r="A39" t="s">
        <v>65</v>
      </c>
      <c r="B39">
        <v>36</v>
      </c>
      <c r="C39" t="s">
        <v>67</v>
      </c>
      <c r="D39">
        <v>37</v>
      </c>
      <c r="E39" t="s">
        <v>162</v>
      </c>
      <c r="F39" t="s">
        <v>100</v>
      </c>
      <c r="G39" t="s">
        <v>167</v>
      </c>
      <c r="I39" s="1">
        <v>0.9</v>
      </c>
    </row>
    <row r="40" spans="1:10" x14ac:dyDescent="0.2">
      <c r="A40" t="s">
        <v>65</v>
      </c>
      <c r="B40">
        <v>36</v>
      </c>
      <c r="C40" t="s">
        <v>68</v>
      </c>
      <c r="D40">
        <v>47</v>
      </c>
      <c r="E40">
        <v>0</v>
      </c>
      <c r="F40" t="s">
        <v>100</v>
      </c>
      <c r="G40" t="s">
        <v>182</v>
      </c>
      <c r="H40" s="10"/>
      <c r="I40" t="s">
        <v>109</v>
      </c>
    </row>
    <row r="41" spans="1:10" x14ac:dyDescent="0.2">
      <c r="A41" t="s">
        <v>67</v>
      </c>
      <c r="B41">
        <v>37</v>
      </c>
      <c r="C41" t="s">
        <v>69</v>
      </c>
      <c r="D41">
        <v>38</v>
      </c>
      <c r="E41" t="s">
        <v>165</v>
      </c>
      <c r="F41" t="s">
        <v>100</v>
      </c>
      <c r="G41" s="9" t="s">
        <v>153</v>
      </c>
      <c r="H41" s="11" t="s">
        <v>379</v>
      </c>
      <c r="I41" s="1">
        <v>0.75</v>
      </c>
      <c r="J41" t="s">
        <v>119</v>
      </c>
    </row>
    <row r="42" spans="1:10" x14ac:dyDescent="0.2">
      <c r="A42" t="s">
        <v>67</v>
      </c>
      <c r="B42">
        <v>37</v>
      </c>
      <c r="C42" t="s">
        <v>70</v>
      </c>
      <c r="D42">
        <v>46</v>
      </c>
      <c r="E42" t="s">
        <v>164</v>
      </c>
      <c r="F42" t="s">
        <v>100</v>
      </c>
      <c r="G42" s="9" t="s">
        <v>183</v>
      </c>
      <c r="H42" s="11" t="s">
        <v>380</v>
      </c>
      <c r="I42" t="s">
        <v>109</v>
      </c>
    </row>
    <row r="43" spans="1:10" x14ac:dyDescent="0.2">
      <c r="A43" t="s">
        <v>69</v>
      </c>
      <c r="B43">
        <v>38</v>
      </c>
      <c r="C43" t="s">
        <v>71</v>
      </c>
      <c r="D43">
        <v>39</v>
      </c>
      <c r="E43" t="s">
        <v>157</v>
      </c>
      <c r="F43" t="s">
        <v>100</v>
      </c>
      <c r="G43" t="s">
        <v>168</v>
      </c>
      <c r="I43" s="1">
        <v>0.9</v>
      </c>
    </row>
    <row r="44" spans="1:10" x14ac:dyDescent="0.2">
      <c r="A44" t="s">
        <v>69</v>
      </c>
      <c r="B44">
        <v>38</v>
      </c>
      <c r="C44" t="s">
        <v>72</v>
      </c>
      <c r="D44">
        <v>45</v>
      </c>
      <c r="E44">
        <v>0</v>
      </c>
      <c r="F44" t="s">
        <v>100</v>
      </c>
      <c r="G44" t="s">
        <v>184</v>
      </c>
      <c r="I44" t="s">
        <v>109</v>
      </c>
    </row>
    <row r="45" spans="1:10" x14ac:dyDescent="0.2">
      <c r="A45" t="s">
        <v>71</v>
      </c>
      <c r="B45">
        <v>39</v>
      </c>
      <c r="C45" t="s">
        <v>73</v>
      </c>
      <c r="D45">
        <v>40</v>
      </c>
      <c r="E45" t="s">
        <v>163</v>
      </c>
      <c r="F45" t="s">
        <v>100</v>
      </c>
      <c r="G45" t="s">
        <v>155</v>
      </c>
      <c r="I45" s="1">
        <v>0.9</v>
      </c>
    </row>
    <row r="46" spans="1:10" x14ac:dyDescent="0.2">
      <c r="A46" t="s">
        <v>71</v>
      </c>
      <c r="B46">
        <v>39</v>
      </c>
      <c r="C46" t="s">
        <v>74</v>
      </c>
      <c r="D46">
        <v>44</v>
      </c>
      <c r="E46">
        <v>0</v>
      </c>
      <c r="F46" t="s">
        <v>100</v>
      </c>
      <c r="G46" s="3" t="s">
        <v>185</v>
      </c>
      <c r="H46" s="3"/>
      <c r="I46" t="s">
        <v>109</v>
      </c>
    </row>
    <row r="47" spans="1:10" x14ac:dyDescent="0.2">
      <c r="A47" t="s">
        <v>73</v>
      </c>
      <c r="B47">
        <v>40</v>
      </c>
      <c r="C47" t="s">
        <v>75</v>
      </c>
      <c r="D47">
        <v>41</v>
      </c>
      <c r="E47" t="s">
        <v>162</v>
      </c>
      <c r="F47" t="s">
        <v>100</v>
      </c>
      <c r="G47" t="s">
        <v>156</v>
      </c>
      <c r="I47" s="1">
        <v>0.95</v>
      </c>
    </row>
    <row r="48" spans="1:10" x14ac:dyDescent="0.2">
      <c r="A48" t="s">
        <v>73</v>
      </c>
      <c r="B48">
        <v>40</v>
      </c>
      <c r="C48" t="s">
        <v>76</v>
      </c>
      <c r="D48">
        <v>42</v>
      </c>
      <c r="E48" t="s">
        <v>162</v>
      </c>
      <c r="F48" t="s">
        <v>100</v>
      </c>
      <c r="G48" t="s">
        <v>186</v>
      </c>
      <c r="I48" s="1">
        <v>0.03</v>
      </c>
    </row>
    <row r="49" spans="1:9" x14ac:dyDescent="0.2">
      <c r="A49" t="s">
        <v>73</v>
      </c>
      <c r="B49">
        <v>40</v>
      </c>
      <c r="C49" t="s">
        <v>77</v>
      </c>
      <c r="D49">
        <v>43</v>
      </c>
      <c r="E49">
        <v>0</v>
      </c>
      <c r="F49" t="s">
        <v>100</v>
      </c>
      <c r="G49" t="s">
        <v>154</v>
      </c>
      <c r="I49" t="s">
        <v>113</v>
      </c>
    </row>
    <row r="50" spans="1:9" x14ac:dyDescent="0.2">
      <c r="A50" t="s">
        <v>66</v>
      </c>
      <c r="B50">
        <v>48</v>
      </c>
      <c r="C50" t="s">
        <v>78</v>
      </c>
      <c r="D50">
        <v>49</v>
      </c>
      <c r="E50">
        <v>0</v>
      </c>
      <c r="F50" t="s">
        <v>100</v>
      </c>
      <c r="G50" t="s">
        <v>169</v>
      </c>
      <c r="I50" s="1">
        <v>0</v>
      </c>
    </row>
    <row r="51" spans="1:9" x14ac:dyDescent="0.2">
      <c r="A51" t="s">
        <v>50</v>
      </c>
      <c r="B51">
        <v>50</v>
      </c>
      <c r="C51" t="s">
        <v>79</v>
      </c>
      <c r="D51">
        <v>51</v>
      </c>
      <c r="E51">
        <v>0</v>
      </c>
      <c r="F51" t="s">
        <v>100</v>
      </c>
      <c r="G51" t="s">
        <v>169</v>
      </c>
      <c r="I51" s="1">
        <v>0</v>
      </c>
    </row>
    <row r="52" spans="1:9" x14ac:dyDescent="0.2">
      <c r="A52" t="s">
        <v>51</v>
      </c>
      <c r="B52">
        <v>52</v>
      </c>
      <c r="C52" t="s">
        <v>80</v>
      </c>
      <c r="D52">
        <v>53</v>
      </c>
      <c r="E52">
        <v>0</v>
      </c>
      <c r="F52" t="s">
        <v>100</v>
      </c>
      <c r="G52" t="s">
        <v>190</v>
      </c>
      <c r="I52" s="1">
        <v>0.05</v>
      </c>
    </row>
    <row r="53" spans="1:9" x14ac:dyDescent="0.2">
      <c r="A53" t="s">
        <v>51</v>
      </c>
      <c r="B53">
        <v>52</v>
      </c>
      <c r="C53" t="s">
        <v>81</v>
      </c>
      <c r="D53">
        <v>54</v>
      </c>
      <c r="E53" t="s">
        <v>161</v>
      </c>
      <c r="F53" t="s">
        <v>100</v>
      </c>
      <c r="G53" t="s">
        <v>173</v>
      </c>
      <c r="I53" s="1">
        <v>0.95</v>
      </c>
    </row>
    <row r="54" spans="1:9" x14ac:dyDescent="0.2">
      <c r="A54" t="s">
        <v>81</v>
      </c>
      <c r="B54">
        <v>54</v>
      </c>
      <c r="C54" t="s">
        <v>82</v>
      </c>
      <c r="D54">
        <v>55</v>
      </c>
      <c r="E54" t="s">
        <v>165</v>
      </c>
      <c r="F54" t="s">
        <v>100</v>
      </c>
      <c r="G54" s="9" t="s">
        <v>150</v>
      </c>
      <c r="H54" t="s">
        <v>367</v>
      </c>
      <c r="I54" t="s">
        <v>105</v>
      </c>
    </row>
    <row r="55" spans="1:9" x14ac:dyDescent="0.2">
      <c r="A55" t="s">
        <v>81</v>
      </c>
      <c r="B55">
        <v>54</v>
      </c>
      <c r="C55" t="s">
        <v>83</v>
      </c>
      <c r="D55">
        <v>67</v>
      </c>
      <c r="E55" t="s">
        <v>164</v>
      </c>
      <c r="F55" t="s">
        <v>100</v>
      </c>
      <c r="G55" s="9" t="s">
        <v>187</v>
      </c>
      <c r="H55" t="s">
        <v>368</v>
      </c>
      <c r="I55" t="s">
        <v>120</v>
      </c>
    </row>
    <row r="56" spans="1:9" x14ac:dyDescent="0.2">
      <c r="A56" t="s">
        <v>82</v>
      </c>
      <c r="B56">
        <v>55</v>
      </c>
      <c r="C56" t="s">
        <v>84</v>
      </c>
      <c r="D56">
        <v>56</v>
      </c>
      <c r="E56" t="s">
        <v>162</v>
      </c>
      <c r="F56" t="s">
        <v>100</v>
      </c>
      <c r="G56" t="s">
        <v>167</v>
      </c>
      <c r="I56" s="1">
        <v>0.9</v>
      </c>
    </row>
    <row r="57" spans="1:9" x14ac:dyDescent="0.2">
      <c r="A57" t="s">
        <v>82</v>
      </c>
      <c r="B57">
        <v>55</v>
      </c>
      <c r="C57" t="s">
        <v>85</v>
      </c>
      <c r="D57">
        <v>66</v>
      </c>
      <c r="E57">
        <v>0</v>
      </c>
      <c r="F57" t="s">
        <v>100</v>
      </c>
      <c r="G57" t="s">
        <v>182</v>
      </c>
      <c r="I57" t="s">
        <v>109</v>
      </c>
    </row>
    <row r="58" spans="1:9" x14ac:dyDescent="0.2">
      <c r="A58" t="s">
        <v>84</v>
      </c>
      <c r="B58">
        <v>56</v>
      </c>
      <c r="C58" t="s">
        <v>86</v>
      </c>
      <c r="D58">
        <v>57</v>
      </c>
      <c r="E58" t="s">
        <v>165</v>
      </c>
      <c r="F58" t="s">
        <v>100</v>
      </c>
      <c r="G58" s="9" t="s">
        <v>153</v>
      </c>
      <c r="H58" t="s">
        <v>373</v>
      </c>
      <c r="I58" s="1">
        <v>0.75</v>
      </c>
    </row>
    <row r="59" spans="1:9" x14ac:dyDescent="0.2">
      <c r="A59" t="s">
        <v>84</v>
      </c>
      <c r="B59">
        <v>56</v>
      </c>
      <c r="C59" t="s">
        <v>87</v>
      </c>
      <c r="D59">
        <v>65</v>
      </c>
      <c r="E59" t="s">
        <v>164</v>
      </c>
      <c r="F59" t="s">
        <v>100</v>
      </c>
      <c r="G59" s="9" t="s">
        <v>183</v>
      </c>
      <c r="H59" t="s">
        <v>374</v>
      </c>
      <c r="I59" t="s">
        <v>109</v>
      </c>
    </row>
    <row r="60" spans="1:9" x14ac:dyDescent="0.2">
      <c r="A60" t="s">
        <v>86</v>
      </c>
      <c r="B60">
        <v>57</v>
      </c>
      <c r="C60" t="s">
        <v>88</v>
      </c>
      <c r="D60">
        <v>58</v>
      </c>
      <c r="E60" t="s">
        <v>157</v>
      </c>
      <c r="F60" t="s">
        <v>100</v>
      </c>
      <c r="G60" t="s">
        <v>168</v>
      </c>
      <c r="I60" s="1">
        <v>0.9</v>
      </c>
    </row>
    <row r="61" spans="1:9" x14ac:dyDescent="0.2">
      <c r="A61" t="s">
        <v>86</v>
      </c>
      <c r="B61">
        <v>57</v>
      </c>
      <c r="C61" t="s">
        <v>89</v>
      </c>
      <c r="D61">
        <v>64</v>
      </c>
      <c r="E61">
        <v>0</v>
      </c>
      <c r="F61" t="s">
        <v>100</v>
      </c>
      <c r="G61" t="s">
        <v>184</v>
      </c>
      <c r="I61" t="s">
        <v>109</v>
      </c>
    </row>
    <row r="62" spans="1:9" x14ac:dyDescent="0.2">
      <c r="A62" t="s">
        <v>88</v>
      </c>
      <c r="B62">
        <v>58</v>
      </c>
      <c r="C62" t="s">
        <v>90</v>
      </c>
      <c r="D62">
        <v>59</v>
      </c>
      <c r="E62" t="s">
        <v>163</v>
      </c>
      <c r="F62" t="s">
        <v>100</v>
      </c>
      <c r="G62" t="s">
        <v>155</v>
      </c>
      <c r="I62" s="1">
        <v>0.9</v>
      </c>
    </row>
    <row r="63" spans="1:9" x14ac:dyDescent="0.2">
      <c r="A63" t="s">
        <v>88</v>
      </c>
      <c r="B63">
        <v>58</v>
      </c>
      <c r="C63" t="s">
        <v>91</v>
      </c>
      <c r="D63">
        <v>63</v>
      </c>
      <c r="E63">
        <v>0</v>
      </c>
      <c r="F63" t="s">
        <v>100</v>
      </c>
      <c r="G63" t="s">
        <v>185</v>
      </c>
      <c r="I63" t="s">
        <v>109</v>
      </c>
    </row>
    <row r="64" spans="1:9" x14ac:dyDescent="0.2">
      <c r="A64" t="s">
        <v>90</v>
      </c>
      <c r="B64">
        <v>59</v>
      </c>
      <c r="C64" t="s">
        <v>92</v>
      </c>
      <c r="D64">
        <v>60</v>
      </c>
      <c r="E64" t="s">
        <v>162</v>
      </c>
      <c r="F64" t="s">
        <v>100</v>
      </c>
      <c r="G64" t="s">
        <v>156</v>
      </c>
      <c r="I64" s="1">
        <v>0.95</v>
      </c>
    </row>
    <row r="65" spans="1:9" x14ac:dyDescent="0.2">
      <c r="A65" t="s">
        <v>90</v>
      </c>
      <c r="B65">
        <v>59</v>
      </c>
      <c r="C65" t="s">
        <v>93</v>
      </c>
      <c r="D65">
        <v>61</v>
      </c>
      <c r="E65" t="s">
        <v>162</v>
      </c>
      <c r="F65" t="s">
        <v>100</v>
      </c>
      <c r="G65" t="s">
        <v>186</v>
      </c>
      <c r="I65" s="1">
        <v>0.03</v>
      </c>
    </row>
    <row r="66" spans="1:9" x14ac:dyDescent="0.2">
      <c r="A66" t="s">
        <v>90</v>
      </c>
      <c r="B66">
        <v>59</v>
      </c>
      <c r="C66" t="s">
        <v>94</v>
      </c>
      <c r="D66">
        <v>62</v>
      </c>
      <c r="E66">
        <v>0</v>
      </c>
      <c r="F66" t="s">
        <v>100</v>
      </c>
      <c r="G66" t="s">
        <v>154</v>
      </c>
      <c r="I66" t="s">
        <v>113</v>
      </c>
    </row>
    <row r="67" spans="1:9" x14ac:dyDescent="0.2">
      <c r="A67" t="s">
        <v>83</v>
      </c>
      <c r="B67">
        <v>67</v>
      </c>
      <c r="C67" t="s">
        <v>95</v>
      </c>
      <c r="D67">
        <v>68</v>
      </c>
      <c r="E67">
        <v>0</v>
      </c>
      <c r="F67" t="s">
        <v>100</v>
      </c>
      <c r="G67" t="s">
        <v>169</v>
      </c>
      <c r="I67" s="1">
        <v>0</v>
      </c>
    </row>
  </sheetData>
  <sortState xmlns:xlrd2="http://schemas.microsoft.com/office/spreadsheetml/2017/richdata2" ref="A2:J67">
    <sortCondition ref="B2:B67"/>
    <sortCondition ref="D2:D67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1918-23E8-1749-856B-118F67DC083D}">
  <dimension ref="A1:F73"/>
  <sheetViews>
    <sheetView workbookViewId="0">
      <selection activeCell="E5" sqref="E5:E73"/>
    </sheetView>
  </sheetViews>
  <sheetFormatPr baseColWidth="10" defaultRowHeight="16" x14ac:dyDescent="0.2"/>
  <cols>
    <col min="1" max="1" width="29.6640625" bestFit="1" customWidth="1"/>
    <col min="4" max="4" width="29.6640625" customWidth="1"/>
    <col min="5" max="5" width="10.83203125" customWidth="1"/>
  </cols>
  <sheetData>
    <row r="1" spans="1:6" x14ac:dyDescent="0.2">
      <c r="A1" t="s">
        <v>2</v>
      </c>
      <c r="B1" t="s">
        <v>0</v>
      </c>
      <c r="C1" t="s">
        <v>1</v>
      </c>
      <c r="D1" t="s">
        <v>37</v>
      </c>
      <c r="E1" t="s">
        <v>102</v>
      </c>
      <c r="F1" t="s">
        <v>97</v>
      </c>
    </row>
    <row r="2" spans="1:6" x14ac:dyDescent="0.2">
      <c r="A2" t="s">
        <v>3</v>
      </c>
      <c r="B2">
        <v>1</v>
      </c>
      <c r="C2">
        <v>2</v>
      </c>
      <c r="D2" t="s">
        <v>4</v>
      </c>
      <c r="E2" t="s">
        <v>161</v>
      </c>
      <c r="F2" t="s">
        <v>192</v>
      </c>
    </row>
    <row r="3" spans="1:6" x14ac:dyDescent="0.2">
      <c r="A3" t="s">
        <v>3</v>
      </c>
      <c r="B3">
        <v>1</v>
      </c>
      <c r="C3">
        <v>17</v>
      </c>
      <c r="D3" t="s">
        <v>38</v>
      </c>
      <c r="E3">
        <v>0</v>
      </c>
      <c r="F3" t="s">
        <v>193</v>
      </c>
    </row>
    <row r="4" spans="1:6" x14ac:dyDescent="0.2">
      <c r="A4" t="s">
        <v>3</v>
      </c>
      <c r="B4">
        <v>1</v>
      </c>
      <c r="C4">
        <v>18</v>
      </c>
      <c r="D4" t="s">
        <v>11</v>
      </c>
      <c r="E4" t="s">
        <v>158</v>
      </c>
      <c r="F4" t="s">
        <v>194</v>
      </c>
    </row>
    <row r="5" spans="1:6" x14ac:dyDescent="0.2">
      <c r="A5" t="s">
        <v>4</v>
      </c>
      <c r="B5">
        <v>2</v>
      </c>
      <c r="C5">
        <v>3</v>
      </c>
      <c r="D5" t="s">
        <v>5</v>
      </c>
      <c r="E5" t="s">
        <v>165</v>
      </c>
      <c r="F5" t="s">
        <v>150</v>
      </c>
    </row>
    <row r="6" spans="1:6" x14ac:dyDescent="0.2">
      <c r="A6" t="s">
        <v>4</v>
      </c>
      <c r="B6">
        <v>2</v>
      </c>
      <c r="C6">
        <v>15</v>
      </c>
      <c r="D6" t="s">
        <v>10</v>
      </c>
      <c r="E6" t="s">
        <v>164</v>
      </c>
      <c r="F6" t="s">
        <v>187</v>
      </c>
    </row>
    <row r="7" spans="1:6" x14ac:dyDescent="0.2">
      <c r="A7" t="s">
        <v>5</v>
      </c>
      <c r="B7">
        <v>3</v>
      </c>
      <c r="C7">
        <v>4</v>
      </c>
      <c r="D7" t="s">
        <v>6</v>
      </c>
      <c r="E7" t="s">
        <v>162</v>
      </c>
      <c r="F7" t="s">
        <v>167</v>
      </c>
    </row>
    <row r="8" spans="1:6" x14ac:dyDescent="0.2">
      <c r="A8" t="s">
        <v>5</v>
      </c>
      <c r="B8">
        <v>3</v>
      </c>
      <c r="C8">
        <v>14</v>
      </c>
      <c r="D8" t="s">
        <v>39</v>
      </c>
      <c r="E8">
        <v>0</v>
      </c>
      <c r="F8" t="s">
        <v>182</v>
      </c>
    </row>
    <row r="9" spans="1:6" x14ac:dyDescent="0.2">
      <c r="A9" t="s">
        <v>6</v>
      </c>
      <c r="B9">
        <v>4</v>
      </c>
      <c r="C9">
        <v>5</v>
      </c>
      <c r="D9" t="s">
        <v>7</v>
      </c>
      <c r="E9" t="s">
        <v>165</v>
      </c>
      <c r="F9" t="s">
        <v>153</v>
      </c>
    </row>
    <row r="10" spans="1:6" x14ac:dyDescent="0.2">
      <c r="A10" t="s">
        <v>6</v>
      </c>
      <c r="B10">
        <v>4</v>
      </c>
      <c r="C10">
        <v>13</v>
      </c>
      <c r="D10" t="s">
        <v>40</v>
      </c>
      <c r="E10" t="s">
        <v>164</v>
      </c>
      <c r="F10" t="s">
        <v>183</v>
      </c>
    </row>
    <row r="11" spans="1:6" x14ac:dyDescent="0.2">
      <c r="A11" t="s">
        <v>7</v>
      </c>
      <c r="B11">
        <v>5</v>
      </c>
      <c r="C11">
        <v>6</v>
      </c>
      <c r="D11" t="s">
        <v>8</v>
      </c>
      <c r="E11" t="s">
        <v>157</v>
      </c>
      <c r="F11" t="s">
        <v>168</v>
      </c>
    </row>
    <row r="12" spans="1:6" x14ac:dyDescent="0.2">
      <c r="A12" t="s">
        <v>7</v>
      </c>
      <c r="B12">
        <v>5</v>
      </c>
      <c r="C12">
        <v>12</v>
      </c>
      <c r="D12" t="s">
        <v>41</v>
      </c>
      <c r="E12">
        <v>0</v>
      </c>
      <c r="F12" t="s">
        <v>184</v>
      </c>
    </row>
    <row r="13" spans="1:6" x14ac:dyDescent="0.2">
      <c r="A13" t="s">
        <v>8</v>
      </c>
      <c r="B13">
        <v>6</v>
      </c>
      <c r="C13">
        <v>7</v>
      </c>
      <c r="D13" t="s">
        <v>9</v>
      </c>
      <c r="E13" t="s">
        <v>163</v>
      </c>
      <c r="F13" t="s">
        <v>155</v>
      </c>
    </row>
    <row r="14" spans="1:6" x14ac:dyDescent="0.2">
      <c r="A14" t="s">
        <v>8</v>
      </c>
      <c r="B14">
        <v>6</v>
      </c>
      <c r="C14">
        <v>11</v>
      </c>
      <c r="D14" t="s">
        <v>42</v>
      </c>
      <c r="E14">
        <v>0</v>
      </c>
      <c r="F14" t="s">
        <v>185</v>
      </c>
    </row>
    <row r="15" spans="1:6" x14ac:dyDescent="0.2">
      <c r="A15" t="s">
        <v>9</v>
      </c>
      <c r="B15">
        <v>7</v>
      </c>
      <c r="C15">
        <v>8</v>
      </c>
      <c r="D15" t="s">
        <v>43</v>
      </c>
      <c r="E15" t="s">
        <v>162</v>
      </c>
      <c r="F15" t="s">
        <v>156</v>
      </c>
    </row>
    <row r="16" spans="1:6" x14ac:dyDescent="0.2">
      <c r="A16" t="s">
        <v>9</v>
      </c>
      <c r="B16">
        <v>7</v>
      </c>
      <c r="C16">
        <v>9</v>
      </c>
      <c r="D16" t="s">
        <v>44</v>
      </c>
      <c r="E16" t="s">
        <v>162</v>
      </c>
      <c r="F16" t="s">
        <v>186</v>
      </c>
    </row>
    <row r="17" spans="1:6" x14ac:dyDescent="0.2">
      <c r="A17" t="s">
        <v>9</v>
      </c>
      <c r="B17">
        <v>7</v>
      </c>
      <c r="C17">
        <v>10</v>
      </c>
      <c r="D17" t="s">
        <v>45</v>
      </c>
      <c r="E17">
        <v>0</v>
      </c>
      <c r="F17" t="s">
        <v>154</v>
      </c>
    </row>
    <row r="18" spans="1:6" x14ac:dyDescent="0.2">
      <c r="A18" t="s">
        <v>10</v>
      </c>
      <c r="B18">
        <v>15</v>
      </c>
      <c r="C18">
        <v>16</v>
      </c>
      <c r="D18" t="s">
        <v>46</v>
      </c>
      <c r="E18">
        <v>0</v>
      </c>
      <c r="F18" t="s">
        <v>169</v>
      </c>
    </row>
    <row r="19" spans="1:6" x14ac:dyDescent="0.2">
      <c r="A19" t="s">
        <v>11</v>
      </c>
      <c r="B19">
        <v>18</v>
      </c>
      <c r="C19">
        <v>19</v>
      </c>
      <c r="D19" t="s">
        <v>47</v>
      </c>
      <c r="E19">
        <v>0</v>
      </c>
      <c r="F19" t="s">
        <v>189</v>
      </c>
    </row>
    <row r="20" spans="1:6" x14ac:dyDescent="0.2">
      <c r="A20" t="s">
        <v>11</v>
      </c>
      <c r="B20">
        <v>18</v>
      </c>
      <c r="C20">
        <v>20</v>
      </c>
      <c r="D20" t="s">
        <v>12</v>
      </c>
      <c r="E20">
        <v>0</v>
      </c>
      <c r="F20" t="s">
        <v>176</v>
      </c>
    </row>
    <row r="21" spans="1:6" x14ac:dyDescent="0.2">
      <c r="A21" t="s">
        <v>11</v>
      </c>
      <c r="B21">
        <v>18</v>
      </c>
      <c r="C21">
        <v>33</v>
      </c>
      <c r="D21" t="s">
        <v>18</v>
      </c>
      <c r="E21">
        <v>0</v>
      </c>
      <c r="F21" t="s">
        <v>177</v>
      </c>
    </row>
    <row r="22" spans="1:6" x14ac:dyDescent="0.2">
      <c r="A22" t="s">
        <v>11</v>
      </c>
      <c r="B22">
        <v>18</v>
      </c>
      <c r="C22">
        <v>52</v>
      </c>
      <c r="D22" t="s">
        <v>27</v>
      </c>
      <c r="E22">
        <v>0</v>
      </c>
      <c r="F22" t="s">
        <v>178</v>
      </c>
    </row>
    <row r="23" spans="1:6" x14ac:dyDescent="0.2">
      <c r="A23" t="s">
        <v>11</v>
      </c>
      <c r="B23">
        <v>18</v>
      </c>
      <c r="C23">
        <v>54</v>
      </c>
      <c r="D23" t="s">
        <v>28</v>
      </c>
      <c r="E23">
        <v>0</v>
      </c>
      <c r="F23" t="s">
        <v>188</v>
      </c>
    </row>
    <row r="24" spans="1:6" x14ac:dyDescent="0.2">
      <c r="A24" t="s">
        <v>12</v>
      </c>
      <c r="B24">
        <v>20</v>
      </c>
      <c r="C24">
        <v>21</v>
      </c>
      <c r="D24" t="s">
        <v>13</v>
      </c>
      <c r="E24" t="s">
        <v>159</v>
      </c>
      <c r="F24" t="s">
        <v>228</v>
      </c>
    </row>
    <row r="25" spans="1:6" x14ac:dyDescent="0.2">
      <c r="A25" t="s">
        <v>12</v>
      </c>
      <c r="B25">
        <v>20</v>
      </c>
      <c r="C25">
        <v>32</v>
      </c>
      <c r="D25" t="s">
        <v>199</v>
      </c>
      <c r="E25">
        <v>0</v>
      </c>
      <c r="F25" t="s">
        <v>229</v>
      </c>
    </row>
    <row r="26" spans="1:6" x14ac:dyDescent="0.2">
      <c r="A26" t="s">
        <v>13</v>
      </c>
      <c r="B26">
        <v>21</v>
      </c>
      <c r="C26">
        <v>22</v>
      </c>
      <c r="D26" t="s">
        <v>14</v>
      </c>
      <c r="E26" t="s">
        <v>162</v>
      </c>
      <c r="F26" t="s">
        <v>167</v>
      </c>
    </row>
    <row r="27" spans="1:6" x14ac:dyDescent="0.2">
      <c r="A27" t="s">
        <v>13</v>
      </c>
      <c r="B27">
        <v>21</v>
      </c>
      <c r="C27">
        <v>73</v>
      </c>
      <c r="D27" t="s">
        <v>200</v>
      </c>
      <c r="E27">
        <v>0</v>
      </c>
      <c r="F27" t="s">
        <v>182</v>
      </c>
    </row>
    <row r="28" spans="1:6" x14ac:dyDescent="0.2">
      <c r="A28" t="s">
        <v>14</v>
      </c>
      <c r="B28">
        <v>22</v>
      </c>
      <c r="C28">
        <v>23</v>
      </c>
      <c r="D28" t="s">
        <v>15</v>
      </c>
      <c r="E28" t="s">
        <v>165</v>
      </c>
      <c r="F28" t="s">
        <v>153</v>
      </c>
    </row>
    <row r="29" spans="1:6" x14ac:dyDescent="0.2">
      <c r="A29" t="s">
        <v>14</v>
      </c>
      <c r="B29">
        <v>22</v>
      </c>
      <c r="C29">
        <v>31</v>
      </c>
      <c r="D29" t="s">
        <v>201</v>
      </c>
      <c r="E29" t="s">
        <v>164</v>
      </c>
      <c r="F29" t="s">
        <v>183</v>
      </c>
    </row>
    <row r="30" spans="1:6" x14ac:dyDescent="0.2">
      <c r="A30" t="s">
        <v>15</v>
      </c>
      <c r="B30">
        <v>23</v>
      </c>
      <c r="C30">
        <v>24</v>
      </c>
      <c r="D30" t="s">
        <v>16</v>
      </c>
      <c r="E30" t="s">
        <v>157</v>
      </c>
      <c r="F30" t="s">
        <v>168</v>
      </c>
    </row>
    <row r="31" spans="1:6" x14ac:dyDescent="0.2">
      <c r="A31" t="s">
        <v>15</v>
      </c>
      <c r="B31">
        <v>23</v>
      </c>
      <c r="C31">
        <v>30</v>
      </c>
      <c r="D31" t="s">
        <v>202</v>
      </c>
      <c r="E31">
        <v>0</v>
      </c>
      <c r="F31" t="s">
        <v>184</v>
      </c>
    </row>
    <row r="32" spans="1:6" x14ac:dyDescent="0.2">
      <c r="A32" t="s">
        <v>16</v>
      </c>
      <c r="B32">
        <v>24</v>
      </c>
      <c r="C32">
        <v>25</v>
      </c>
      <c r="D32" t="s">
        <v>17</v>
      </c>
      <c r="E32" t="s">
        <v>163</v>
      </c>
      <c r="F32" t="s">
        <v>155</v>
      </c>
    </row>
    <row r="33" spans="1:6" x14ac:dyDescent="0.2">
      <c r="A33" t="s">
        <v>16</v>
      </c>
      <c r="B33">
        <v>24</v>
      </c>
      <c r="C33">
        <v>29</v>
      </c>
      <c r="D33" t="s">
        <v>203</v>
      </c>
      <c r="E33">
        <v>0</v>
      </c>
      <c r="F33" t="s">
        <v>185</v>
      </c>
    </row>
    <row r="34" spans="1:6" x14ac:dyDescent="0.2">
      <c r="A34" t="s">
        <v>17</v>
      </c>
      <c r="B34">
        <v>25</v>
      </c>
      <c r="C34">
        <v>26</v>
      </c>
      <c r="D34" t="s">
        <v>204</v>
      </c>
      <c r="E34" t="s">
        <v>162</v>
      </c>
      <c r="F34" t="s">
        <v>156</v>
      </c>
    </row>
    <row r="35" spans="1:6" x14ac:dyDescent="0.2">
      <c r="A35" t="s">
        <v>17</v>
      </c>
      <c r="B35">
        <v>25</v>
      </c>
      <c r="C35">
        <v>27</v>
      </c>
      <c r="D35" t="s">
        <v>205</v>
      </c>
      <c r="E35" t="s">
        <v>162</v>
      </c>
      <c r="F35" t="s">
        <v>186</v>
      </c>
    </row>
    <row r="36" spans="1:6" x14ac:dyDescent="0.2">
      <c r="A36" t="s">
        <v>17</v>
      </c>
      <c r="B36">
        <v>25</v>
      </c>
      <c r="C36">
        <v>28</v>
      </c>
      <c r="D36" t="s">
        <v>206</v>
      </c>
      <c r="E36">
        <v>0</v>
      </c>
      <c r="F36" t="s">
        <v>154</v>
      </c>
    </row>
    <row r="37" spans="1:6" x14ac:dyDescent="0.2">
      <c r="A37" t="s">
        <v>18</v>
      </c>
      <c r="B37">
        <v>33</v>
      </c>
      <c r="C37">
        <v>34</v>
      </c>
      <c r="D37" t="s">
        <v>19</v>
      </c>
      <c r="E37" t="s">
        <v>159</v>
      </c>
      <c r="F37" t="s">
        <v>230</v>
      </c>
    </row>
    <row r="38" spans="1:6" x14ac:dyDescent="0.2">
      <c r="A38" t="s">
        <v>18</v>
      </c>
      <c r="B38">
        <v>33</v>
      </c>
      <c r="C38">
        <v>51</v>
      </c>
      <c r="D38" t="s">
        <v>207</v>
      </c>
      <c r="E38">
        <v>0</v>
      </c>
      <c r="F38" t="s">
        <v>231</v>
      </c>
    </row>
    <row r="39" spans="1:6" x14ac:dyDescent="0.2">
      <c r="A39" t="s">
        <v>19</v>
      </c>
      <c r="B39">
        <v>34</v>
      </c>
      <c r="C39">
        <v>35</v>
      </c>
      <c r="D39" t="s">
        <v>208</v>
      </c>
      <c r="E39">
        <v>0</v>
      </c>
      <c r="F39" t="s">
        <v>190</v>
      </c>
    </row>
    <row r="40" spans="1:6" x14ac:dyDescent="0.2">
      <c r="A40" t="s">
        <v>19</v>
      </c>
      <c r="B40">
        <v>34</v>
      </c>
      <c r="C40">
        <v>36</v>
      </c>
      <c r="D40" t="s">
        <v>20</v>
      </c>
      <c r="E40" t="s">
        <v>161</v>
      </c>
      <c r="F40" t="s">
        <v>173</v>
      </c>
    </row>
    <row r="41" spans="1:6" x14ac:dyDescent="0.2">
      <c r="A41" t="s">
        <v>20</v>
      </c>
      <c r="B41">
        <v>36</v>
      </c>
      <c r="C41">
        <v>37</v>
      </c>
      <c r="D41" t="s">
        <v>21</v>
      </c>
      <c r="E41" t="s">
        <v>165</v>
      </c>
      <c r="F41" t="s">
        <v>172</v>
      </c>
    </row>
    <row r="42" spans="1:6" x14ac:dyDescent="0.2">
      <c r="A42" t="s">
        <v>20</v>
      </c>
      <c r="B42">
        <v>36</v>
      </c>
      <c r="C42">
        <v>49</v>
      </c>
      <c r="D42" t="s">
        <v>26</v>
      </c>
      <c r="E42" t="s">
        <v>164</v>
      </c>
      <c r="F42" t="s">
        <v>181</v>
      </c>
    </row>
    <row r="43" spans="1:6" x14ac:dyDescent="0.2">
      <c r="A43" t="s">
        <v>21</v>
      </c>
      <c r="B43">
        <v>37</v>
      </c>
      <c r="C43">
        <v>38</v>
      </c>
      <c r="D43" t="s">
        <v>22</v>
      </c>
      <c r="E43" t="s">
        <v>162</v>
      </c>
      <c r="F43" t="s">
        <v>167</v>
      </c>
    </row>
    <row r="44" spans="1:6" x14ac:dyDescent="0.2">
      <c r="A44" t="s">
        <v>21</v>
      </c>
      <c r="B44">
        <v>37</v>
      </c>
      <c r="C44">
        <v>48</v>
      </c>
      <c r="D44" t="s">
        <v>209</v>
      </c>
      <c r="E44">
        <v>0</v>
      </c>
      <c r="F44" t="s">
        <v>182</v>
      </c>
    </row>
    <row r="45" spans="1:6" x14ac:dyDescent="0.2">
      <c r="A45" t="s">
        <v>22</v>
      </c>
      <c r="B45">
        <v>38</v>
      </c>
      <c r="C45">
        <v>39</v>
      </c>
      <c r="D45" t="s">
        <v>23</v>
      </c>
      <c r="E45" t="s">
        <v>165</v>
      </c>
      <c r="F45" t="s">
        <v>153</v>
      </c>
    </row>
    <row r="46" spans="1:6" x14ac:dyDescent="0.2">
      <c r="A46" t="s">
        <v>22</v>
      </c>
      <c r="B46">
        <v>38</v>
      </c>
      <c r="C46">
        <v>47</v>
      </c>
      <c r="D46" t="s">
        <v>210</v>
      </c>
      <c r="E46" t="s">
        <v>164</v>
      </c>
      <c r="F46" t="s">
        <v>183</v>
      </c>
    </row>
    <row r="47" spans="1:6" x14ac:dyDescent="0.2">
      <c r="A47" t="s">
        <v>23</v>
      </c>
      <c r="B47">
        <v>39</v>
      </c>
      <c r="C47">
        <v>40</v>
      </c>
      <c r="D47" t="s">
        <v>24</v>
      </c>
      <c r="E47" t="s">
        <v>157</v>
      </c>
      <c r="F47" t="s">
        <v>168</v>
      </c>
    </row>
    <row r="48" spans="1:6" x14ac:dyDescent="0.2">
      <c r="A48" t="s">
        <v>23</v>
      </c>
      <c r="B48">
        <v>39</v>
      </c>
      <c r="C48">
        <v>46</v>
      </c>
      <c r="D48" t="s">
        <v>211</v>
      </c>
      <c r="E48">
        <v>0</v>
      </c>
      <c r="F48" t="s">
        <v>184</v>
      </c>
    </row>
    <row r="49" spans="1:6" x14ac:dyDescent="0.2">
      <c r="A49" t="s">
        <v>24</v>
      </c>
      <c r="B49">
        <v>40</v>
      </c>
      <c r="C49">
        <v>41</v>
      </c>
      <c r="D49" t="s">
        <v>25</v>
      </c>
      <c r="E49" t="s">
        <v>163</v>
      </c>
      <c r="F49" t="s">
        <v>155</v>
      </c>
    </row>
    <row r="50" spans="1:6" x14ac:dyDescent="0.2">
      <c r="A50" t="s">
        <v>24</v>
      </c>
      <c r="B50">
        <v>40</v>
      </c>
      <c r="C50">
        <v>45</v>
      </c>
      <c r="D50" t="s">
        <v>212</v>
      </c>
      <c r="E50">
        <v>0</v>
      </c>
      <c r="F50" t="s">
        <v>185</v>
      </c>
    </row>
    <row r="51" spans="1:6" x14ac:dyDescent="0.2">
      <c r="A51" t="s">
        <v>25</v>
      </c>
      <c r="B51">
        <v>41</v>
      </c>
      <c r="C51">
        <v>42</v>
      </c>
      <c r="D51" t="s">
        <v>213</v>
      </c>
      <c r="E51" t="s">
        <v>162</v>
      </c>
      <c r="F51" t="s">
        <v>156</v>
      </c>
    </row>
    <row r="52" spans="1:6" x14ac:dyDescent="0.2">
      <c r="A52" t="s">
        <v>25</v>
      </c>
      <c r="B52">
        <v>41</v>
      </c>
      <c r="C52">
        <v>43</v>
      </c>
      <c r="D52" t="s">
        <v>214</v>
      </c>
      <c r="E52" t="s">
        <v>162</v>
      </c>
      <c r="F52" t="s">
        <v>186</v>
      </c>
    </row>
    <row r="53" spans="1:6" x14ac:dyDescent="0.2">
      <c r="A53" t="s">
        <v>25</v>
      </c>
      <c r="B53">
        <v>41</v>
      </c>
      <c r="C53">
        <v>44</v>
      </c>
      <c r="D53" t="s">
        <v>215</v>
      </c>
      <c r="E53">
        <v>0</v>
      </c>
      <c r="F53" t="s">
        <v>154</v>
      </c>
    </row>
    <row r="54" spans="1:6" x14ac:dyDescent="0.2">
      <c r="A54" t="s">
        <v>26</v>
      </c>
      <c r="B54">
        <v>49</v>
      </c>
      <c r="C54">
        <v>50</v>
      </c>
      <c r="D54" t="s">
        <v>216</v>
      </c>
      <c r="E54">
        <v>0</v>
      </c>
      <c r="F54" t="s">
        <v>169</v>
      </c>
    </row>
    <row r="55" spans="1:6" x14ac:dyDescent="0.2">
      <c r="A55" t="s">
        <v>27</v>
      </c>
      <c r="B55">
        <v>52</v>
      </c>
      <c r="C55">
        <v>53</v>
      </c>
      <c r="D55" t="s">
        <v>217</v>
      </c>
      <c r="E55">
        <v>0</v>
      </c>
      <c r="F55" t="s">
        <v>169</v>
      </c>
    </row>
    <row r="56" spans="1:6" x14ac:dyDescent="0.2">
      <c r="A56" t="s">
        <v>28</v>
      </c>
      <c r="B56">
        <v>54</v>
      </c>
      <c r="C56">
        <v>55</v>
      </c>
      <c r="D56" t="s">
        <v>29</v>
      </c>
      <c r="E56" t="s">
        <v>159</v>
      </c>
      <c r="F56" s="2" t="s">
        <v>232</v>
      </c>
    </row>
    <row r="57" spans="1:6" x14ac:dyDescent="0.2">
      <c r="A57" t="s">
        <v>28</v>
      </c>
      <c r="B57">
        <v>54</v>
      </c>
      <c r="C57">
        <v>72</v>
      </c>
      <c r="D57" t="s">
        <v>218</v>
      </c>
      <c r="E57">
        <v>0</v>
      </c>
      <c r="F57" s="2" t="s">
        <v>233</v>
      </c>
    </row>
    <row r="58" spans="1:6" x14ac:dyDescent="0.2">
      <c r="A58" t="s">
        <v>29</v>
      </c>
      <c r="B58">
        <v>55</v>
      </c>
      <c r="C58">
        <v>56</v>
      </c>
      <c r="D58" t="s">
        <v>219</v>
      </c>
      <c r="E58">
        <v>0</v>
      </c>
      <c r="F58" t="s">
        <v>190</v>
      </c>
    </row>
    <row r="59" spans="1:6" x14ac:dyDescent="0.2">
      <c r="A59" t="s">
        <v>29</v>
      </c>
      <c r="B59">
        <v>55</v>
      </c>
      <c r="C59">
        <v>57</v>
      </c>
      <c r="D59" t="s">
        <v>30</v>
      </c>
      <c r="E59" t="s">
        <v>161</v>
      </c>
      <c r="F59" t="s">
        <v>173</v>
      </c>
    </row>
    <row r="60" spans="1:6" x14ac:dyDescent="0.2">
      <c r="A60" t="s">
        <v>30</v>
      </c>
      <c r="B60">
        <v>57</v>
      </c>
      <c r="C60">
        <v>58</v>
      </c>
      <c r="D60" t="s">
        <v>31</v>
      </c>
      <c r="E60" t="s">
        <v>165</v>
      </c>
      <c r="F60" t="s">
        <v>150</v>
      </c>
    </row>
    <row r="61" spans="1:6" x14ac:dyDescent="0.2">
      <c r="A61" t="s">
        <v>30</v>
      </c>
      <c r="B61">
        <v>57</v>
      </c>
      <c r="C61">
        <v>70</v>
      </c>
      <c r="D61" t="s">
        <v>36</v>
      </c>
      <c r="E61" t="s">
        <v>164</v>
      </c>
      <c r="F61" t="s">
        <v>187</v>
      </c>
    </row>
    <row r="62" spans="1:6" x14ac:dyDescent="0.2">
      <c r="A62" t="s">
        <v>31</v>
      </c>
      <c r="B62">
        <v>58</v>
      </c>
      <c r="C62">
        <v>59</v>
      </c>
      <c r="D62" t="s">
        <v>32</v>
      </c>
      <c r="E62" t="s">
        <v>162</v>
      </c>
      <c r="F62" t="s">
        <v>167</v>
      </c>
    </row>
    <row r="63" spans="1:6" x14ac:dyDescent="0.2">
      <c r="A63" t="s">
        <v>31</v>
      </c>
      <c r="B63">
        <v>58</v>
      </c>
      <c r="C63">
        <v>69</v>
      </c>
      <c r="D63" t="s">
        <v>220</v>
      </c>
      <c r="E63">
        <v>0</v>
      </c>
      <c r="F63" t="s">
        <v>182</v>
      </c>
    </row>
    <row r="64" spans="1:6" x14ac:dyDescent="0.2">
      <c r="A64" t="s">
        <v>32</v>
      </c>
      <c r="B64">
        <v>59</v>
      </c>
      <c r="C64">
        <v>60</v>
      </c>
      <c r="D64" t="s">
        <v>33</v>
      </c>
      <c r="E64" t="s">
        <v>165</v>
      </c>
      <c r="F64" t="s">
        <v>153</v>
      </c>
    </row>
    <row r="65" spans="1:6" x14ac:dyDescent="0.2">
      <c r="A65" t="s">
        <v>32</v>
      </c>
      <c r="B65">
        <v>59</v>
      </c>
      <c r="C65">
        <v>68</v>
      </c>
      <c r="D65" t="s">
        <v>221</v>
      </c>
      <c r="E65" t="s">
        <v>164</v>
      </c>
      <c r="F65" t="s">
        <v>183</v>
      </c>
    </row>
    <row r="66" spans="1:6" x14ac:dyDescent="0.2">
      <c r="A66" t="s">
        <v>33</v>
      </c>
      <c r="B66">
        <v>60</v>
      </c>
      <c r="C66">
        <v>61</v>
      </c>
      <c r="D66" t="s">
        <v>34</v>
      </c>
      <c r="E66" t="s">
        <v>157</v>
      </c>
      <c r="F66" t="s">
        <v>168</v>
      </c>
    </row>
    <row r="67" spans="1:6" x14ac:dyDescent="0.2">
      <c r="A67" t="s">
        <v>33</v>
      </c>
      <c r="B67">
        <v>60</v>
      </c>
      <c r="C67">
        <v>67</v>
      </c>
      <c r="D67" t="s">
        <v>222</v>
      </c>
      <c r="E67">
        <v>0</v>
      </c>
      <c r="F67" t="s">
        <v>184</v>
      </c>
    </row>
    <row r="68" spans="1:6" x14ac:dyDescent="0.2">
      <c r="A68" t="s">
        <v>34</v>
      </c>
      <c r="B68">
        <v>61</v>
      </c>
      <c r="C68">
        <v>62</v>
      </c>
      <c r="D68" t="s">
        <v>35</v>
      </c>
      <c r="E68" t="s">
        <v>163</v>
      </c>
      <c r="F68" t="s">
        <v>155</v>
      </c>
    </row>
    <row r="69" spans="1:6" x14ac:dyDescent="0.2">
      <c r="A69" t="s">
        <v>34</v>
      </c>
      <c r="B69">
        <v>61</v>
      </c>
      <c r="C69">
        <v>66</v>
      </c>
      <c r="D69" t="s">
        <v>223</v>
      </c>
      <c r="E69">
        <v>0</v>
      </c>
      <c r="F69" t="s">
        <v>185</v>
      </c>
    </row>
    <row r="70" spans="1:6" x14ac:dyDescent="0.2">
      <c r="A70" t="s">
        <v>35</v>
      </c>
      <c r="B70">
        <v>62</v>
      </c>
      <c r="C70">
        <v>63</v>
      </c>
      <c r="D70" t="s">
        <v>224</v>
      </c>
      <c r="E70" t="s">
        <v>162</v>
      </c>
      <c r="F70" t="s">
        <v>156</v>
      </c>
    </row>
    <row r="71" spans="1:6" x14ac:dyDescent="0.2">
      <c r="A71" t="s">
        <v>35</v>
      </c>
      <c r="B71">
        <v>62</v>
      </c>
      <c r="C71">
        <v>64</v>
      </c>
      <c r="D71" t="s">
        <v>225</v>
      </c>
      <c r="E71" t="s">
        <v>162</v>
      </c>
      <c r="F71" t="s">
        <v>186</v>
      </c>
    </row>
    <row r="72" spans="1:6" x14ac:dyDescent="0.2">
      <c r="A72" t="s">
        <v>35</v>
      </c>
      <c r="B72">
        <v>62</v>
      </c>
      <c r="C72">
        <v>65</v>
      </c>
      <c r="D72" t="s">
        <v>226</v>
      </c>
      <c r="E72">
        <v>0</v>
      </c>
      <c r="F72" t="s">
        <v>154</v>
      </c>
    </row>
    <row r="73" spans="1:6" x14ac:dyDescent="0.2">
      <c r="A73" t="s">
        <v>36</v>
      </c>
      <c r="B73">
        <v>70</v>
      </c>
      <c r="C73">
        <v>71</v>
      </c>
      <c r="D73" t="s">
        <v>227</v>
      </c>
      <c r="E73">
        <v>0</v>
      </c>
      <c r="F73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Sheet1</vt:lpstr>
      <vt:lpstr>Self-report</vt:lpstr>
      <vt:lpstr>Peer-led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Walker</dc:creator>
  <cp:lastModifiedBy>Josephine Walker</cp:lastModifiedBy>
  <dcterms:created xsi:type="dcterms:W3CDTF">2020-11-14T12:35:38Z</dcterms:created>
  <dcterms:modified xsi:type="dcterms:W3CDTF">2021-02-28T17:58:18Z</dcterms:modified>
</cp:coreProperties>
</file>