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E047" lockStructure="1"/>
  <bookViews>
    <workbookView xWindow="0" yWindow="480" windowWidth="20400" windowHeight="7845"/>
  </bookViews>
  <sheets>
    <sheet name="CONSULTA" sheetId="10" r:id="rId1"/>
    <sheet name="SECOS CON CUBICULO" sheetId="7" r:id="rId2"/>
    <sheet name="SECOS" sheetId="1" r:id="rId3"/>
    <sheet name="HORAS HOMBRE" sheetId="6" state="hidden" r:id="rId4"/>
    <sheet name="Hoja1" sheetId="4" state="hidden" r:id="rId5"/>
    <sheet name="ACEITE JEISON" sheetId="2" state="hidden" r:id="rId6"/>
    <sheet name="Hoja3" sheetId="3" state="hidden" r:id="rId7"/>
    <sheet name="ACEITE" sheetId="9" r:id="rId8"/>
    <sheet name="AJUSTES" sheetId="11" r:id="rId9"/>
    <sheet name="VALOR HH" sheetId="12" r:id="rId10"/>
  </sheets>
  <definedNames>
    <definedName name="_xlnm.Print_Area" localSheetId="5">'ACEITE JEISON'!$A$1:$T$114</definedName>
  </definedNames>
  <calcPr calcId="145621"/>
</workbook>
</file>

<file path=xl/calcChain.xml><?xml version="1.0" encoding="utf-8"?>
<calcChain xmlns="http://schemas.openxmlformats.org/spreadsheetml/2006/main">
  <c r="AZ15" i="1" l="1"/>
  <c r="BB15" i="1"/>
  <c r="BA15" i="1" s="1"/>
  <c r="Z16" i="1"/>
  <c r="Z17" i="1"/>
  <c r="Z18" i="1"/>
  <c r="Z19" i="1"/>
  <c r="W15" i="1"/>
  <c r="M15" i="1"/>
  <c r="Z15" i="1" s="1"/>
  <c r="O15" i="1"/>
  <c r="Q15" i="1"/>
  <c r="S15" i="1"/>
  <c r="U15" i="1"/>
  <c r="K15" i="1"/>
  <c r="M55" i="9" l="1"/>
  <c r="O55" i="9"/>
  <c r="Q55" i="9"/>
  <c r="S55" i="9"/>
  <c r="U55" i="9"/>
  <c r="W55" i="9"/>
  <c r="Y55" i="9"/>
  <c r="AA55" i="9"/>
  <c r="AC55" i="9"/>
  <c r="AE55" i="9"/>
  <c r="AG55" i="9"/>
  <c r="AI55" i="9"/>
  <c r="AK55" i="9"/>
  <c r="AM55" i="9"/>
  <c r="AO55" i="9"/>
  <c r="AQ55" i="9"/>
  <c r="AV55" i="9"/>
  <c r="AX55" i="9"/>
  <c r="AZ55" i="9"/>
  <c r="BB55" i="9"/>
  <c r="BD55" i="9"/>
  <c r="BF55" i="9"/>
  <c r="BH55" i="9"/>
  <c r="BJ55" i="9"/>
  <c r="BL55" i="9"/>
  <c r="BQ55" i="9"/>
  <c r="K55" i="9"/>
  <c r="AV5" i="1" l="1"/>
  <c r="AT5" i="1"/>
  <c r="AP5" i="1"/>
  <c r="AL5" i="1"/>
  <c r="AN5" i="1" s="1"/>
  <c r="AH5" i="1"/>
  <c r="AD5" i="1"/>
  <c r="AR5" i="1" s="1"/>
  <c r="AB5" i="1"/>
  <c r="AJ5" i="1" s="1"/>
  <c r="W5" i="1"/>
  <c r="U5" i="1"/>
  <c r="S5" i="1"/>
  <c r="Q5" i="1"/>
  <c r="O5" i="1"/>
  <c r="M5" i="1"/>
  <c r="BL5" i="9"/>
  <c r="BJ5" i="9"/>
  <c r="BH5" i="9"/>
  <c r="BF5" i="9"/>
  <c r="BD5" i="9"/>
  <c r="AZ5" i="9"/>
  <c r="AX5" i="9"/>
  <c r="AV5" i="9"/>
  <c r="AQ5" i="9"/>
  <c r="AK5" i="9"/>
  <c r="AF5" i="1" l="1"/>
  <c r="AC5" i="9"/>
  <c r="AO5" i="9" s="1"/>
  <c r="AA5" i="9"/>
  <c r="AM5" i="9" s="1"/>
  <c r="S5" i="9"/>
  <c r="Y5" i="9" s="1"/>
  <c r="Q5" i="9"/>
  <c r="W5" i="9" s="1"/>
  <c r="O5" i="9"/>
  <c r="M5" i="9"/>
  <c r="BH145" i="9" l="1"/>
  <c r="BD145" i="9"/>
  <c r="AQ145" i="9"/>
  <c r="AK145" i="9"/>
  <c r="K145" i="9"/>
  <c r="I145" i="9"/>
  <c r="G145" i="9"/>
  <c r="E145" i="9"/>
  <c r="D145" i="9"/>
  <c r="J145" i="9" s="1"/>
  <c r="BH144" i="9"/>
  <c r="BD144" i="9"/>
  <c r="AQ144" i="9"/>
  <c r="AK144" i="9"/>
  <c r="K144" i="9"/>
  <c r="I144" i="9"/>
  <c r="G144" i="9"/>
  <c r="E144" i="9"/>
  <c r="D144" i="9"/>
  <c r="BH143" i="9"/>
  <c r="BD143" i="9"/>
  <c r="AQ143" i="9"/>
  <c r="AK143" i="9"/>
  <c r="K143" i="9"/>
  <c r="I143" i="9"/>
  <c r="G143" i="9"/>
  <c r="E143" i="9"/>
  <c r="D143" i="9"/>
  <c r="J143" i="9" s="1"/>
  <c r="BH142" i="9"/>
  <c r="BD142" i="9"/>
  <c r="BR142" i="9"/>
  <c r="BQ142" i="9" s="1"/>
  <c r="AQ142" i="9"/>
  <c r="AK142" i="9"/>
  <c r="K142" i="9"/>
  <c r="I142" i="9"/>
  <c r="G142" i="9"/>
  <c r="E142" i="9"/>
  <c r="D142" i="9"/>
  <c r="BH141" i="9"/>
  <c r="BD141" i="9"/>
  <c r="AQ141" i="9"/>
  <c r="AK141" i="9"/>
  <c r="K141" i="9"/>
  <c r="I141" i="9"/>
  <c r="G141" i="9"/>
  <c r="E141" i="9"/>
  <c r="D141" i="9"/>
  <c r="BR140" i="9"/>
  <c r="BQ140" i="9" s="1"/>
  <c r="BH140" i="9"/>
  <c r="BD140" i="9"/>
  <c r="AQ140" i="9"/>
  <c r="AK140" i="9"/>
  <c r="K140" i="9"/>
  <c r="I140" i="9"/>
  <c r="G140" i="9"/>
  <c r="E140" i="9"/>
  <c r="D140" i="9"/>
  <c r="BH139" i="9"/>
  <c r="BD139" i="9"/>
  <c r="BR139" i="9"/>
  <c r="BQ139" i="9" s="1"/>
  <c r="AQ139" i="9"/>
  <c r="AK139" i="9"/>
  <c r="K139" i="9"/>
  <c r="I139" i="9"/>
  <c r="G139" i="9"/>
  <c r="E139" i="9"/>
  <c r="D139" i="9"/>
  <c r="BH138" i="9"/>
  <c r="BD138" i="9"/>
  <c r="BR138" i="9"/>
  <c r="BQ138" i="9" s="1"/>
  <c r="AQ138" i="9"/>
  <c r="AK138" i="9"/>
  <c r="K138" i="9"/>
  <c r="I138" i="9"/>
  <c r="G138" i="9"/>
  <c r="E138" i="9"/>
  <c r="BH137" i="9"/>
  <c r="BD137" i="9"/>
  <c r="BR137" i="9"/>
  <c r="BQ137" i="9" s="1"/>
  <c r="AQ137" i="9"/>
  <c r="AK137" i="9"/>
  <c r="K137" i="9"/>
  <c r="I137" i="9"/>
  <c r="G137" i="9"/>
  <c r="E137" i="9"/>
  <c r="BH136" i="9"/>
  <c r="BD136" i="9"/>
  <c r="AQ136" i="9"/>
  <c r="AK136" i="9"/>
  <c r="K136" i="9"/>
  <c r="I136" i="9"/>
  <c r="G136" i="9"/>
  <c r="E136" i="9"/>
  <c r="BH135" i="9"/>
  <c r="BD135" i="9"/>
  <c r="AQ135" i="9"/>
  <c r="AK135" i="9"/>
  <c r="K135" i="9"/>
  <c r="I135" i="9"/>
  <c r="G135" i="9"/>
  <c r="E135" i="9"/>
  <c r="BH134" i="9"/>
  <c r="BD134" i="9"/>
  <c r="BR134" i="9"/>
  <c r="BQ134" i="9" s="1"/>
  <c r="AQ134" i="9"/>
  <c r="AK134" i="9"/>
  <c r="K134" i="9"/>
  <c r="I134" i="9"/>
  <c r="G134" i="9"/>
  <c r="E134" i="9"/>
  <c r="BH133" i="9"/>
  <c r="BD133" i="9"/>
  <c r="BR133" i="9"/>
  <c r="BQ133" i="9" s="1"/>
  <c r="AQ133" i="9"/>
  <c r="AK133" i="9"/>
  <c r="K133" i="9"/>
  <c r="I133" i="9"/>
  <c r="G133" i="9"/>
  <c r="E133" i="9"/>
  <c r="BH132" i="9"/>
  <c r="BD132" i="9"/>
  <c r="BR132" i="9"/>
  <c r="BQ132" i="9" s="1"/>
  <c r="AQ132" i="9"/>
  <c r="AK132" i="9"/>
  <c r="K132" i="9"/>
  <c r="I132" i="9"/>
  <c r="G132" i="9"/>
  <c r="E132" i="9"/>
  <c r="BH131" i="9"/>
  <c r="BD131" i="9"/>
  <c r="BR131" i="9"/>
  <c r="BQ131" i="9" s="1"/>
  <c r="AQ131" i="9"/>
  <c r="AK131" i="9"/>
  <c r="K131" i="9"/>
  <c r="I131" i="9"/>
  <c r="G131" i="9"/>
  <c r="E131" i="9"/>
  <c r="BH130" i="9"/>
  <c r="BD130" i="9"/>
  <c r="BR130" i="9"/>
  <c r="BQ130" i="9" s="1"/>
  <c r="AQ130" i="9"/>
  <c r="AK130" i="9"/>
  <c r="K130" i="9"/>
  <c r="I130" i="9"/>
  <c r="G130" i="9"/>
  <c r="E130" i="9"/>
  <c r="BH129" i="9"/>
  <c r="BD129" i="9"/>
  <c r="BR129" i="9"/>
  <c r="BQ129" i="9" s="1"/>
  <c r="AQ129" i="9"/>
  <c r="AK129" i="9"/>
  <c r="K129" i="9"/>
  <c r="I129" i="9"/>
  <c r="G129" i="9"/>
  <c r="E129" i="9"/>
  <c r="J142" i="9" l="1"/>
  <c r="J144" i="9"/>
  <c r="J141" i="9"/>
  <c r="BR135" i="9"/>
  <c r="BQ135" i="9" s="1"/>
  <c r="BR136" i="9"/>
  <c r="BQ136" i="9" s="1"/>
  <c r="J140" i="9"/>
  <c r="BR141" i="9"/>
  <c r="BQ141" i="9" s="1"/>
  <c r="J139" i="9"/>
  <c r="BR143" i="9"/>
  <c r="BQ143" i="9" s="1"/>
  <c r="BR144" i="9"/>
  <c r="BQ144" i="9" s="1"/>
  <c r="BR145" i="9"/>
  <c r="BQ145" i="9" s="1"/>
  <c r="BB27" i="1"/>
  <c r="BA27" i="1" s="1"/>
  <c r="AX27" i="1"/>
  <c r="AV27" i="1"/>
  <c r="AT27" i="1"/>
  <c r="AR27" i="1"/>
  <c r="AP27" i="1"/>
  <c r="AN27" i="1"/>
  <c r="AL27" i="1"/>
  <c r="AH27" i="1"/>
  <c r="AF27" i="1"/>
  <c r="AD27" i="1"/>
  <c r="AB27" i="1"/>
  <c r="Y27" i="1"/>
  <c r="W27" i="1"/>
  <c r="U27" i="1"/>
  <c r="S27" i="1"/>
  <c r="Q27" i="1"/>
  <c r="O27" i="1"/>
  <c r="M27" i="1"/>
  <c r="K27" i="1"/>
  <c r="I27" i="1"/>
  <c r="G27" i="1"/>
  <c r="E27" i="1"/>
  <c r="J27" i="1" s="1"/>
  <c r="BB26" i="1"/>
  <c r="BA26" i="1" s="1"/>
  <c r="AX26" i="1"/>
  <c r="AV26" i="1"/>
  <c r="AT26" i="1"/>
  <c r="AR26" i="1"/>
  <c r="AP26" i="1"/>
  <c r="AN26" i="1"/>
  <c r="AL26" i="1"/>
  <c r="AH26" i="1"/>
  <c r="AF26" i="1"/>
  <c r="AD26" i="1"/>
  <c r="AB26" i="1"/>
  <c r="Y26" i="1"/>
  <c r="W26" i="1"/>
  <c r="U26" i="1"/>
  <c r="S26" i="1"/>
  <c r="Q26" i="1"/>
  <c r="O26" i="1"/>
  <c r="M26" i="1"/>
  <c r="K26" i="1"/>
  <c r="I26" i="1"/>
  <c r="G26" i="1"/>
  <c r="E26" i="1"/>
  <c r="J26" i="1" l="1"/>
  <c r="Z27" i="1"/>
  <c r="Z26" i="1"/>
  <c r="K83" i="1"/>
  <c r="K82" i="1"/>
  <c r="K81" i="1"/>
  <c r="K80" i="1"/>
  <c r="K79" i="1"/>
  <c r="K78" i="1"/>
  <c r="K77" i="1"/>
  <c r="M15" i="11"/>
  <c r="BB83" i="1"/>
  <c r="BB82" i="1"/>
  <c r="BB77" i="1"/>
  <c r="BB78" i="1"/>
  <c r="BB79" i="1"/>
  <c r="BB80" i="1"/>
  <c r="BB81" i="1"/>
  <c r="L14" i="11"/>
  <c r="M14" i="11"/>
  <c r="M4" i="11"/>
  <c r="M5" i="11"/>
  <c r="M6" i="11"/>
  <c r="M7" i="11"/>
  <c r="M8" i="11"/>
  <c r="M9" i="11"/>
  <c r="M10" i="11"/>
  <c r="M11" i="11"/>
  <c r="M12" i="11"/>
  <c r="M13" i="11"/>
  <c r="M3" i="11"/>
  <c r="J15" i="11"/>
  <c r="H14" i="11"/>
  <c r="J14" i="11"/>
  <c r="J4" i="11"/>
  <c r="J5" i="11"/>
  <c r="J6" i="11"/>
  <c r="J7" i="11"/>
  <c r="J8" i="11"/>
  <c r="J9" i="11"/>
  <c r="J10" i="11"/>
  <c r="J11" i="11"/>
  <c r="J12" i="11"/>
  <c r="J13" i="11"/>
  <c r="J3" i="11"/>
  <c r="O1" i="10" l="1"/>
  <c r="C15" i="11" l="1"/>
  <c r="E18" i="11" s="1"/>
  <c r="E4" i="11"/>
  <c r="E5" i="11"/>
  <c r="E6" i="11"/>
  <c r="E7" i="11"/>
  <c r="E8" i="11"/>
  <c r="E9" i="11"/>
  <c r="E10" i="11"/>
  <c r="E11" i="11"/>
  <c r="E12" i="11"/>
  <c r="E13" i="11"/>
  <c r="E14" i="11"/>
  <c r="E3" i="11"/>
  <c r="E15" i="11" l="1"/>
  <c r="E17" i="11" s="1"/>
  <c r="BR126" i="9"/>
  <c r="BR127" i="9"/>
  <c r="BD127" i="9"/>
  <c r="AJ25" i="7" l="1"/>
  <c r="BO25" i="7" s="1"/>
  <c r="AJ34" i="7"/>
  <c r="BO34" i="7" s="1"/>
  <c r="AJ33" i="7"/>
  <c r="BO33" i="7" s="1"/>
  <c r="AJ32" i="7"/>
  <c r="BO32" i="7" s="1"/>
  <c r="AJ31" i="7"/>
  <c r="BO31" i="7" s="1"/>
  <c r="AJ30" i="7"/>
  <c r="BO30" i="7" s="1"/>
  <c r="AJ29" i="7"/>
  <c r="BO29" i="7" s="1"/>
  <c r="AJ28" i="7"/>
  <c r="BO28" i="7" s="1"/>
  <c r="AJ27" i="7"/>
  <c r="BO27" i="7" s="1"/>
  <c r="AJ26" i="7"/>
  <c r="BO26" i="7" s="1"/>
  <c r="AJ24" i="7"/>
  <c r="BO24" i="7" s="1"/>
  <c r="AJ23" i="7"/>
  <c r="BO23" i="7" s="1"/>
  <c r="AJ22" i="7"/>
  <c r="BO22" i="7" s="1"/>
  <c r="AJ21" i="7"/>
  <c r="BO21" i="7" s="1"/>
  <c r="AJ20" i="7"/>
  <c r="BO20" i="7" s="1"/>
  <c r="BD126" i="9" l="1"/>
  <c r="BR16" i="9" l="1"/>
  <c r="BR15" i="9"/>
  <c r="BR14" i="9"/>
  <c r="BR13" i="9"/>
  <c r="BR12" i="9"/>
  <c r="BH84" i="9" l="1"/>
  <c r="BD84" i="9"/>
  <c r="BR84" i="9"/>
  <c r="BQ84" i="9" s="1"/>
  <c r="AQ84" i="9"/>
  <c r="AK84" i="9"/>
  <c r="K84" i="9"/>
  <c r="I84" i="9"/>
  <c r="G84" i="9"/>
  <c r="F84" i="9"/>
  <c r="E84" i="9"/>
  <c r="BH67" i="9"/>
  <c r="BD67" i="9"/>
  <c r="BR67" i="9"/>
  <c r="BQ67" i="9" s="1"/>
  <c r="AQ67" i="9"/>
  <c r="AK67" i="9"/>
  <c r="K67" i="9"/>
  <c r="I67" i="9"/>
  <c r="G67" i="9"/>
  <c r="E67" i="9"/>
  <c r="D67" i="9"/>
  <c r="D84" i="9" s="1"/>
  <c r="BR33" i="9"/>
  <c r="BQ33" i="9" s="1"/>
  <c r="BH33" i="9"/>
  <c r="BD33" i="9"/>
  <c r="AQ33" i="9"/>
  <c r="AK33" i="9"/>
  <c r="K33" i="9"/>
  <c r="I33" i="9"/>
  <c r="G33" i="9"/>
  <c r="E33" i="9"/>
  <c r="M74" i="1"/>
  <c r="J84" i="9" l="1"/>
  <c r="J67" i="9"/>
  <c r="J33" i="9"/>
  <c r="K125" i="9"/>
  <c r="K117" i="9"/>
  <c r="K107" i="9"/>
  <c r="K108" i="9"/>
  <c r="K109" i="9"/>
  <c r="K110" i="9"/>
  <c r="K111" i="9"/>
  <c r="K112" i="9"/>
  <c r="K113" i="9"/>
  <c r="K114" i="9"/>
  <c r="K115" i="9"/>
  <c r="K116" i="9"/>
  <c r="K118" i="9"/>
  <c r="K119" i="9"/>
  <c r="K120" i="9"/>
  <c r="K121" i="9"/>
  <c r="K122" i="9"/>
  <c r="K123" i="9"/>
  <c r="K124" i="9"/>
  <c r="K106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90" i="9"/>
  <c r="K74" i="9"/>
  <c r="K75" i="9"/>
  <c r="K76" i="9"/>
  <c r="K77" i="9"/>
  <c r="K78" i="9"/>
  <c r="K79" i="9"/>
  <c r="K80" i="9"/>
  <c r="K81" i="9"/>
  <c r="K82" i="9"/>
  <c r="K83" i="9"/>
  <c r="K85" i="9"/>
  <c r="K86" i="9"/>
  <c r="K87" i="9"/>
  <c r="K88" i="9"/>
  <c r="K89" i="9"/>
  <c r="K73" i="9"/>
  <c r="K57" i="9"/>
  <c r="K58" i="9"/>
  <c r="K59" i="9"/>
  <c r="K60" i="9"/>
  <c r="K61" i="9"/>
  <c r="K62" i="9"/>
  <c r="K63" i="9"/>
  <c r="K64" i="9"/>
  <c r="K65" i="9"/>
  <c r="K66" i="9"/>
  <c r="K68" i="9"/>
  <c r="K69" i="9"/>
  <c r="K70" i="9"/>
  <c r="K71" i="9"/>
  <c r="K72" i="9"/>
  <c r="K56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39" i="9"/>
  <c r="K23" i="9"/>
  <c r="K24" i="9"/>
  <c r="K25" i="9"/>
  <c r="K26" i="9"/>
  <c r="K27" i="9"/>
  <c r="K28" i="9"/>
  <c r="K29" i="9"/>
  <c r="K30" i="9"/>
  <c r="K31" i="9"/>
  <c r="K32" i="9"/>
  <c r="K34" i="9"/>
  <c r="K35" i="9"/>
  <c r="K36" i="9"/>
  <c r="K37" i="9"/>
  <c r="K38" i="9"/>
  <c r="K22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6" i="9"/>
  <c r="BB36" i="1"/>
  <c r="BA36" i="1" s="1"/>
  <c r="AX36" i="1"/>
  <c r="AV36" i="1"/>
  <c r="AT36" i="1"/>
  <c r="AR36" i="1"/>
  <c r="AP36" i="1"/>
  <c r="AN36" i="1"/>
  <c r="AL36" i="1"/>
  <c r="AH36" i="1"/>
  <c r="AF36" i="1"/>
  <c r="AD36" i="1"/>
  <c r="AB36" i="1"/>
  <c r="Y36" i="1"/>
  <c r="W36" i="1"/>
  <c r="U36" i="1"/>
  <c r="S36" i="1"/>
  <c r="Q36" i="1"/>
  <c r="O36" i="1"/>
  <c r="M36" i="1"/>
  <c r="K36" i="1"/>
  <c r="I36" i="1"/>
  <c r="G36" i="1"/>
  <c r="E36" i="1"/>
  <c r="J36" i="1" l="1"/>
  <c r="Z36" i="1"/>
  <c r="N11" i="10"/>
  <c r="N21" i="10"/>
  <c r="N20" i="10"/>
  <c r="N23" i="10"/>
  <c r="N22" i="10"/>
  <c r="N16" i="10"/>
  <c r="N13" i="10"/>
  <c r="N14" i="10"/>
  <c r="N15" i="10"/>
  <c r="N10" i="10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5" i="7"/>
  <c r="AJ11" i="7"/>
  <c r="BO11" i="7" s="1"/>
  <c r="BP11" i="7" s="1"/>
  <c r="I11" i="7"/>
  <c r="J11" i="7" s="1"/>
  <c r="G11" i="7"/>
  <c r="E11" i="7"/>
  <c r="AJ6" i="7"/>
  <c r="BO6" i="7" s="1"/>
  <c r="BP6" i="7" s="1"/>
  <c r="I6" i="7"/>
  <c r="G6" i="7"/>
  <c r="E6" i="7"/>
  <c r="J6" i="7" s="1"/>
  <c r="AX5" i="7"/>
  <c r="AX6" i="7" s="1"/>
  <c r="AJ5" i="7"/>
  <c r="I5" i="7"/>
  <c r="G5" i="7"/>
  <c r="E5" i="7"/>
  <c r="J5" i="7" s="1"/>
  <c r="AJ8" i="7"/>
  <c r="BO8" i="7" s="1"/>
  <c r="BP8" i="7" s="1"/>
  <c r="I8" i="7"/>
  <c r="J8" i="7" s="1"/>
  <c r="G8" i="7"/>
  <c r="E8" i="7"/>
  <c r="I5" i="10"/>
  <c r="J1" i="10" s="1"/>
  <c r="BB6" i="1"/>
  <c r="E1" i="10"/>
  <c r="K67" i="1"/>
  <c r="K68" i="1"/>
  <c r="K69" i="1"/>
  <c r="K70" i="1"/>
  <c r="K71" i="1"/>
  <c r="K72" i="1"/>
  <c r="K73" i="1"/>
  <c r="K74" i="1"/>
  <c r="K75" i="1"/>
  <c r="K76" i="1"/>
  <c r="K66" i="1"/>
  <c r="K54" i="1"/>
  <c r="K55" i="1"/>
  <c r="K56" i="1"/>
  <c r="K57" i="1"/>
  <c r="K58" i="1"/>
  <c r="K59" i="1"/>
  <c r="K60" i="1"/>
  <c r="K61" i="1"/>
  <c r="K62" i="1"/>
  <c r="K63" i="1"/>
  <c r="K64" i="1"/>
  <c r="K65" i="1"/>
  <c r="K53" i="1"/>
  <c r="K43" i="1"/>
  <c r="K44" i="1"/>
  <c r="K45" i="1"/>
  <c r="K46" i="1"/>
  <c r="K47" i="1"/>
  <c r="K48" i="1"/>
  <c r="K49" i="1"/>
  <c r="K50" i="1"/>
  <c r="K51" i="1"/>
  <c r="K52" i="1"/>
  <c r="K42" i="1"/>
  <c r="K29" i="1"/>
  <c r="K30" i="1"/>
  <c r="K31" i="1"/>
  <c r="K32" i="1"/>
  <c r="K33" i="1"/>
  <c r="K34" i="1"/>
  <c r="K35" i="1"/>
  <c r="K37" i="1"/>
  <c r="K38" i="1"/>
  <c r="K39" i="1"/>
  <c r="K40" i="1"/>
  <c r="K41" i="1"/>
  <c r="K28" i="1"/>
  <c r="K7" i="1"/>
  <c r="K8" i="1"/>
  <c r="K9" i="1"/>
  <c r="K10" i="1"/>
  <c r="K11" i="1"/>
  <c r="K12" i="1"/>
  <c r="K13" i="1"/>
  <c r="K14" i="1"/>
  <c r="K16" i="1"/>
  <c r="K17" i="1"/>
  <c r="K18" i="1"/>
  <c r="K19" i="1"/>
  <c r="K20" i="1"/>
  <c r="K21" i="1"/>
  <c r="K22" i="1"/>
  <c r="K23" i="1"/>
  <c r="K24" i="1"/>
  <c r="K25" i="1"/>
  <c r="K6" i="1"/>
  <c r="Y6" i="1"/>
  <c r="O6" i="1"/>
  <c r="M6" i="1"/>
  <c r="BB12" i="1"/>
  <c r="BA12" i="1"/>
  <c r="AX12" i="1"/>
  <c r="AV12" i="1"/>
  <c r="AT12" i="1"/>
  <c r="AR12" i="1"/>
  <c r="AP12" i="1"/>
  <c r="AN12" i="1"/>
  <c r="AL12" i="1"/>
  <c r="AH12" i="1"/>
  <c r="AF12" i="1"/>
  <c r="AD12" i="1"/>
  <c r="AB12" i="1"/>
  <c r="Y12" i="1"/>
  <c r="W12" i="1"/>
  <c r="U12" i="1"/>
  <c r="S12" i="1"/>
  <c r="Q12" i="1"/>
  <c r="O12" i="1"/>
  <c r="Z12" i="1" s="1"/>
  <c r="M12" i="1"/>
  <c r="I12" i="1"/>
  <c r="G12" i="1"/>
  <c r="E12" i="1"/>
  <c r="BB7" i="1"/>
  <c r="BA7" i="1"/>
  <c r="AX7" i="1"/>
  <c r="AV7" i="1"/>
  <c r="AT7" i="1"/>
  <c r="AR7" i="1"/>
  <c r="AP7" i="1"/>
  <c r="AN7" i="1"/>
  <c r="AL7" i="1"/>
  <c r="AH7" i="1"/>
  <c r="AF7" i="1"/>
  <c r="AD7" i="1"/>
  <c r="AB7" i="1"/>
  <c r="Y7" i="1"/>
  <c r="W7" i="1"/>
  <c r="U7" i="1"/>
  <c r="S7" i="1"/>
  <c r="Q7" i="1"/>
  <c r="O7" i="1"/>
  <c r="M7" i="1"/>
  <c r="I7" i="1"/>
  <c r="E7" i="1"/>
  <c r="BB8" i="1"/>
  <c r="BA8" i="1" s="1"/>
  <c r="AX8" i="1"/>
  <c r="AV8" i="1"/>
  <c r="AT8" i="1"/>
  <c r="AR8" i="1"/>
  <c r="AP8" i="1"/>
  <c r="AN8" i="1"/>
  <c r="AL8" i="1"/>
  <c r="AH8" i="1"/>
  <c r="AF8" i="1"/>
  <c r="AD8" i="1"/>
  <c r="AB8" i="1"/>
  <c r="Y8" i="1"/>
  <c r="W8" i="1"/>
  <c r="U8" i="1"/>
  <c r="S8" i="1"/>
  <c r="Q8" i="1"/>
  <c r="O8" i="1"/>
  <c r="M8" i="1"/>
  <c r="I8" i="1"/>
  <c r="E8" i="1"/>
  <c r="BA6" i="1"/>
  <c r="AX6" i="1"/>
  <c r="AV6" i="1"/>
  <c r="AT6" i="1"/>
  <c r="AR6" i="1"/>
  <c r="AP6" i="1"/>
  <c r="AN6" i="1"/>
  <c r="AL6" i="1"/>
  <c r="AH6" i="1"/>
  <c r="AF6" i="1"/>
  <c r="AD6" i="1"/>
  <c r="AB6" i="1"/>
  <c r="W6" i="1"/>
  <c r="U6" i="1"/>
  <c r="S6" i="1"/>
  <c r="Q6" i="1"/>
  <c r="I6" i="1"/>
  <c r="E6" i="1"/>
  <c r="AJ9" i="7"/>
  <c r="AJ10" i="7"/>
  <c r="BO10" i="7" s="1"/>
  <c r="BP10" i="7" s="1"/>
  <c r="AJ12" i="7"/>
  <c r="BO12" i="7" s="1"/>
  <c r="BP12" i="7" s="1"/>
  <c r="AJ13" i="7"/>
  <c r="BO13" i="7" s="1"/>
  <c r="BP13" i="7" s="1"/>
  <c r="AJ14" i="7"/>
  <c r="BO14" i="7" s="1"/>
  <c r="BP14" i="7" s="1"/>
  <c r="AJ15" i="7"/>
  <c r="BO15" i="7" s="1"/>
  <c r="BP15" i="7" s="1"/>
  <c r="AJ16" i="7"/>
  <c r="BO16" i="7" s="1"/>
  <c r="BP16" i="7" s="1"/>
  <c r="AJ17" i="7"/>
  <c r="AJ18" i="7"/>
  <c r="BO18" i="7" s="1"/>
  <c r="BP18" i="7" s="1"/>
  <c r="AJ19" i="7"/>
  <c r="BO19" i="7" s="1"/>
  <c r="BP19" i="7" s="1"/>
  <c r="AJ7" i="7"/>
  <c r="BO7" i="7" s="1"/>
  <c r="BP7" i="7" s="1"/>
  <c r="AK4" i="7"/>
  <c r="AK8" i="7" s="1"/>
  <c r="BO9" i="7"/>
  <c r="BP9" i="7" s="1"/>
  <c r="BL4" i="7"/>
  <c r="BL8" i="7" s="1"/>
  <c r="BJ4" i="7"/>
  <c r="BJ8" i="7" s="1"/>
  <c r="BH4" i="7"/>
  <c r="BH8" i="7" s="1"/>
  <c r="BB4" i="7"/>
  <c r="AX4" i="7"/>
  <c r="AZ4" i="7" s="1"/>
  <c r="AZ8" i="7" s="1"/>
  <c r="AR4" i="7"/>
  <c r="AP4" i="7"/>
  <c r="AP8" i="7" s="1"/>
  <c r="AN4" i="7"/>
  <c r="Y4" i="7"/>
  <c r="Y10" i="7" s="1"/>
  <c r="W4" i="7"/>
  <c r="W17" i="7" s="1"/>
  <c r="U4" i="7"/>
  <c r="AG4" i="7" s="1"/>
  <c r="AG6" i="7" s="1"/>
  <c r="S4" i="7"/>
  <c r="Q4" i="7"/>
  <c r="Q14" i="7" s="1"/>
  <c r="O4" i="7"/>
  <c r="O14" i="7" s="1"/>
  <c r="M4" i="7"/>
  <c r="M10" i="7" s="1"/>
  <c r="S10" i="7" l="1"/>
  <c r="AC4" i="7"/>
  <c r="AN9" i="7"/>
  <c r="AT4" i="7"/>
  <c r="AV4" i="7"/>
  <c r="AR7" i="7"/>
  <c r="BF4" i="7"/>
  <c r="BF6" i="7" s="1"/>
  <c r="Z6" i="1"/>
  <c r="Z7" i="1"/>
  <c r="U11" i="7"/>
  <c r="J12" i="1"/>
  <c r="I23" i="10"/>
  <c r="D11" i="10"/>
  <c r="Z8" i="1"/>
  <c r="BO5" i="7"/>
  <c r="BP5" i="7" s="1"/>
  <c r="I15" i="10"/>
  <c r="I11" i="10"/>
  <c r="D15" i="10"/>
  <c r="D16" i="10"/>
  <c r="D18" i="10"/>
  <c r="I20" i="10"/>
  <c r="I13" i="10"/>
  <c r="I19" i="10"/>
  <c r="I17" i="10"/>
  <c r="I12" i="10"/>
  <c r="I10" i="10"/>
  <c r="I21" i="10"/>
  <c r="I18" i="10"/>
  <c r="I16" i="10"/>
  <c r="I14" i="10"/>
  <c r="AK11" i="7"/>
  <c r="BO17" i="7"/>
  <c r="AG11" i="7"/>
  <c r="BB11" i="7"/>
  <c r="D20" i="10"/>
  <c r="O11" i="7"/>
  <c r="D13" i="10"/>
  <c r="D14" i="10"/>
  <c r="D17" i="10"/>
  <c r="D10" i="10"/>
  <c r="D12" i="10"/>
  <c r="D19" i="10"/>
  <c r="W5" i="7"/>
  <c r="Q6" i="7"/>
  <c r="Q11" i="7"/>
  <c r="W11" i="7"/>
  <c r="AR11" i="7"/>
  <c r="BJ11" i="7"/>
  <c r="AP11" i="7"/>
  <c r="W6" i="7"/>
  <c r="M11" i="7"/>
  <c r="S11" i="7"/>
  <c r="Y11" i="7"/>
  <c r="AN11" i="7"/>
  <c r="AT11" i="7"/>
  <c r="AZ11" i="7"/>
  <c r="BL11" i="7"/>
  <c r="Q5" i="7"/>
  <c r="BH11" i="7"/>
  <c r="O8" i="7"/>
  <c r="BB8" i="7"/>
  <c r="AR5" i="7"/>
  <c r="BJ5" i="7"/>
  <c r="AR6" i="7"/>
  <c r="BJ6" i="7"/>
  <c r="U8" i="7"/>
  <c r="AN8" i="7"/>
  <c r="M5" i="7"/>
  <c r="S5" i="7"/>
  <c r="Y5" i="7"/>
  <c r="AN5" i="7"/>
  <c r="AT5" i="7"/>
  <c r="AZ5" i="7"/>
  <c r="BF5" i="7"/>
  <c r="BL5" i="7"/>
  <c r="M6" i="7"/>
  <c r="S6" i="7"/>
  <c r="Y6" i="7"/>
  <c r="AN6" i="7"/>
  <c r="AT6" i="7"/>
  <c r="AZ6" i="7"/>
  <c r="BL6" i="7"/>
  <c r="AG8" i="7"/>
  <c r="O5" i="7"/>
  <c r="U5" i="7"/>
  <c r="AG5" i="7"/>
  <c r="AK5" i="7"/>
  <c r="AP5" i="7"/>
  <c r="BB5" i="7"/>
  <c r="BH5" i="7"/>
  <c r="O6" i="7"/>
  <c r="U6" i="7"/>
  <c r="AK6" i="7"/>
  <c r="AP6" i="7"/>
  <c r="BB6" i="7"/>
  <c r="BH6" i="7"/>
  <c r="Q8" i="7"/>
  <c r="W8" i="7"/>
  <c r="AR8" i="7"/>
  <c r="M8" i="7"/>
  <c r="S8" i="7"/>
  <c r="Y8" i="7"/>
  <c r="AN7" i="7"/>
  <c r="U7" i="7"/>
  <c r="AN18" i="7"/>
  <c r="Q19" i="7"/>
  <c r="Q9" i="7"/>
  <c r="Q16" i="7"/>
  <c r="AN15" i="7"/>
  <c r="AA4" i="7"/>
  <c r="AA11" i="7" s="1"/>
  <c r="O18" i="7"/>
  <c r="Q10" i="7"/>
  <c r="W14" i="7"/>
  <c r="AN12" i="7"/>
  <c r="AI4" i="7"/>
  <c r="AI11" i="7" s="1"/>
  <c r="M18" i="7"/>
  <c r="M13" i="7"/>
  <c r="S18" i="7"/>
  <c r="Y16" i="7"/>
  <c r="Y12" i="7"/>
  <c r="AI7" i="7"/>
  <c r="M16" i="7"/>
  <c r="M12" i="7"/>
  <c r="S16" i="7"/>
  <c r="S12" i="7"/>
  <c r="U15" i="7"/>
  <c r="Y19" i="7"/>
  <c r="Y15" i="7"/>
  <c r="Y9" i="7"/>
  <c r="AN17" i="7"/>
  <c r="AN14" i="7"/>
  <c r="AN10" i="7"/>
  <c r="M19" i="7"/>
  <c r="M15" i="7"/>
  <c r="M9" i="7"/>
  <c r="Q7" i="7"/>
  <c r="S19" i="7"/>
  <c r="S15" i="7"/>
  <c r="S9" i="7"/>
  <c r="Y18" i="7"/>
  <c r="Y13" i="7"/>
  <c r="AK7" i="7"/>
  <c r="AN19" i="7"/>
  <c r="AN16" i="7"/>
  <c r="AN13" i="7"/>
  <c r="S13" i="7"/>
  <c r="AG9" i="7"/>
  <c r="AG13" i="7"/>
  <c r="AG16" i="7"/>
  <c r="AG19" i="7"/>
  <c r="AG10" i="7"/>
  <c r="AG14" i="7"/>
  <c r="AG17" i="7"/>
  <c r="AG7" i="7"/>
  <c r="AG18" i="7"/>
  <c r="O9" i="7"/>
  <c r="O13" i="7"/>
  <c r="O16" i="7"/>
  <c r="O19" i="7"/>
  <c r="U9" i="7"/>
  <c r="U13" i="7"/>
  <c r="U16" i="7"/>
  <c r="U19" i="7"/>
  <c r="U10" i="7"/>
  <c r="U14" i="7"/>
  <c r="O17" i="7"/>
  <c r="O12" i="7"/>
  <c r="U18" i="7"/>
  <c r="U12" i="7"/>
  <c r="AG15" i="7"/>
  <c r="Q12" i="7"/>
  <c r="Q15" i="7"/>
  <c r="Q18" i="7"/>
  <c r="W12" i="7"/>
  <c r="W15" i="7"/>
  <c r="W18" i="7"/>
  <c r="W9" i="7"/>
  <c r="W13" i="7"/>
  <c r="W16" i="7"/>
  <c r="W19" i="7"/>
  <c r="AC11" i="7"/>
  <c r="O7" i="7"/>
  <c r="O15" i="7"/>
  <c r="O10" i="7"/>
  <c r="Q17" i="7"/>
  <c r="Q13" i="7"/>
  <c r="U17" i="7"/>
  <c r="W7" i="7"/>
  <c r="W10" i="7"/>
  <c r="AG12" i="7"/>
  <c r="AE4" i="7"/>
  <c r="AE11" i="7" s="1"/>
  <c r="M7" i="7"/>
  <c r="M17" i="7"/>
  <c r="M14" i="7"/>
  <c r="S7" i="7"/>
  <c r="S17" i="7"/>
  <c r="S14" i="7"/>
  <c r="Y7" i="7"/>
  <c r="Y17" i="7"/>
  <c r="Y14" i="7"/>
  <c r="BH7" i="9"/>
  <c r="BH8" i="9"/>
  <c r="BH9" i="9"/>
  <c r="BH10" i="9"/>
  <c r="BH11" i="9"/>
  <c r="BH12" i="9"/>
  <c r="BH13" i="9"/>
  <c r="BH14" i="9"/>
  <c r="BH15" i="9"/>
  <c r="BH16" i="9"/>
  <c r="BH17" i="9"/>
  <c r="BH18" i="9"/>
  <c r="BH19" i="9"/>
  <c r="BH20" i="9"/>
  <c r="BH21" i="9"/>
  <c r="BH22" i="9"/>
  <c r="BH23" i="9"/>
  <c r="BH24" i="9"/>
  <c r="BH25" i="9"/>
  <c r="BH26" i="9"/>
  <c r="BH27" i="9"/>
  <c r="BH28" i="9"/>
  <c r="BH29" i="9"/>
  <c r="BH30" i="9"/>
  <c r="BH31" i="9"/>
  <c r="BH32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6" i="9"/>
  <c r="BH57" i="9"/>
  <c r="BH58" i="9"/>
  <c r="BH59" i="9"/>
  <c r="BH60" i="9"/>
  <c r="BH61" i="9"/>
  <c r="BH62" i="9"/>
  <c r="BH63" i="9"/>
  <c r="BH64" i="9"/>
  <c r="BH65" i="9"/>
  <c r="BH66" i="9"/>
  <c r="BH68" i="9"/>
  <c r="BH69" i="9"/>
  <c r="BH70" i="9"/>
  <c r="BH71" i="9"/>
  <c r="BH72" i="9"/>
  <c r="BH73" i="9"/>
  <c r="BH74" i="9"/>
  <c r="BH75" i="9"/>
  <c r="BH76" i="9"/>
  <c r="BH77" i="9"/>
  <c r="BH78" i="9"/>
  <c r="BH79" i="9"/>
  <c r="BH80" i="9"/>
  <c r="BH81" i="9"/>
  <c r="BH82" i="9"/>
  <c r="BH83" i="9"/>
  <c r="BH85" i="9"/>
  <c r="BH86" i="9"/>
  <c r="BH87" i="9"/>
  <c r="BH88" i="9"/>
  <c r="BH89" i="9"/>
  <c r="BH90" i="9"/>
  <c r="BH91" i="9"/>
  <c r="BH92" i="9"/>
  <c r="BH93" i="9"/>
  <c r="BH94" i="9"/>
  <c r="BH95" i="9"/>
  <c r="BH96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D7" i="9"/>
  <c r="BD8" i="9"/>
  <c r="BD9" i="9"/>
  <c r="BD10" i="9"/>
  <c r="BD11" i="9"/>
  <c r="BD12" i="9"/>
  <c r="BD13" i="9"/>
  <c r="BD14" i="9"/>
  <c r="BD15" i="9"/>
  <c r="BD16" i="9"/>
  <c r="BD17" i="9"/>
  <c r="BD18" i="9"/>
  <c r="BD19" i="9"/>
  <c r="BD20" i="9"/>
  <c r="BD21" i="9"/>
  <c r="BD22" i="9"/>
  <c r="BD23" i="9"/>
  <c r="BD24" i="9"/>
  <c r="BD25" i="9"/>
  <c r="BD26" i="9"/>
  <c r="BD27" i="9"/>
  <c r="BD28" i="9"/>
  <c r="BD29" i="9"/>
  <c r="BD30" i="9"/>
  <c r="BD31" i="9"/>
  <c r="BD32" i="9"/>
  <c r="BD34" i="9"/>
  <c r="BD35" i="9"/>
  <c r="BD36" i="9"/>
  <c r="BD37" i="9"/>
  <c r="BD38" i="9"/>
  <c r="BD39" i="9"/>
  <c r="BD40" i="9"/>
  <c r="BD41" i="9"/>
  <c r="BD42" i="9"/>
  <c r="BD43" i="9"/>
  <c r="BD44" i="9"/>
  <c r="BD45" i="9"/>
  <c r="BD46" i="9"/>
  <c r="BD47" i="9"/>
  <c r="BD48" i="9"/>
  <c r="BD49" i="9"/>
  <c r="BD50" i="9"/>
  <c r="BD51" i="9"/>
  <c r="BD52" i="9"/>
  <c r="BD53" i="9"/>
  <c r="BD54" i="9"/>
  <c r="BD106" i="9"/>
  <c r="BD107" i="9"/>
  <c r="BD108" i="9"/>
  <c r="BD109" i="9"/>
  <c r="BD110" i="9"/>
  <c r="BD111" i="9"/>
  <c r="BD112" i="9"/>
  <c r="BD113" i="9"/>
  <c r="BD114" i="9"/>
  <c r="BD115" i="9"/>
  <c r="BD116" i="9"/>
  <c r="BD117" i="9"/>
  <c r="BD118" i="9"/>
  <c r="BD119" i="9"/>
  <c r="BD120" i="9"/>
  <c r="BD121" i="9"/>
  <c r="BD122" i="9"/>
  <c r="BD123" i="9"/>
  <c r="BD124" i="9"/>
  <c r="BD125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4" i="9"/>
  <c r="AQ35" i="9"/>
  <c r="AQ36" i="9"/>
  <c r="AQ37" i="9"/>
  <c r="AQ38" i="9"/>
  <c r="AQ39" i="9"/>
  <c r="AQ40" i="9"/>
  <c r="AQ41" i="9"/>
  <c r="AQ42" i="9"/>
  <c r="AQ43" i="9"/>
  <c r="AQ44" i="9"/>
  <c r="AQ45" i="9"/>
  <c r="AQ46" i="9"/>
  <c r="AQ47" i="9"/>
  <c r="AQ48" i="9"/>
  <c r="AQ49" i="9"/>
  <c r="AQ50" i="9"/>
  <c r="AQ51" i="9"/>
  <c r="AQ52" i="9"/>
  <c r="AQ53" i="9"/>
  <c r="AQ54" i="9"/>
  <c r="AQ56" i="9"/>
  <c r="AQ57" i="9"/>
  <c r="AQ58" i="9"/>
  <c r="AQ59" i="9"/>
  <c r="AQ60" i="9"/>
  <c r="AQ61" i="9"/>
  <c r="AQ62" i="9"/>
  <c r="AQ63" i="9"/>
  <c r="AQ64" i="9"/>
  <c r="AQ65" i="9"/>
  <c r="AQ66" i="9"/>
  <c r="AQ68" i="9"/>
  <c r="AQ69" i="9"/>
  <c r="AQ70" i="9"/>
  <c r="AQ71" i="9"/>
  <c r="AQ72" i="9"/>
  <c r="AQ73" i="9"/>
  <c r="AQ74" i="9"/>
  <c r="AQ75" i="9"/>
  <c r="AQ76" i="9"/>
  <c r="AQ77" i="9"/>
  <c r="AQ78" i="9"/>
  <c r="AQ79" i="9"/>
  <c r="AQ80" i="9"/>
  <c r="AQ81" i="9"/>
  <c r="AQ82" i="9"/>
  <c r="AQ83" i="9"/>
  <c r="AQ85" i="9"/>
  <c r="AQ86" i="9"/>
  <c r="AQ87" i="9"/>
  <c r="AQ88" i="9"/>
  <c r="AQ89" i="9"/>
  <c r="AQ90" i="9"/>
  <c r="AQ91" i="9"/>
  <c r="AQ92" i="9"/>
  <c r="AQ93" i="9"/>
  <c r="AQ94" i="9"/>
  <c r="AQ95" i="9"/>
  <c r="AQ96" i="9"/>
  <c r="AQ97" i="9"/>
  <c r="AQ98" i="9"/>
  <c r="AQ99" i="9"/>
  <c r="AQ100" i="9"/>
  <c r="AQ101" i="9"/>
  <c r="AQ102" i="9"/>
  <c r="AQ103" i="9"/>
  <c r="AQ104" i="9"/>
  <c r="AQ105" i="9"/>
  <c r="AQ106" i="9"/>
  <c r="AQ107" i="9"/>
  <c r="AQ108" i="9"/>
  <c r="AQ109" i="9"/>
  <c r="AQ110" i="9"/>
  <c r="AQ111" i="9"/>
  <c r="AQ112" i="9"/>
  <c r="AQ113" i="9"/>
  <c r="AQ114" i="9"/>
  <c r="AQ115" i="9"/>
  <c r="AQ116" i="9"/>
  <c r="AQ117" i="9"/>
  <c r="AQ118" i="9"/>
  <c r="AQ119" i="9"/>
  <c r="AQ120" i="9"/>
  <c r="AQ121" i="9"/>
  <c r="AQ122" i="9"/>
  <c r="AQ123" i="9"/>
  <c r="AQ124" i="9"/>
  <c r="AQ125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6" i="9"/>
  <c r="AK57" i="9"/>
  <c r="AK58" i="9"/>
  <c r="AK59" i="9"/>
  <c r="AK60" i="9"/>
  <c r="AK61" i="9"/>
  <c r="AK62" i="9"/>
  <c r="AK63" i="9"/>
  <c r="AK64" i="9"/>
  <c r="AK65" i="9"/>
  <c r="AK66" i="9"/>
  <c r="AK68" i="9"/>
  <c r="AK69" i="9"/>
  <c r="AK70" i="9"/>
  <c r="AK71" i="9"/>
  <c r="AK72" i="9"/>
  <c r="AK73" i="9"/>
  <c r="AK74" i="9"/>
  <c r="AK75" i="9"/>
  <c r="AK76" i="9"/>
  <c r="AK77" i="9"/>
  <c r="AK78" i="9"/>
  <c r="AK79" i="9"/>
  <c r="AK80" i="9"/>
  <c r="AK81" i="9"/>
  <c r="AK82" i="9"/>
  <c r="AK83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S5" i="9"/>
  <c r="AS55" i="9" s="1"/>
  <c r="BR7" i="9"/>
  <c r="BR8" i="9"/>
  <c r="BR9" i="9"/>
  <c r="BR10" i="9"/>
  <c r="BR11" i="9"/>
  <c r="BR17" i="9"/>
  <c r="BR18" i="9"/>
  <c r="BR19" i="9"/>
  <c r="BR20" i="9"/>
  <c r="BR21" i="9"/>
  <c r="BR22" i="9"/>
  <c r="BR23" i="9"/>
  <c r="BR24" i="9"/>
  <c r="BR25" i="9"/>
  <c r="BR26" i="9"/>
  <c r="BR27" i="9"/>
  <c r="BR28" i="9"/>
  <c r="BR29" i="9"/>
  <c r="BR30" i="9"/>
  <c r="BR31" i="9"/>
  <c r="BR32" i="9"/>
  <c r="BR34" i="9"/>
  <c r="BR35" i="9"/>
  <c r="BR36" i="9"/>
  <c r="BR37" i="9"/>
  <c r="BR38" i="9"/>
  <c r="BR39" i="9"/>
  <c r="BR40" i="9"/>
  <c r="BR41" i="9"/>
  <c r="BR42" i="9"/>
  <c r="BR43" i="9"/>
  <c r="BR44" i="9"/>
  <c r="BR45" i="9"/>
  <c r="BR46" i="9"/>
  <c r="BR47" i="9"/>
  <c r="BR48" i="9"/>
  <c r="BR49" i="9"/>
  <c r="BR50" i="9"/>
  <c r="BR51" i="9"/>
  <c r="BR52" i="9"/>
  <c r="BR53" i="9"/>
  <c r="BR54" i="9"/>
  <c r="BR106" i="9"/>
  <c r="BR107" i="9"/>
  <c r="BR108" i="9"/>
  <c r="BR109" i="9"/>
  <c r="BR110" i="9"/>
  <c r="BR111" i="9"/>
  <c r="BR112" i="9"/>
  <c r="BR113" i="9"/>
  <c r="BR114" i="9"/>
  <c r="BR115" i="9"/>
  <c r="BR116" i="9"/>
  <c r="BR117" i="9"/>
  <c r="BR118" i="9"/>
  <c r="BR119" i="9"/>
  <c r="BR120" i="9"/>
  <c r="BR121" i="9"/>
  <c r="BR122" i="9"/>
  <c r="BR123" i="9"/>
  <c r="BR124" i="9"/>
  <c r="BR125" i="9"/>
  <c r="BR6" i="9"/>
  <c r="BQ6" i="9" s="1"/>
  <c r="BF8" i="7" l="1"/>
  <c r="BF11" i="7"/>
  <c r="BD4" i="7"/>
  <c r="AT8" i="7"/>
  <c r="AS140" i="9"/>
  <c r="AS139" i="9"/>
  <c r="AS138" i="9"/>
  <c r="AS145" i="9"/>
  <c r="AS144" i="9"/>
  <c r="AS142" i="9"/>
  <c r="AS137" i="9"/>
  <c r="AS134" i="9"/>
  <c r="AS143" i="9"/>
  <c r="AS136" i="9"/>
  <c r="AS141" i="9"/>
  <c r="AS135" i="9"/>
  <c r="AS133" i="9"/>
  <c r="AS132" i="9"/>
  <c r="AS131" i="9"/>
  <c r="AS130" i="9"/>
  <c r="AS129" i="9"/>
  <c r="BL145" i="9"/>
  <c r="BL141" i="9"/>
  <c r="BL133" i="9"/>
  <c r="BL130" i="9"/>
  <c r="BL144" i="9"/>
  <c r="BL140" i="9"/>
  <c r="BL135" i="9"/>
  <c r="BL143" i="9"/>
  <c r="BL142" i="9"/>
  <c r="BL139" i="9"/>
  <c r="BL138" i="9"/>
  <c r="BL137" i="9"/>
  <c r="BL134" i="9"/>
  <c r="BL136" i="9"/>
  <c r="BL132" i="9"/>
  <c r="BL131" i="9"/>
  <c r="BL129" i="9"/>
  <c r="AI15" i="7"/>
  <c r="AS127" i="9"/>
  <c r="AS126" i="9"/>
  <c r="AS84" i="9"/>
  <c r="D21" i="10"/>
  <c r="BL67" i="9"/>
  <c r="BL84" i="9"/>
  <c r="AS33" i="9"/>
  <c r="AS67" i="9"/>
  <c r="BL32" i="9"/>
  <c r="BL33" i="9"/>
  <c r="BP17" i="7"/>
  <c r="I22" i="10"/>
  <c r="AL11" i="7"/>
  <c r="AI6" i="7"/>
  <c r="AI5" i="7"/>
  <c r="AE8" i="7"/>
  <c r="AE6" i="7"/>
  <c r="AE5" i="7"/>
  <c r="AC8" i="7"/>
  <c r="AC6" i="7"/>
  <c r="AC5" i="7"/>
  <c r="AA6" i="7"/>
  <c r="AA5" i="7"/>
  <c r="AA12" i="7"/>
  <c r="AA8" i="7"/>
  <c r="AI10" i="7"/>
  <c r="AI8" i="7"/>
  <c r="AA19" i="7"/>
  <c r="AI14" i="7"/>
  <c r="AI17" i="7"/>
  <c r="AI16" i="7"/>
  <c r="AI13" i="7"/>
  <c r="AI18" i="7"/>
  <c r="AA18" i="7"/>
  <c r="AA7" i="7"/>
  <c r="AA13" i="7"/>
  <c r="AA17" i="7"/>
  <c r="BL108" i="9"/>
  <c r="AA10" i="7"/>
  <c r="AA9" i="7"/>
  <c r="BL80" i="9"/>
  <c r="BL23" i="9"/>
  <c r="BL51" i="9"/>
  <c r="AA15" i="7"/>
  <c r="AI19" i="7"/>
  <c r="AI9" i="7"/>
  <c r="AI12" i="7"/>
  <c r="AA14" i="7"/>
  <c r="AA16" i="7"/>
  <c r="AS9" i="9"/>
  <c r="AS12" i="9"/>
  <c r="AS15" i="9"/>
  <c r="AS18" i="9"/>
  <c r="AS21" i="9"/>
  <c r="AS24" i="9"/>
  <c r="AS27" i="9"/>
  <c r="AS30" i="9"/>
  <c r="AS34" i="9"/>
  <c r="AS37" i="9"/>
  <c r="AS40" i="9"/>
  <c r="AS43" i="9"/>
  <c r="AS46" i="9"/>
  <c r="AS49" i="9"/>
  <c r="AS52" i="9"/>
  <c r="AS56" i="9"/>
  <c r="AS59" i="9"/>
  <c r="AS62" i="9"/>
  <c r="AS65" i="9"/>
  <c r="AS69" i="9"/>
  <c r="AS72" i="9"/>
  <c r="AS75" i="9"/>
  <c r="AS78" i="9"/>
  <c r="AS81" i="9"/>
  <c r="AS85" i="9"/>
  <c r="AS88" i="9"/>
  <c r="AS91" i="9"/>
  <c r="AS94" i="9"/>
  <c r="AS97" i="9"/>
  <c r="AS100" i="9"/>
  <c r="AS103" i="9"/>
  <c r="AS106" i="9"/>
  <c r="AS109" i="9"/>
  <c r="AS112" i="9"/>
  <c r="AS115" i="9"/>
  <c r="AS118" i="9"/>
  <c r="AS121" i="9"/>
  <c r="AS124" i="9"/>
  <c r="AS7" i="9"/>
  <c r="AS10" i="9"/>
  <c r="AS13" i="9"/>
  <c r="AS16" i="9"/>
  <c r="AS19" i="9"/>
  <c r="AS22" i="9"/>
  <c r="AS25" i="9"/>
  <c r="AS28" i="9"/>
  <c r="AS31" i="9"/>
  <c r="AS35" i="9"/>
  <c r="AS8" i="9"/>
  <c r="AS11" i="9"/>
  <c r="AS14" i="9"/>
  <c r="AS17" i="9"/>
  <c r="AS20" i="9"/>
  <c r="AS23" i="9"/>
  <c r="AS26" i="9"/>
  <c r="AS29" i="9"/>
  <c r="AS32" i="9"/>
  <c r="AS36" i="9"/>
  <c r="AS39" i="9"/>
  <c r="AS42" i="9"/>
  <c r="AS45" i="9"/>
  <c r="AS48" i="9"/>
  <c r="AS51" i="9"/>
  <c r="AS54" i="9"/>
  <c r="AS58" i="9"/>
  <c r="AS61" i="9"/>
  <c r="AS64" i="9"/>
  <c r="AS68" i="9"/>
  <c r="AS71" i="9"/>
  <c r="AS74" i="9"/>
  <c r="AS77" i="9"/>
  <c r="AS80" i="9"/>
  <c r="AS83" i="9"/>
  <c r="AS87" i="9"/>
  <c r="AS90" i="9"/>
  <c r="AS93" i="9"/>
  <c r="AS96" i="9"/>
  <c r="AS99" i="9"/>
  <c r="AS102" i="9"/>
  <c r="AS105" i="9"/>
  <c r="AS108" i="9"/>
  <c r="AS111" i="9"/>
  <c r="AS114" i="9"/>
  <c r="AS117" i="9"/>
  <c r="AS120" i="9"/>
  <c r="AS123" i="9"/>
  <c r="AS44" i="9"/>
  <c r="AS53" i="9"/>
  <c r="AS63" i="9"/>
  <c r="AS73" i="9"/>
  <c r="AS82" i="9"/>
  <c r="AS92" i="9"/>
  <c r="AS101" i="9"/>
  <c r="AS110" i="9"/>
  <c r="AS119" i="9"/>
  <c r="AS38" i="9"/>
  <c r="AS47" i="9"/>
  <c r="AS57" i="9"/>
  <c r="AS66" i="9"/>
  <c r="AS76" i="9"/>
  <c r="AS86" i="9"/>
  <c r="AS95" i="9"/>
  <c r="AS104" i="9"/>
  <c r="AS113" i="9"/>
  <c r="AS122" i="9"/>
  <c r="AS41" i="9"/>
  <c r="AS50" i="9"/>
  <c r="AS60" i="9"/>
  <c r="AS70" i="9"/>
  <c r="AS79" i="9"/>
  <c r="AS89" i="9"/>
  <c r="AS98" i="9"/>
  <c r="AS107" i="9"/>
  <c r="AS116" i="9"/>
  <c r="AS125" i="9"/>
  <c r="BL117" i="9"/>
  <c r="BL90" i="9"/>
  <c r="BL61" i="9"/>
  <c r="BL7" i="9"/>
  <c r="BL10" i="9"/>
  <c r="BL13" i="9"/>
  <c r="BL16" i="9"/>
  <c r="BL19" i="9"/>
  <c r="BL22" i="9"/>
  <c r="BL25" i="9"/>
  <c r="BL28" i="9"/>
  <c r="BL31" i="9"/>
  <c r="BL35" i="9"/>
  <c r="BL38" i="9"/>
  <c r="BL41" i="9"/>
  <c r="BL44" i="9"/>
  <c r="BL47" i="9"/>
  <c r="BL50" i="9"/>
  <c r="BL53" i="9"/>
  <c r="BL57" i="9"/>
  <c r="BL60" i="9"/>
  <c r="BL63" i="9"/>
  <c r="BL66" i="9"/>
  <c r="BL70" i="9"/>
  <c r="BL73" i="9"/>
  <c r="BL76" i="9"/>
  <c r="BL79" i="9"/>
  <c r="BL82" i="9"/>
  <c r="BL86" i="9"/>
  <c r="BL89" i="9"/>
  <c r="BL92" i="9"/>
  <c r="BL95" i="9"/>
  <c r="BL98" i="9"/>
  <c r="BL101" i="9"/>
  <c r="BL104" i="9"/>
  <c r="BL107" i="9"/>
  <c r="BL110" i="9"/>
  <c r="BL113" i="9"/>
  <c r="BL116" i="9"/>
  <c r="BL119" i="9"/>
  <c r="BL122" i="9"/>
  <c r="BL125" i="9"/>
  <c r="BL9" i="9"/>
  <c r="BL12" i="9"/>
  <c r="BL15" i="9"/>
  <c r="BL18" i="9"/>
  <c r="BL21" i="9"/>
  <c r="BL24" i="9"/>
  <c r="BL27" i="9"/>
  <c r="BL30" i="9"/>
  <c r="BL34" i="9"/>
  <c r="BL37" i="9"/>
  <c r="BL40" i="9"/>
  <c r="BL43" i="9"/>
  <c r="BL46" i="9"/>
  <c r="BL49" i="9"/>
  <c r="BL52" i="9"/>
  <c r="BL56" i="9"/>
  <c r="BL59" i="9"/>
  <c r="BL62" i="9"/>
  <c r="BL65" i="9"/>
  <c r="BL69" i="9"/>
  <c r="BL72" i="9"/>
  <c r="BL75" i="9"/>
  <c r="BL78" i="9"/>
  <c r="BL81" i="9"/>
  <c r="BL85" i="9"/>
  <c r="BL88" i="9"/>
  <c r="BL91" i="9"/>
  <c r="BL94" i="9"/>
  <c r="BL97" i="9"/>
  <c r="BL100" i="9"/>
  <c r="BL103" i="9"/>
  <c r="BL106" i="9"/>
  <c r="BL109" i="9"/>
  <c r="BL112" i="9"/>
  <c r="BL115" i="9"/>
  <c r="BL118" i="9"/>
  <c r="BL121" i="9"/>
  <c r="BL124" i="9"/>
  <c r="BL11" i="9"/>
  <c r="BL20" i="9"/>
  <c r="BL29" i="9"/>
  <c r="BL39" i="9"/>
  <c r="BL48" i="9"/>
  <c r="BL58" i="9"/>
  <c r="BL68" i="9"/>
  <c r="BL77" i="9"/>
  <c r="BL87" i="9"/>
  <c r="BL96" i="9"/>
  <c r="BL105" i="9"/>
  <c r="BL114" i="9"/>
  <c r="BL123" i="9"/>
  <c r="BL8" i="9"/>
  <c r="BL17" i="9"/>
  <c r="BL26" i="9"/>
  <c r="BL36" i="9"/>
  <c r="BL45" i="9"/>
  <c r="BL54" i="9"/>
  <c r="BL64" i="9"/>
  <c r="BL74" i="9"/>
  <c r="BL83" i="9"/>
  <c r="BL93" i="9"/>
  <c r="BL102" i="9"/>
  <c r="BL111" i="9"/>
  <c r="BL120" i="9"/>
  <c r="BL99" i="9"/>
  <c r="BL71" i="9"/>
  <c r="BL42" i="9"/>
  <c r="BL14" i="9"/>
  <c r="AE10" i="7"/>
  <c r="AE14" i="7"/>
  <c r="AE17" i="7"/>
  <c r="AE7" i="7"/>
  <c r="AE12" i="7"/>
  <c r="AE15" i="7"/>
  <c r="AE18" i="7"/>
  <c r="AE9" i="7"/>
  <c r="AE19" i="7"/>
  <c r="AE13" i="7"/>
  <c r="AE16" i="7"/>
  <c r="AC12" i="7"/>
  <c r="AC15" i="7"/>
  <c r="AC18" i="7"/>
  <c r="AC9" i="7"/>
  <c r="AC13" i="7"/>
  <c r="AC16" i="7"/>
  <c r="AC19" i="7"/>
  <c r="AC17" i="7"/>
  <c r="AC10" i="7"/>
  <c r="AC7" i="7"/>
  <c r="AC14" i="7"/>
  <c r="AS6" i="9"/>
  <c r="AX10" i="1"/>
  <c r="AX11" i="1"/>
  <c r="AX13" i="1"/>
  <c r="AX14" i="1"/>
  <c r="AX16" i="1"/>
  <c r="AX17" i="1"/>
  <c r="AX18" i="1"/>
  <c r="AX19" i="1"/>
  <c r="AX20" i="1"/>
  <c r="AX21" i="1"/>
  <c r="AX22" i="1"/>
  <c r="AX23" i="1"/>
  <c r="AX24" i="1"/>
  <c r="AX25" i="1"/>
  <c r="AX28" i="1"/>
  <c r="AX29" i="1"/>
  <c r="AX30" i="1"/>
  <c r="AX31" i="1"/>
  <c r="AX32" i="1"/>
  <c r="AX33" i="1"/>
  <c r="AX34" i="1"/>
  <c r="AX35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V10" i="1"/>
  <c r="AV11" i="1"/>
  <c r="AV13" i="1"/>
  <c r="AV14" i="1"/>
  <c r="AV16" i="1"/>
  <c r="AV17" i="1"/>
  <c r="AV18" i="1"/>
  <c r="AV19" i="1"/>
  <c r="AV20" i="1"/>
  <c r="AV21" i="1"/>
  <c r="AV22" i="1"/>
  <c r="AV23" i="1"/>
  <c r="AV24" i="1"/>
  <c r="AV25" i="1"/>
  <c r="AV28" i="1"/>
  <c r="AV29" i="1"/>
  <c r="AV30" i="1"/>
  <c r="AV31" i="1"/>
  <c r="AV32" i="1"/>
  <c r="AV33" i="1"/>
  <c r="AV34" i="1"/>
  <c r="AV35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T10" i="1"/>
  <c r="AT11" i="1"/>
  <c r="AT13" i="1"/>
  <c r="AT14" i="1"/>
  <c r="AT16" i="1"/>
  <c r="AT17" i="1"/>
  <c r="AT18" i="1"/>
  <c r="AT19" i="1"/>
  <c r="AT20" i="1"/>
  <c r="AT21" i="1"/>
  <c r="AT22" i="1"/>
  <c r="AT23" i="1"/>
  <c r="AT24" i="1"/>
  <c r="AT25" i="1"/>
  <c r="AT28" i="1"/>
  <c r="AT29" i="1"/>
  <c r="AT30" i="1"/>
  <c r="AT31" i="1"/>
  <c r="AT32" i="1"/>
  <c r="AT33" i="1"/>
  <c r="AT34" i="1"/>
  <c r="AT35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R10" i="1"/>
  <c r="AR11" i="1"/>
  <c r="AR13" i="1"/>
  <c r="AR14" i="1"/>
  <c r="AR16" i="1"/>
  <c r="AR17" i="1"/>
  <c r="AR18" i="1"/>
  <c r="AR19" i="1"/>
  <c r="AR20" i="1"/>
  <c r="AR21" i="1"/>
  <c r="AR22" i="1"/>
  <c r="AR23" i="1"/>
  <c r="AR24" i="1"/>
  <c r="AR25" i="1"/>
  <c r="AR28" i="1"/>
  <c r="AR29" i="1"/>
  <c r="AR30" i="1"/>
  <c r="AR31" i="1"/>
  <c r="AR32" i="1"/>
  <c r="AR33" i="1"/>
  <c r="AR34" i="1"/>
  <c r="AR35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P10" i="1"/>
  <c r="AP11" i="1"/>
  <c r="AP13" i="1"/>
  <c r="AP14" i="1"/>
  <c r="AP16" i="1"/>
  <c r="AP17" i="1"/>
  <c r="AP18" i="1"/>
  <c r="AP19" i="1"/>
  <c r="AP20" i="1"/>
  <c r="AP21" i="1"/>
  <c r="AP22" i="1"/>
  <c r="AP23" i="1"/>
  <c r="AP24" i="1"/>
  <c r="AP25" i="1"/>
  <c r="AP28" i="1"/>
  <c r="AP29" i="1"/>
  <c r="AP30" i="1"/>
  <c r="AP31" i="1"/>
  <c r="AP32" i="1"/>
  <c r="AP33" i="1"/>
  <c r="AP34" i="1"/>
  <c r="AP35" i="1"/>
  <c r="AP37" i="1"/>
  <c r="AP38" i="1"/>
  <c r="AP39" i="1"/>
  <c r="AP40" i="1"/>
  <c r="AP41" i="1"/>
  <c r="AN10" i="1"/>
  <c r="AN11" i="1"/>
  <c r="AN13" i="1"/>
  <c r="AN14" i="1"/>
  <c r="AN16" i="1"/>
  <c r="AN17" i="1"/>
  <c r="AN18" i="1"/>
  <c r="AN19" i="1"/>
  <c r="AN20" i="1"/>
  <c r="AN21" i="1"/>
  <c r="AN22" i="1"/>
  <c r="AN23" i="1"/>
  <c r="AN24" i="1"/>
  <c r="AN25" i="1"/>
  <c r="AN28" i="1"/>
  <c r="AN29" i="1"/>
  <c r="AN30" i="1"/>
  <c r="AN31" i="1"/>
  <c r="AN32" i="1"/>
  <c r="AN33" i="1"/>
  <c r="AN34" i="1"/>
  <c r="AN35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L10" i="1"/>
  <c r="AL11" i="1"/>
  <c r="AL13" i="1"/>
  <c r="AL14" i="1"/>
  <c r="AL16" i="1"/>
  <c r="AL17" i="1"/>
  <c r="AL18" i="1"/>
  <c r="AL19" i="1"/>
  <c r="AL20" i="1"/>
  <c r="AL21" i="1"/>
  <c r="AL22" i="1"/>
  <c r="AL23" i="1"/>
  <c r="AL24" i="1"/>
  <c r="AL25" i="1"/>
  <c r="AL28" i="1"/>
  <c r="AL29" i="1"/>
  <c r="AL30" i="1"/>
  <c r="AL31" i="1"/>
  <c r="AL32" i="1"/>
  <c r="AL33" i="1"/>
  <c r="AL34" i="1"/>
  <c r="AL35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H10" i="1"/>
  <c r="AH11" i="1"/>
  <c r="AH13" i="1"/>
  <c r="AH14" i="1"/>
  <c r="AH16" i="1"/>
  <c r="AH17" i="1"/>
  <c r="AH18" i="1"/>
  <c r="AH19" i="1"/>
  <c r="AH20" i="1"/>
  <c r="AH21" i="1"/>
  <c r="AH22" i="1"/>
  <c r="AH23" i="1"/>
  <c r="AH24" i="1"/>
  <c r="AH25" i="1"/>
  <c r="AH28" i="1"/>
  <c r="AH29" i="1"/>
  <c r="AH30" i="1"/>
  <c r="AH31" i="1"/>
  <c r="AH32" i="1"/>
  <c r="AH33" i="1"/>
  <c r="AH34" i="1"/>
  <c r="AH35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F10" i="1"/>
  <c r="AF11" i="1"/>
  <c r="AF13" i="1"/>
  <c r="AF14" i="1"/>
  <c r="AF16" i="1"/>
  <c r="AF17" i="1"/>
  <c r="AF18" i="1"/>
  <c r="AF19" i="1"/>
  <c r="AF20" i="1"/>
  <c r="AF21" i="1"/>
  <c r="AF22" i="1"/>
  <c r="AF23" i="1"/>
  <c r="AF24" i="1"/>
  <c r="AF25" i="1"/>
  <c r="AF28" i="1"/>
  <c r="AF29" i="1"/>
  <c r="AF30" i="1"/>
  <c r="AF31" i="1"/>
  <c r="AF32" i="1"/>
  <c r="AF33" i="1"/>
  <c r="AF34" i="1"/>
  <c r="AF35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D10" i="1"/>
  <c r="AD11" i="1"/>
  <c r="AD13" i="1"/>
  <c r="AD14" i="1"/>
  <c r="AD16" i="1"/>
  <c r="AD17" i="1"/>
  <c r="AD18" i="1"/>
  <c r="AD19" i="1"/>
  <c r="AD20" i="1"/>
  <c r="AD21" i="1"/>
  <c r="AD22" i="1"/>
  <c r="AD23" i="1"/>
  <c r="AD24" i="1"/>
  <c r="AD25" i="1"/>
  <c r="AD28" i="1"/>
  <c r="AD29" i="1"/>
  <c r="AD30" i="1"/>
  <c r="AD31" i="1"/>
  <c r="AD32" i="1"/>
  <c r="AD33" i="1"/>
  <c r="AD34" i="1"/>
  <c r="AD35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9" i="1"/>
  <c r="AB10" i="1"/>
  <c r="AB11" i="1"/>
  <c r="AB13" i="1"/>
  <c r="AB14" i="1"/>
  <c r="AB16" i="1"/>
  <c r="AB17" i="1"/>
  <c r="AB18" i="1"/>
  <c r="AB19" i="1"/>
  <c r="AB20" i="1"/>
  <c r="AB21" i="1"/>
  <c r="AB22" i="1"/>
  <c r="AB23" i="1"/>
  <c r="AB24" i="1"/>
  <c r="AB25" i="1"/>
  <c r="AB28" i="1"/>
  <c r="AB29" i="1"/>
  <c r="AB30" i="1"/>
  <c r="AB31" i="1"/>
  <c r="AB32" i="1"/>
  <c r="AB33" i="1"/>
  <c r="AB34" i="1"/>
  <c r="AB35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9" i="1"/>
  <c r="Y10" i="1"/>
  <c r="Y11" i="1"/>
  <c r="Y13" i="1"/>
  <c r="Y14" i="1"/>
  <c r="Y16" i="1"/>
  <c r="Y17" i="1"/>
  <c r="Y18" i="1"/>
  <c r="Y19" i="1"/>
  <c r="Y20" i="1"/>
  <c r="Y21" i="1"/>
  <c r="Y22" i="1"/>
  <c r="Y23" i="1"/>
  <c r="Y24" i="1"/>
  <c r="Y25" i="1"/>
  <c r="Y28" i="1"/>
  <c r="Y29" i="1"/>
  <c r="Y30" i="1"/>
  <c r="Y31" i="1"/>
  <c r="Y32" i="1"/>
  <c r="Y33" i="1"/>
  <c r="Y34" i="1"/>
  <c r="Y35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9" i="1"/>
  <c r="W10" i="1"/>
  <c r="W11" i="1"/>
  <c r="W13" i="1"/>
  <c r="W14" i="1"/>
  <c r="W16" i="1"/>
  <c r="W17" i="1"/>
  <c r="W18" i="1"/>
  <c r="W19" i="1"/>
  <c r="W20" i="1"/>
  <c r="W21" i="1"/>
  <c r="W22" i="1"/>
  <c r="W23" i="1"/>
  <c r="W24" i="1"/>
  <c r="W25" i="1"/>
  <c r="W28" i="1"/>
  <c r="W29" i="1"/>
  <c r="W30" i="1"/>
  <c r="W31" i="1"/>
  <c r="W32" i="1"/>
  <c r="W33" i="1"/>
  <c r="W34" i="1"/>
  <c r="W35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9" i="1"/>
  <c r="U10" i="1"/>
  <c r="U11" i="1"/>
  <c r="U13" i="1"/>
  <c r="U14" i="1"/>
  <c r="U16" i="1"/>
  <c r="U17" i="1"/>
  <c r="U18" i="1"/>
  <c r="U19" i="1"/>
  <c r="U20" i="1"/>
  <c r="U21" i="1"/>
  <c r="U22" i="1"/>
  <c r="U23" i="1"/>
  <c r="U24" i="1"/>
  <c r="U25" i="1"/>
  <c r="U28" i="1"/>
  <c r="U29" i="1"/>
  <c r="U30" i="1"/>
  <c r="U31" i="1"/>
  <c r="U32" i="1"/>
  <c r="U33" i="1"/>
  <c r="U34" i="1"/>
  <c r="U35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9" i="1"/>
  <c r="S10" i="1"/>
  <c r="S11" i="1"/>
  <c r="S13" i="1"/>
  <c r="S14" i="1"/>
  <c r="S16" i="1"/>
  <c r="S17" i="1"/>
  <c r="S18" i="1"/>
  <c r="S19" i="1"/>
  <c r="S20" i="1"/>
  <c r="S21" i="1"/>
  <c r="S22" i="1"/>
  <c r="S23" i="1"/>
  <c r="S24" i="1"/>
  <c r="S25" i="1"/>
  <c r="S28" i="1"/>
  <c r="S29" i="1"/>
  <c r="S30" i="1"/>
  <c r="S31" i="1"/>
  <c r="S32" i="1"/>
  <c r="S33" i="1"/>
  <c r="S34" i="1"/>
  <c r="S35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9" i="1"/>
  <c r="Q10" i="1"/>
  <c r="Q11" i="1"/>
  <c r="Q13" i="1"/>
  <c r="Q14" i="1"/>
  <c r="Q16" i="1"/>
  <c r="Q17" i="1"/>
  <c r="Q18" i="1"/>
  <c r="Q19" i="1"/>
  <c r="Q20" i="1"/>
  <c r="Q21" i="1"/>
  <c r="Q22" i="1"/>
  <c r="Q23" i="1"/>
  <c r="Q24" i="1"/>
  <c r="Q25" i="1"/>
  <c r="Q28" i="1"/>
  <c r="Q29" i="1"/>
  <c r="Q30" i="1"/>
  <c r="Q31" i="1"/>
  <c r="Q32" i="1"/>
  <c r="Q33" i="1"/>
  <c r="Q34" i="1"/>
  <c r="Q35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9" i="1"/>
  <c r="O10" i="1"/>
  <c r="O11" i="1"/>
  <c r="O13" i="1"/>
  <c r="O14" i="1"/>
  <c r="O16" i="1"/>
  <c r="O17" i="1"/>
  <c r="O18" i="1"/>
  <c r="O19" i="1"/>
  <c r="O20" i="1"/>
  <c r="O21" i="1"/>
  <c r="O22" i="1"/>
  <c r="O23" i="1"/>
  <c r="O24" i="1"/>
  <c r="O25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9" i="1"/>
  <c r="M9" i="1"/>
  <c r="M10" i="1"/>
  <c r="M11" i="1"/>
  <c r="M13" i="1"/>
  <c r="M14" i="1"/>
  <c r="M16" i="1"/>
  <c r="M17" i="1"/>
  <c r="M18" i="1"/>
  <c r="M19" i="1"/>
  <c r="M20" i="1"/>
  <c r="M21" i="1"/>
  <c r="M22" i="1"/>
  <c r="M23" i="1"/>
  <c r="M24" i="1"/>
  <c r="M25" i="1"/>
  <c r="M28" i="1"/>
  <c r="M29" i="1"/>
  <c r="M30" i="1"/>
  <c r="M31" i="1"/>
  <c r="M32" i="1"/>
  <c r="M33" i="1"/>
  <c r="M34" i="1"/>
  <c r="M35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5" i="1"/>
  <c r="M76" i="1"/>
  <c r="BD11" i="7" l="1"/>
  <c r="BD6" i="7"/>
  <c r="BD5" i="7"/>
  <c r="BD8" i="7"/>
  <c r="Z9" i="1"/>
  <c r="AL6" i="7"/>
  <c r="AL5" i="7"/>
  <c r="AL8" i="7"/>
  <c r="AL7" i="7"/>
  <c r="BN5" i="9"/>
  <c r="BN55" i="9" s="1"/>
  <c r="BO55" i="9" s="1"/>
  <c r="BP55" i="9" s="1"/>
  <c r="AX9" i="1"/>
  <c r="BB32" i="1"/>
  <c r="BB9" i="1"/>
  <c r="BA9" i="1" s="1"/>
  <c r="BB10" i="1"/>
  <c r="BB11" i="1"/>
  <c r="BB13" i="1"/>
  <c r="BB14" i="1"/>
  <c r="BB16" i="1"/>
  <c r="BB17" i="1"/>
  <c r="BB18" i="1"/>
  <c r="BB19" i="1"/>
  <c r="BB20" i="1"/>
  <c r="BB21" i="1"/>
  <c r="BB22" i="1"/>
  <c r="BB23" i="1"/>
  <c r="BB24" i="1"/>
  <c r="BB25" i="1"/>
  <c r="BB28" i="1"/>
  <c r="BB29" i="1"/>
  <c r="BB30" i="1"/>
  <c r="BB31" i="1"/>
  <c r="BB33" i="1"/>
  <c r="BB34" i="1"/>
  <c r="BB35" i="1"/>
  <c r="BB37" i="1"/>
  <c r="BB38" i="1"/>
  <c r="BB39" i="1"/>
  <c r="BB40" i="1"/>
  <c r="BB41" i="1"/>
  <c r="AJ27" i="1" l="1"/>
  <c r="AY27" i="1" s="1"/>
  <c r="AZ27" i="1" s="1"/>
  <c r="AJ26" i="1"/>
  <c r="AY26" i="1" s="1"/>
  <c r="AZ26" i="1" s="1"/>
  <c r="AJ36" i="1"/>
  <c r="AY36" i="1" s="1"/>
  <c r="AZ36" i="1" s="1"/>
  <c r="AJ12" i="1"/>
  <c r="AY12" i="1" s="1"/>
  <c r="AZ12" i="1" s="1"/>
  <c r="AJ7" i="1"/>
  <c r="AY7" i="1" s="1"/>
  <c r="AZ7" i="1" s="1"/>
  <c r="AJ8" i="1"/>
  <c r="AY8" i="1" s="1"/>
  <c r="AZ8" i="1" s="1"/>
  <c r="AJ6" i="1"/>
  <c r="AY6" i="1" s="1"/>
  <c r="AZ6" i="1" s="1"/>
  <c r="AJ10" i="1"/>
  <c r="AJ13" i="1"/>
  <c r="AJ16" i="1"/>
  <c r="AJ18" i="1"/>
  <c r="AJ20" i="1"/>
  <c r="AJ22" i="1"/>
  <c r="AJ24" i="1"/>
  <c r="AJ28" i="1"/>
  <c r="AJ30" i="1"/>
  <c r="AJ32" i="1"/>
  <c r="AJ34" i="1"/>
  <c r="AJ37" i="1"/>
  <c r="AJ39" i="1"/>
  <c r="AJ41" i="1"/>
  <c r="AJ43" i="1"/>
  <c r="AJ45" i="1"/>
  <c r="AJ47" i="1"/>
  <c r="AJ49" i="1"/>
  <c r="AJ51" i="1"/>
  <c r="AJ53" i="1"/>
  <c r="AJ55" i="1"/>
  <c r="AJ57" i="1"/>
  <c r="AJ59" i="1"/>
  <c r="AJ61" i="1"/>
  <c r="AJ63" i="1"/>
  <c r="AJ65" i="1"/>
  <c r="AJ67" i="1"/>
  <c r="AJ69" i="1"/>
  <c r="AJ71" i="1"/>
  <c r="AJ73" i="1"/>
  <c r="AJ75" i="1"/>
  <c r="AJ11" i="1"/>
  <c r="AJ14" i="1"/>
  <c r="AJ17" i="1"/>
  <c r="AJ19" i="1"/>
  <c r="AJ21" i="1"/>
  <c r="AJ23" i="1"/>
  <c r="AJ25" i="1"/>
  <c r="AJ29" i="1"/>
  <c r="AJ31" i="1"/>
  <c r="AJ33" i="1"/>
  <c r="AJ35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Q145" i="9"/>
  <c r="Q144" i="9"/>
  <c r="Q143" i="9"/>
  <c r="Q142" i="9"/>
  <c r="Q141" i="9"/>
  <c r="Q139" i="9"/>
  <c r="Q137" i="9"/>
  <c r="Q136" i="9"/>
  <c r="Q135" i="9"/>
  <c r="Q134" i="9"/>
  <c r="Q140" i="9"/>
  <c r="Q138" i="9"/>
  <c r="Q133" i="9"/>
  <c r="Q129" i="9"/>
  <c r="Q131" i="9"/>
  <c r="Q132" i="9"/>
  <c r="Q130" i="9"/>
  <c r="AC145" i="9"/>
  <c r="AC144" i="9"/>
  <c r="AC143" i="9"/>
  <c r="AC142" i="9"/>
  <c r="AC141" i="9"/>
  <c r="AC140" i="9"/>
  <c r="AC137" i="9"/>
  <c r="AC136" i="9"/>
  <c r="AC135" i="9"/>
  <c r="AC134" i="9"/>
  <c r="AC133" i="9"/>
  <c r="AC138" i="9"/>
  <c r="AC139" i="9"/>
  <c r="AC129" i="9"/>
  <c r="AC130" i="9"/>
  <c r="AC131" i="9"/>
  <c r="AC132" i="9"/>
  <c r="AZ139" i="9"/>
  <c r="AZ138" i="9"/>
  <c r="AZ145" i="9"/>
  <c r="AZ144" i="9"/>
  <c r="AZ143" i="9"/>
  <c r="AZ141" i="9"/>
  <c r="AZ136" i="9"/>
  <c r="AZ142" i="9"/>
  <c r="AZ135" i="9"/>
  <c r="AZ140" i="9"/>
  <c r="AZ137" i="9"/>
  <c r="AZ134" i="9"/>
  <c r="AZ133" i="9"/>
  <c r="AZ132" i="9"/>
  <c r="AZ131" i="9"/>
  <c r="AZ130" i="9"/>
  <c r="AZ129" i="9"/>
  <c r="BN139" i="9"/>
  <c r="BN138" i="9"/>
  <c r="BN145" i="9"/>
  <c r="BN144" i="9"/>
  <c r="BN143" i="9"/>
  <c r="BN142" i="9"/>
  <c r="BN137" i="9"/>
  <c r="BN134" i="9"/>
  <c r="BN136" i="9"/>
  <c r="BN133" i="9"/>
  <c r="BN132" i="9"/>
  <c r="BN131" i="9"/>
  <c r="BN130" i="9"/>
  <c r="BN129" i="9"/>
  <c r="BN141" i="9"/>
  <c r="BN140" i="9"/>
  <c r="BN135" i="9"/>
  <c r="M145" i="9"/>
  <c r="M141" i="9"/>
  <c r="M138" i="9"/>
  <c r="M136" i="9"/>
  <c r="M134" i="9"/>
  <c r="M133" i="9"/>
  <c r="M130" i="9"/>
  <c r="M144" i="9"/>
  <c r="M142" i="9"/>
  <c r="M135" i="9"/>
  <c r="M137" i="9"/>
  <c r="M143" i="9"/>
  <c r="M140" i="9"/>
  <c r="M139" i="9"/>
  <c r="M132" i="9"/>
  <c r="M131" i="9"/>
  <c r="M129" i="9"/>
  <c r="Y143" i="9"/>
  <c r="Y139" i="9"/>
  <c r="Y138" i="9"/>
  <c r="Y135" i="9"/>
  <c r="Y133" i="9"/>
  <c r="Y130" i="9"/>
  <c r="Y145" i="9"/>
  <c r="Y142" i="9"/>
  <c r="Y141" i="9"/>
  <c r="Y137" i="9"/>
  <c r="Y134" i="9"/>
  <c r="Y136" i="9"/>
  <c r="Y144" i="9"/>
  <c r="Y140" i="9"/>
  <c r="Y132" i="9"/>
  <c r="Y131" i="9"/>
  <c r="Y129" i="9"/>
  <c r="AV145" i="9"/>
  <c r="AV141" i="9"/>
  <c r="AV138" i="9"/>
  <c r="AV139" i="9"/>
  <c r="AV136" i="9"/>
  <c r="AV133" i="9"/>
  <c r="AV132" i="9"/>
  <c r="AV131" i="9"/>
  <c r="AV129" i="9"/>
  <c r="AV142" i="9"/>
  <c r="AV135" i="9"/>
  <c r="AV144" i="9"/>
  <c r="AV137" i="9"/>
  <c r="AV134" i="9"/>
  <c r="AV143" i="9"/>
  <c r="AV140" i="9"/>
  <c r="AV130" i="9"/>
  <c r="BF145" i="9"/>
  <c r="BF131" i="9"/>
  <c r="BF143" i="9"/>
  <c r="BF142" i="9"/>
  <c r="BF139" i="9"/>
  <c r="BF137" i="9"/>
  <c r="BF134" i="9"/>
  <c r="BF141" i="9"/>
  <c r="BF138" i="9"/>
  <c r="BF136" i="9"/>
  <c r="BF144" i="9"/>
  <c r="BF140" i="9"/>
  <c r="BF135" i="9"/>
  <c r="BF133" i="9"/>
  <c r="BF132" i="9"/>
  <c r="BF130" i="9"/>
  <c r="BF129" i="9"/>
  <c r="O140" i="9"/>
  <c r="O139" i="9"/>
  <c r="O138" i="9"/>
  <c r="O145" i="9"/>
  <c r="O144" i="9"/>
  <c r="O143" i="9"/>
  <c r="O135" i="9"/>
  <c r="O137" i="9"/>
  <c r="O136" i="9"/>
  <c r="O134" i="9"/>
  <c r="O133" i="9"/>
  <c r="O132" i="9"/>
  <c r="O131" i="9"/>
  <c r="O130" i="9"/>
  <c r="O129" i="9"/>
  <c r="O142" i="9"/>
  <c r="O141" i="9"/>
  <c r="AA140" i="9"/>
  <c r="AA139" i="9"/>
  <c r="AA138" i="9"/>
  <c r="AA145" i="9"/>
  <c r="AA144" i="9"/>
  <c r="AA142" i="9"/>
  <c r="AA137" i="9"/>
  <c r="AA136" i="9"/>
  <c r="AA135" i="9"/>
  <c r="AA133" i="9"/>
  <c r="AA132" i="9"/>
  <c r="AA131" i="9"/>
  <c r="AA130" i="9"/>
  <c r="AA129" i="9"/>
  <c r="AA143" i="9"/>
  <c r="AA141" i="9"/>
  <c r="AA134" i="9"/>
  <c r="AX145" i="9"/>
  <c r="AX144" i="9"/>
  <c r="AX143" i="9"/>
  <c r="AX142" i="9"/>
  <c r="AX141" i="9"/>
  <c r="AX140" i="9"/>
  <c r="AX137" i="9"/>
  <c r="AX136" i="9"/>
  <c r="AX135" i="9"/>
  <c r="AX134" i="9"/>
  <c r="AX139" i="9"/>
  <c r="AX138" i="9"/>
  <c r="AX133" i="9"/>
  <c r="AX132" i="9"/>
  <c r="AX130" i="9"/>
  <c r="AX131" i="9"/>
  <c r="AX129" i="9"/>
  <c r="BJ145" i="9"/>
  <c r="BJ144" i="9"/>
  <c r="BJ143" i="9"/>
  <c r="BJ142" i="9"/>
  <c r="BJ141" i="9"/>
  <c r="BJ140" i="9"/>
  <c r="BJ139" i="9"/>
  <c r="BJ137" i="9"/>
  <c r="BJ136" i="9"/>
  <c r="BJ135" i="9"/>
  <c r="BJ134" i="9"/>
  <c r="BJ138" i="9"/>
  <c r="BJ133" i="9"/>
  <c r="BJ132" i="9"/>
  <c r="BJ130" i="9"/>
  <c r="BJ131" i="9"/>
  <c r="BJ129" i="9"/>
  <c r="BN127" i="9"/>
  <c r="BN126" i="9"/>
  <c r="M84" i="9"/>
  <c r="Y84" i="9"/>
  <c r="AV84" i="9"/>
  <c r="BF84" i="9"/>
  <c r="AA84" i="9"/>
  <c r="AX84" i="9"/>
  <c r="BJ84" i="9"/>
  <c r="Q84" i="9"/>
  <c r="AZ84" i="9"/>
  <c r="BN84" i="9"/>
  <c r="O67" i="9"/>
  <c r="O84" i="9"/>
  <c r="AC67" i="9"/>
  <c r="AC84" i="9"/>
  <c r="Q33" i="9"/>
  <c r="Q67" i="9"/>
  <c r="AZ33" i="9"/>
  <c r="AZ67" i="9"/>
  <c r="BN33" i="9"/>
  <c r="BN67" i="9"/>
  <c r="M33" i="9"/>
  <c r="M67" i="9"/>
  <c r="Y33" i="9"/>
  <c r="Y67" i="9"/>
  <c r="AV33" i="9"/>
  <c r="AV67" i="9"/>
  <c r="BF33" i="9"/>
  <c r="BF67" i="9"/>
  <c r="AA33" i="9"/>
  <c r="AA67" i="9"/>
  <c r="AX33" i="9"/>
  <c r="AX67" i="9"/>
  <c r="BJ33" i="9"/>
  <c r="BJ67" i="9"/>
  <c r="AE5" i="9"/>
  <c r="AE7" i="9" s="1"/>
  <c r="O33" i="9"/>
  <c r="AC33" i="9"/>
  <c r="AE35" i="9"/>
  <c r="AE41" i="9"/>
  <c r="AE44" i="9"/>
  <c r="AE50" i="9"/>
  <c r="AE53" i="9"/>
  <c r="AE57" i="9"/>
  <c r="AE60" i="9"/>
  <c r="AE63" i="9"/>
  <c r="AE66" i="9"/>
  <c r="AE70" i="9"/>
  <c r="AE73" i="9"/>
  <c r="AE76" i="9"/>
  <c r="AE79" i="9"/>
  <c r="AE82" i="9"/>
  <c r="AE86" i="9"/>
  <c r="AE89" i="9"/>
  <c r="AE92" i="9"/>
  <c r="AE95" i="9"/>
  <c r="AE98" i="9"/>
  <c r="AE101" i="9"/>
  <c r="AE104" i="9"/>
  <c r="AE107" i="9"/>
  <c r="AE110" i="9"/>
  <c r="AE113" i="9"/>
  <c r="AE116" i="9"/>
  <c r="AE119" i="9"/>
  <c r="AE122" i="9"/>
  <c r="AE125" i="9"/>
  <c r="AE8" i="9"/>
  <c r="AE11" i="9"/>
  <c r="AE14" i="9"/>
  <c r="AE17" i="9"/>
  <c r="AE20" i="9"/>
  <c r="AE23" i="9"/>
  <c r="AE26" i="9"/>
  <c r="AE29" i="9"/>
  <c r="AE32" i="9"/>
  <c r="AE36" i="9"/>
  <c r="AE39" i="9"/>
  <c r="AE42" i="9"/>
  <c r="AE45" i="9"/>
  <c r="AE48" i="9"/>
  <c r="AE51" i="9"/>
  <c r="AE54" i="9"/>
  <c r="AE58" i="9"/>
  <c r="AE61" i="9"/>
  <c r="AE64" i="9"/>
  <c r="AE68" i="9"/>
  <c r="AE71" i="9"/>
  <c r="AE74" i="9"/>
  <c r="AE77" i="9"/>
  <c r="AE80" i="9"/>
  <c r="AE83" i="9"/>
  <c r="AE87" i="9"/>
  <c r="AE90" i="9"/>
  <c r="AE93" i="9"/>
  <c r="AE96" i="9"/>
  <c r="AE99" i="9"/>
  <c r="AE102" i="9"/>
  <c r="AE105" i="9"/>
  <c r="AE108" i="9"/>
  <c r="AE111" i="9"/>
  <c r="AE114" i="9"/>
  <c r="AE117" i="9"/>
  <c r="AE120" i="9"/>
  <c r="AE123" i="9"/>
  <c r="AE9" i="9"/>
  <c r="AE12" i="9"/>
  <c r="AE15" i="9"/>
  <c r="AE18" i="9"/>
  <c r="AE21" i="9"/>
  <c r="AE24" i="9"/>
  <c r="AE27" i="9"/>
  <c r="AE30" i="9"/>
  <c r="AE34" i="9"/>
  <c r="AE37" i="9"/>
  <c r="AE40" i="9"/>
  <c r="AE43" i="9"/>
  <c r="AE46" i="9"/>
  <c r="AE49" i="9"/>
  <c r="AE52" i="9"/>
  <c r="AE56" i="9"/>
  <c r="AE59" i="9"/>
  <c r="AE62" i="9"/>
  <c r="AE65" i="9"/>
  <c r="AE69" i="9"/>
  <c r="AE72" i="9"/>
  <c r="AE75" i="9"/>
  <c r="AE78" i="9"/>
  <c r="AE81" i="9"/>
  <c r="AE85" i="9"/>
  <c r="AE88" i="9"/>
  <c r="AE91" i="9"/>
  <c r="AE94" i="9"/>
  <c r="AE97" i="9"/>
  <c r="AE100" i="9"/>
  <c r="AE103" i="9"/>
  <c r="AE106" i="9"/>
  <c r="AE109" i="9"/>
  <c r="AE112" i="9"/>
  <c r="AE115" i="9"/>
  <c r="AE118" i="9"/>
  <c r="AE121" i="9"/>
  <c r="AE124" i="9"/>
  <c r="AO7" i="9"/>
  <c r="AO22" i="9"/>
  <c r="AO31" i="9"/>
  <c r="AO44" i="9"/>
  <c r="AO50" i="9"/>
  <c r="AO63" i="9"/>
  <c r="AO73" i="9"/>
  <c r="AO89" i="9"/>
  <c r="AO92" i="9"/>
  <c r="AO107" i="9"/>
  <c r="AO116" i="9"/>
  <c r="AO9" i="9"/>
  <c r="AO15" i="9"/>
  <c r="AO27" i="9"/>
  <c r="AO37" i="9"/>
  <c r="AO52" i="9"/>
  <c r="AO56" i="9"/>
  <c r="AO72" i="9"/>
  <c r="AO81" i="9"/>
  <c r="AO94" i="9"/>
  <c r="AO100" i="9"/>
  <c r="AO112" i="9"/>
  <c r="AO121" i="9"/>
  <c r="AO42" i="9"/>
  <c r="AO51" i="9"/>
  <c r="AO99" i="9"/>
  <c r="AO8" i="9"/>
  <c r="AO45" i="9"/>
  <c r="AO64" i="9"/>
  <c r="AO102" i="9"/>
  <c r="AO11" i="9"/>
  <c r="AO58" i="9"/>
  <c r="AO68" i="9"/>
  <c r="AO114" i="9"/>
  <c r="BB5" i="9"/>
  <c r="AZ8" i="9"/>
  <c r="AZ11" i="9"/>
  <c r="AZ14" i="9"/>
  <c r="AZ17" i="9"/>
  <c r="AZ20" i="9"/>
  <c r="AZ23" i="9"/>
  <c r="AZ26" i="9"/>
  <c r="AZ29" i="9"/>
  <c r="AZ32" i="9"/>
  <c r="AZ36" i="9"/>
  <c r="AZ39" i="9"/>
  <c r="AZ42" i="9"/>
  <c r="AZ45" i="9"/>
  <c r="AZ48" i="9"/>
  <c r="AZ51" i="9"/>
  <c r="AZ54" i="9"/>
  <c r="AZ108" i="9"/>
  <c r="AZ111" i="9"/>
  <c r="AZ114" i="9"/>
  <c r="AZ117" i="9"/>
  <c r="AZ120" i="9"/>
  <c r="AZ123" i="9"/>
  <c r="AZ6" i="9"/>
  <c r="AZ7" i="9"/>
  <c r="AZ10" i="9"/>
  <c r="AZ13" i="9"/>
  <c r="AZ16" i="9"/>
  <c r="AZ19" i="9"/>
  <c r="AZ22" i="9"/>
  <c r="AZ25" i="9"/>
  <c r="AZ28" i="9"/>
  <c r="AZ31" i="9"/>
  <c r="AZ35" i="9"/>
  <c r="AZ38" i="9"/>
  <c r="AZ41" i="9"/>
  <c r="AZ44" i="9"/>
  <c r="AZ47" i="9"/>
  <c r="AZ50" i="9"/>
  <c r="AZ53" i="9"/>
  <c r="AZ107" i="9"/>
  <c r="AZ110" i="9"/>
  <c r="AZ113" i="9"/>
  <c r="AZ116" i="9"/>
  <c r="AZ119" i="9"/>
  <c r="AZ122" i="9"/>
  <c r="AZ125" i="9"/>
  <c r="AZ15" i="9"/>
  <c r="AZ24" i="9"/>
  <c r="AZ34" i="9"/>
  <c r="AZ43" i="9"/>
  <c r="AZ52" i="9"/>
  <c r="AZ109" i="9"/>
  <c r="AZ118" i="9"/>
  <c r="AZ9" i="9"/>
  <c r="AZ18" i="9"/>
  <c r="AZ27" i="9"/>
  <c r="AZ37" i="9"/>
  <c r="AZ46" i="9"/>
  <c r="AZ112" i="9"/>
  <c r="AZ121" i="9"/>
  <c r="AZ12" i="9"/>
  <c r="AZ21" i="9"/>
  <c r="AZ30" i="9"/>
  <c r="AZ40" i="9"/>
  <c r="AZ49" i="9"/>
  <c r="AZ106" i="9"/>
  <c r="AZ115" i="9"/>
  <c r="AZ124" i="9"/>
  <c r="BN9" i="9"/>
  <c r="BN12" i="9"/>
  <c r="BN15" i="9"/>
  <c r="BN18" i="9"/>
  <c r="BN21" i="9"/>
  <c r="BN8" i="9"/>
  <c r="BN13" i="9"/>
  <c r="BN17" i="9"/>
  <c r="BN22" i="9"/>
  <c r="BN25" i="9"/>
  <c r="BN28" i="9"/>
  <c r="BN31" i="9"/>
  <c r="BN35" i="9"/>
  <c r="BN38" i="9"/>
  <c r="BN41" i="9"/>
  <c r="BN44" i="9"/>
  <c r="BN47" i="9"/>
  <c r="BN50" i="9"/>
  <c r="BN53" i="9"/>
  <c r="BN57" i="9"/>
  <c r="BN60" i="9"/>
  <c r="BN63" i="9"/>
  <c r="BN66" i="9"/>
  <c r="BN70" i="9"/>
  <c r="BN73" i="9"/>
  <c r="BN76" i="9"/>
  <c r="BN79" i="9"/>
  <c r="BN82" i="9"/>
  <c r="BN86" i="9"/>
  <c r="BN89" i="9"/>
  <c r="BN92" i="9"/>
  <c r="BN95" i="9"/>
  <c r="BN98" i="9"/>
  <c r="BN101" i="9"/>
  <c r="BN104" i="9"/>
  <c r="BN107" i="9"/>
  <c r="BN110" i="9"/>
  <c r="BN113" i="9"/>
  <c r="BN116" i="9"/>
  <c r="BN7" i="9"/>
  <c r="BN11" i="9"/>
  <c r="BN10" i="9"/>
  <c r="BN19" i="9"/>
  <c r="BN24" i="9"/>
  <c r="BN29" i="9"/>
  <c r="BN34" i="9"/>
  <c r="BN39" i="9"/>
  <c r="BN43" i="9"/>
  <c r="BN48" i="9"/>
  <c r="BN52" i="9"/>
  <c r="BN58" i="9"/>
  <c r="BN62" i="9"/>
  <c r="BN68" i="9"/>
  <c r="BN72" i="9"/>
  <c r="BN77" i="9"/>
  <c r="BN81" i="9"/>
  <c r="BN87" i="9"/>
  <c r="BN91" i="9"/>
  <c r="BN96" i="9"/>
  <c r="BN100" i="9"/>
  <c r="BN105" i="9"/>
  <c r="BN109" i="9"/>
  <c r="BN114" i="9"/>
  <c r="BN118" i="9"/>
  <c r="BN121" i="9"/>
  <c r="BN124" i="9"/>
  <c r="BN16" i="9"/>
  <c r="BN23" i="9"/>
  <c r="BN27" i="9"/>
  <c r="BN32" i="9"/>
  <c r="BN37" i="9"/>
  <c r="BN42" i="9"/>
  <c r="BN46" i="9"/>
  <c r="BN51" i="9"/>
  <c r="BN56" i="9"/>
  <c r="BN61" i="9"/>
  <c r="BN65" i="9"/>
  <c r="BN71" i="9"/>
  <c r="BN75" i="9"/>
  <c r="BN80" i="9"/>
  <c r="BN85" i="9"/>
  <c r="BN90" i="9"/>
  <c r="BN94" i="9"/>
  <c r="BN99" i="9"/>
  <c r="BN103" i="9"/>
  <c r="BN108" i="9"/>
  <c r="BN112" i="9"/>
  <c r="BN117" i="9"/>
  <c r="BN120" i="9"/>
  <c r="BN123" i="9"/>
  <c r="BN6" i="9"/>
  <c r="BN26" i="9"/>
  <c r="BN40" i="9"/>
  <c r="BN54" i="9"/>
  <c r="BN69" i="9"/>
  <c r="BN83" i="9"/>
  <c r="BN97" i="9"/>
  <c r="BN111" i="9"/>
  <c r="BN122" i="9"/>
  <c r="BN20" i="9"/>
  <c r="BN36" i="9"/>
  <c r="BN49" i="9"/>
  <c r="BN64" i="9"/>
  <c r="BN78" i="9"/>
  <c r="BN93" i="9"/>
  <c r="BN106" i="9"/>
  <c r="BN119" i="9"/>
  <c r="BN14" i="9"/>
  <c r="BN59" i="9"/>
  <c r="BN102" i="9"/>
  <c r="BN30" i="9"/>
  <c r="BN74" i="9"/>
  <c r="BN115" i="9"/>
  <c r="BN45" i="9"/>
  <c r="BN88" i="9"/>
  <c r="BN125" i="9"/>
  <c r="O9" i="9"/>
  <c r="O12" i="9"/>
  <c r="O15" i="9"/>
  <c r="O18" i="9"/>
  <c r="O21" i="9"/>
  <c r="O24" i="9"/>
  <c r="O27" i="9"/>
  <c r="O30" i="9"/>
  <c r="O34" i="9"/>
  <c r="O37" i="9"/>
  <c r="O40" i="9"/>
  <c r="O43" i="9"/>
  <c r="O46" i="9"/>
  <c r="O49" i="9"/>
  <c r="O52" i="9"/>
  <c r="O56" i="9"/>
  <c r="O59" i="9"/>
  <c r="O62" i="9"/>
  <c r="O65" i="9"/>
  <c r="O69" i="9"/>
  <c r="O72" i="9"/>
  <c r="O75" i="9"/>
  <c r="O78" i="9"/>
  <c r="O81" i="9"/>
  <c r="O85" i="9"/>
  <c r="O88" i="9"/>
  <c r="O91" i="9"/>
  <c r="O94" i="9"/>
  <c r="O97" i="9"/>
  <c r="O100" i="9"/>
  <c r="O103" i="9"/>
  <c r="O106" i="9"/>
  <c r="O109" i="9"/>
  <c r="O112" i="9"/>
  <c r="O115" i="9"/>
  <c r="O118" i="9"/>
  <c r="O121" i="9"/>
  <c r="O124" i="9"/>
  <c r="O10" i="9"/>
  <c r="O16" i="9"/>
  <c r="O25" i="9"/>
  <c r="O31" i="9"/>
  <c r="O38" i="9"/>
  <c r="O44" i="9"/>
  <c r="O50" i="9"/>
  <c r="O60" i="9"/>
  <c r="O66" i="9"/>
  <c r="O76" i="9"/>
  <c r="O82" i="9"/>
  <c r="O92" i="9"/>
  <c r="O98" i="9"/>
  <c r="O107" i="9"/>
  <c r="O113" i="9"/>
  <c r="O119" i="9"/>
  <c r="O19" i="9"/>
  <c r="O35" i="9"/>
  <c r="O57" i="9"/>
  <c r="O70" i="9"/>
  <c r="O86" i="9"/>
  <c r="O101" i="9"/>
  <c r="O122" i="9"/>
  <c r="O8" i="9"/>
  <c r="O11" i="9"/>
  <c r="O14" i="9"/>
  <c r="O17" i="9"/>
  <c r="O20" i="9"/>
  <c r="O23" i="9"/>
  <c r="O26" i="9"/>
  <c r="O29" i="9"/>
  <c r="O32" i="9"/>
  <c r="O36" i="9"/>
  <c r="O39" i="9"/>
  <c r="O42" i="9"/>
  <c r="O45" i="9"/>
  <c r="O48" i="9"/>
  <c r="O51" i="9"/>
  <c r="O54" i="9"/>
  <c r="O58" i="9"/>
  <c r="O61" i="9"/>
  <c r="O64" i="9"/>
  <c r="O68" i="9"/>
  <c r="O71" i="9"/>
  <c r="O74" i="9"/>
  <c r="O77" i="9"/>
  <c r="O80" i="9"/>
  <c r="O83" i="9"/>
  <c r="O87" i="9"/>
  <c r="O90" i="9"/>
  <c r="O93" i="9"/>
  <c r="O96" i="9"/>
  <c r="O99" i="9"/>
  <c r="O102" i="9"/>
  <c r="O105" i="9"/>
  <c r="O108" i="9"/>
  <c r="O111" i="9"/>
  <c r="O114" i="9"/>
  <c r="O117" i="9"/>
  <c r="O120" i="9"/>
  <c r="O123" i="9"/>
  <c r="O7" i="9"/>
  <c r="O13" i="9"/>
  <c r="O22" i="9"/>
  <c r="O28" i="9"/>
  <c r="O41" i="9"/>
  <c r="O47" i="9"/>
  <c r="O53" i="9"/>
  <c r="O63" i="9"/>
  <c r="O73" i="9"/>
  <c r="O79" i="9"/>
  <c r="O89" i="9"/>
  <c r="O95" i="9"/>
  <c r="O104" i="9"/>
  <c r="O110" i="9"/>
  <c r="O116" i="9"/>
  <c r="O125" i="9"/>
  <c r="Y7" i="9"/>
  <c r="Y10" i="9"/>
  <c r="Y13" i="9"/>
  <c r="Y16" i="9"/>
  <c r="Y19" i="9"/>
  <c r="Y22" i="9"/>
  <c r="Y25" i="9"/>
  <c r="Y28" i="9"/>
  <c r="Y31" i="9"/>
  <c r="Y35" i="9"/>
  <c r="Y38" i="9"/>
  <c r="Y41" i="9"/>
  <c r="Y44" i="9"/>
  <c r="Y47" i="9"/>
  <c r="Y50" i="9"/>
  <c r="Y53" i="9"/>
  <c r="Y57" i="9"/>
  <c r="Y60" i="9"/>
  <c r="Y63" i="9"/>
  <c r="Y66" i="9"/>
  <c r="Y70" i="9"/>
  <c r="Y73" i="9"/>
  <c r="Y76" i="9"/>
  <c r="Y79" i="9"/>
  <c r="Y82" i="9"/>
  <c r="Y86" i="9"/>
  <c r="Y89" i="9"/>
  <c r="Y92" i="9"/>
  <c r="Y95" i="9"/>
  <c r="Y98" i="9"/>
  <c r="Y101" i="9"/>
  <c r="Y104" i="9"/>
  <c r="Y107" i="9"/>
  <c r="Y110" i="9"/>
  <c r="Y113" i="9"/>
  <c r="Y116" i="9"/>
  <c r="Y119" i="9"/>
  <c r="Y122" i="9"/>
  <c r="Y125" i="9"/>
  <c r="Y9" i="9"/>
  <c r="Y12" i="9"/>
  <c r="Y15" i="9"/>
  <c r="Y18" i="9"/>
  <c r="Y21" i="9"/>
  <c r="Y24" i="9"/>
  <c r="Y27" i="9"/>
  <c r="Y30" i="9"/>
  <c r="Y34" i="9"/>
  <c r="Y37" i="9"/>
  <c r="Y40" i="9"/>
  <c r="Y43" i="9"/>
  <c r="Y46" i="9"/>
  <c r="Y49" i="9"/>
  <c r="Y52" i="9"/>
  <c r="Y56" i="9"/>
  <c r="Y59" i="9"/>
  <c r="Y62" i="9"/>
  <c r="Y65" i="9"/>
  <c r="Y69" i="9"/>
  <c r="Y72" i="9"/>
  <c r="Y75" i="9"/>
  <c r="Y78" i="9"/>
  <c r="Y81" i="9"/>
  <c r="Y85" i="9"/>
  <c r="Y88" i="9"/>
  <c r="Y91" i="9"/>
  <c r="Y94" i="9"/>
  <c r="Y97" i="9"/>
  <c r="Y100" i="9"/>
  <c r="Y103" i="9"/>
  <c r="Y106" i="9"/>
  <c r="Y109" i="9"/>
  <c r="Y112" i="9"/>
  <c r="Y115" i="9"/>
  <c r="Y118" i="9"/>
  <c r="Y121" i="9"/>
  <c r="Y124" i="9"/>
  <c r="Y11" i="9"/>
  <c r="Y20" i="9"/>
  <c r="Y29" i="9"/>
  <c r="Y39" i="9"/>
  <c r="Y48" i="9"/>
  <c r="Y58" i="9"/>
  <c r="Y68" i="9"/>
  <c r="Y77" i="9"/>
  <c r="Y87" i="9"/>
  <c r="Y96" i="9"/>
  <c r="Y105" i="9"/>
  <c r="Y114" i="9"/>
  <c r="Y123" i="9"/>
  <c r="Y32" i="9"/>
  <c r="Y51" i="9"/>
  <c r="Y71" i="9"/>
  <c r="Y90" i="9"/>
  <c r="Y108" i="9"/>
  <c r="Y14" i="9"/>
  <c r="Y8" i="9"/>
  <c r="Y17" i="9"/>
  <c r="Y26" i="9"/>
  <c r="Y36" i="9"/>
  <c r="Y45" i="9"/>
  <c r="Y54" i="9"/>
  <c r="Y64" i="9"/>
  <c r="Y74" i="9"/>
  <c r="Y83" i="9"/>
  <c r="Y93" i="9"/>
  <c r="Y102" i="9"/>
  <c r="Y111" i="9"/>
  <c r="Y120" i="9"/>
  <c r="Y23" i="9"/>
  <c r="Y42" i="9"/>
  <c r="Y61" i="9"/>
  <c r="Y80" i="9"/>
  <c r="Y99" i="9"/>
  <c r="Y117" i="9"/>
  <c r="Q7" i="9"/>
  <c r="Q10" i="9"/>
  <c r="Q13" i="9"/>
  <c r="Q16" i="9"/>
  <c r="Q19" i="9"/>
  <c r="Q22" i="9"/>
  <c r="Q25" i="9"/>
  <c r="Q28" i="9"/>
  <c r="Q31" i="9"/>
  <c r="Q35" i="9"/>
  <c r="Q38" i="9"/>
  <c r="Q41" i="9"/>
  <c r="Q44" i="9"/>
  <c r="Q47" i="9"/>
  <c r="Q50" i="9"/>
  <c r="Q53" i="9"/>
  <c r="Q57" i="9"/>
  <c r="Q60" i="9"/>
  <c r="Q63" i="9"/>
  <c r="Q66" i="9"/>
  <c r="Q70" i="9"/>
  <c r="Q73" i="9"/>
  <c r="Q76" i="9"/>
  <c r="Q79" i="9"/>
  <c r="Q82" i="9"/>
  <c r="Q86" i="9"/>
  <c r="Q89" i="9"/>
  <c r="Q92" i="9"/>
  <c r="Q95" i="9"/>
  <c r="Q98" i="9"/>
  <c r="Q101" i="9"/>
  <c r="Q104" i="9"/>
  <c r="Q107" i="9"/>
  <c r="Q110" i="9"/>
  <c r="Q113" i="9"/>
  <c r="Q116" i="9"/>
  <c r="Q119" i="9"/>
  <c r="Q122" i="9"/>
  <c r="Q125" i="9"/>
  <c r="Q14" i="9"/>
  <c r="Q20" i="9"/>
  <c r="Q29" i="9"/>
  <c r="Q36" i="9"/>
  <c r="Q42" i="9"/>
  <c r="Q51" i="9"/>
  <c r="Q58" i="9"/>
  <c r="Q68" i="9"/>
  <c r="Q74" i="9"/>
  <c r="Q80" i="9"/>
  <c r="Q90" i="9"/>
  <c r="Q96" i="9"/>
  <c r="Q102" i="9"/>
  <c r="Q111" i="9"/>
  <c r="Q114" i="9"/>
  <c r="Q123" i="9"/>
  <c r="Q11" i="9"/>
  <c r="Q26" i="9"/>
  <c r="Q45" i="9"/>
  <c r="Q64" i="9"/>
  <c r="Q83" i="9"/>
  <c r="Q105" i="9"/>
  <c r="Q120" i="9"/>
  <c r="Q9" i="9"/>
  <c r="Q12" i="9"/>
  <c r="Q15" i="9"/>
  <c r="Q18" i="9"/>
  <c r="Q21" i="9"/>
  <c r="Q24" i="9"/>
  <c r="Q27" i="9"/>
  <c r="Q30" i="9"/>
  <c r="Q34" i="9"/>
  <c r="Q37" i="9"/>
  <c r="Q40" i="9"/>
  <c r="Q43" i="9"/>
  <c r="Q46" i="9"/>
  <c r="Q49" i="9"/>
  <c r="Q52" i="9"/>
  <c r="Q56" i="9"/>
  <c r="Q59" i="9"/>
  <c r="Q62" i="9"/>
  <c r="Q65" i="9"/>
  <c r="Q69" i="9"/>
  <c r="Q72" i="9"/>
  <c r="Q75" i="9"/>
  <c r="Q78" i="9"/>
  <c r="Q81" i="9"/>
  <c r="Q85" i="9"/>
  <c r="Q88" i="9"/>
  <c r="Q91" i="9"/>
  <c r="Q94" i="9"/>
  <c r="Q97" i="9"/>
  <c r="Q100" i="9"/>
  <c r="Q103" i="9"/>
  <c r="Q106" i="9"/>
  <c r="Q109" i="9"/>
  <c r="Q112" i="9"/>
  <c r="Q115" i="9"/>
  <c r="Q118" i="9"/>
  <c r="Q121" i="9"/>
  <c r="Q124" i="9"/>
  <c r="Q8" i="9"/>
  <c r="Q17" i="9"/>
  <c r="Q23" i="9"/>
  <c r="Q32" i="9"/>
  <c r="Q39" i="9"/>
  <c r="Q48" i="9"/>
  <c r="Q54" i="9"/>
  <c r="Q61" i="9"/>
  <c r="Q71" i="9"/>
  <c r="Q77" i="9"/>
  <c r="Q87" i="9"/>
  <c r="Q93" i="9"/>
  <c r="Q99" i="9"/>
  <c r="Q108" i="9"/>
  <c r="Q117" i="9"/>
  <c r="AA8" i="9"/>
  <c r="AA11" i="9"/>
  <c r="AA14" i="9"/>
  <c r="AA17" i="9"/>
  <c r="AA20" i="9"/>
  <c r="AA23" i="9"/>
  <c r="AA26" i="9"/>
  <c r="AA29" i="9"/>
  <c r="AA32" i="9"/>
  <c r="AA36" i="9"/>
  <c r="AA39" i="9"/>
  <c r="AA42" i="9"/>
  <c r="AA45" i="9"/>
  <c r="AA48" i="9"/>
  <c r="AA51" i="9"/>
  <c r="AA54" i="9"/>
  <c r="AA58" i="9"/>
  <c r="AA61" i="9"/>
  <c r="AA64" i="9"/>
  <c r="AA68" i="9"/>
  <c r="AA71" i="9"/>
  <c r="AA74" i="9"/>
  <c r="AA77" i="9"/>
  <c r="AA80" i="9"/>
  <c r="AA83" i="9"/>
  <c r="AA87" i="9"/>
  <c r="AA90" i="9"/>
  <c r="AA93" i="9"/>
  <c r="AA96" i="9"/>
  <c r="AA99" i="9"/>
  <c r="AA102" i="9"/>
  <c r="AA105" i="9"/>
  <c r="AA108" i="9"/>
  <c r="AA111" i="9"/>
  <c r="AA114" i="9"/>
  <c r="AA117" i="9"/>
  <c r="AA120" i="9"/>
  <c r="AA123" i="9"/>
  <c r="AA7" i="9"/>
  <c r="AA10" i="9"/>
  <c r="AA13" i="9"/>
  <c r="AA16" i="9"/>
  <c r="AA19" i="9"/>
  <c r="AA22" i="9"/>
  <c r="AA25" i="9"/>
  <c r="AA28" i="9"/>
  <c r="AA31" i="9"/>
  <c r="AA35" i="9"/>
  <c r="AA38" i="9"/>
  <c r="AA41" i="9"/>
  <c r="AA44" i="9"/>
  <c r="AA47" i="9"/>
  <c r="AA50" i="9"/>
  <c r="AA53" i="9"/>
  <c r="AA57" i="9"/>
  <c r="AA60" i="9"/>
  <c r="AA63" i="9"/>
  <c r="AA66" i="9"/>
  <c r="AA70" i="9"/>
  <c r="AA73" i="9"/>
  <c r="AA76" i="9"/>
  <c r="AA79" i="9"/>
  <c r="AA82" i="9"/>
  <c r="AA86" i="9"/>
  <c r="AA89" i="9"/>
  <c r="AA92" i="9"/>
  <c r="AA95" i="9"/>
  <c r="AA98" i="9"/>
  <c r="AA101" i="9"/>
  <c r="AA104" i="9"/>
  <c r="AA107" i="9"/>
  <c r="AA110" i="9"/>
  <c r="AA113" i="9"/>
  <c r="AA116" i="9"/>
  <c r="AA119" i="9"/>
  <c r="AA122" i="9"/>
  <c r="AA125" i="9"/>
  <c r="AA9" i="9"/>
  <c r="AA18" i="9"/>
  <c r="AA27" i="9"/>
  <c r="AA37" i="9"/>
  <c r="AA46" i="9"/>
  <c r="AA56" i="9"/>
  <c r="AA65" i="9"/>
  <c r="AA75" i="9"/>
  <c r="AA85" i="9"/>
  <c r="AA94" i="9"/>
  <c r="AA103" i="9"/>
  <c r="AA112" i="9"/>
  <c r="AA121" i="9"/>
  <c r="AA21" i="9"/>
  <c r="AA49" i="9"/>
  <c r="AA69" i="9"/>
  <c r="AA88" i="9"/>
  <c r="AA106" i="9"/>
  <c r="AA124" i="9"/>
  <c r="AA15" i="9"/>
  <c r="AA24" i="9"/>
  <c r="AA34" i="9"/>
  <c r="AA43" i="9"/>
  <c r="AA52" i="9"/>
  <c r="AA62" i="9"/>
  <c r="AA72" i="9"/>
  <c r="AA81" i="9"/>
  <c r="AA91" i="9"/>
  <c r="AA100" i="9"/>
  <c r="AA109" i="9"/>
  <c r="AA118" i="9"/>
  <c r="AA12" i="9"/>
  <c r="AA30" i="9"/>
  <c r="AA40" i="9"/>
  <c r="AA59" i="9"/>
  <c r="AA78" i="9"/>
  <c r="AA97" i="9"/>
  <c r="AA115" i="9"/>
  <c r="AG5" i="9"/>
  <c r="AV7" i="9"/>
  <c r="AV10" i="9"/>
  <c r="AV13" i="9"/>
  <c r="AV16" i="9"/>
  <c r="AV19" i="9"/>
  <c r="AV22" i="9"/>
  <c r="AV25" i="9"/>
  <c r="AV28" i="9"/>
  <c r="AV31" i="9"/>
  <c r="AV35" i="9"/>
  <c r="AV38" i="9"/>
  <c r="AV41" i="9"/>
  <c r="AV44" i="9"/>
  <c r="AV47" i="9"/>
  <c r="AV50" i="9"/>
  <c r="AV9" i="9"/>
  <c r="AV12" i="9"/>
  <c r="AV15" i="9"/>
  <c r="AV18" i="9"/>
  <c r="AV21" i="9"/>
  <c r="AV24" i="9"/>
  <c r="AV27" i="9"/>
  <c r="AV30" i="9"/>
  <c r="AV34" i="9"/>
  <c r="AV37" i="9"/>
  <c r="AV40" i="9"/>
  <c r="AV43" i="9"/>
  <c r="AV46" i="9"/>
  <c r="AV49" i="9"/>
  <c r="AV52" i="9"/>
  <c r="AV56" i="9"/>
  <c r="AV8" i="9"/>
  <c r="AV17" i="9"/>
  <c r="AV26" i="9"/>
  <c r="AV36" i="9"/>
  <c r="AV45" i="9"/>
  <c r="AV53" i="9"/>
  <c r="AV58" i="9"/>
  <c r="AV61" i="9"/>
  <c r="AV64" i="9"/>
  <c r="AV68" i="9"/>
  <c r="AV71" i="9"/>
  <c r="AV74" i="9"/>
  <c r="AV77" i="9"/>
  <c r="AV80" i="9"/>
  <c r="AV83" i="9"/>
  <c r="AV87" i="9"/>
  <c r="AV90" i="9"/>
  <c r="AV93" i="9"/>
  <c r="AV96" i="9"/>
  <c r="AV99" i="9"/>
  <c r="AV102" i="9"/>
  <c r="AV105" i="9"/>
  <c r="AV108" i="9"/>
  <c r="AV111" i="9"/>
  <c r="AV114" i="9"/>
  <c r="AV117" i="9"/>
  <c r="AV120" i="9"/>
  <c r="AV123" i="9"/>
  <c r="AV6" i="9"/>
  <c r="AV11" i="9"/>
  <c r="AV20" i="9"/>
  <c r="AV29" i="9"/>
  <c r="AV39" i="9"/>
  <c r="AV48" i="9"/>
  <c r="AV54" i="9"/>
  <c r="AV59" i="9"/>
  <c r="AV62" i="9"/>
  <c r="AV65" i="9"/>
  <c r="AV69" i="9"/>
  <c r="AV72" i="9"/>
  <c r="AV75" i="9"/>
  <c r="AV78" i="9"/>
  <c r="AV81" i="9"/>
  <c r="AV85" i="9"/>
  <c r="AV88" i="9"/>
  <c r="AV91" i="9"/>
  <c r="AV94" i="9"/>
  <c r="AV97" i="9"/>
  <c r="AV100" i="9"/>
  <c r="AV103" i="9"/>
  <c r="AV106" i="9"/>
  <c r="AV109" i="9"/>
  <c r="AV112" i="9"/>
  <c r="AV115" i="9"/>
  <c r="AV118" i="9"/>
  <c r="AV121" i="9"/>
  <c r="AV124" i="9"/>
  <c r="AV14" i="9"/>
  <c r="AV23" i="9"/>
  <c r="AV32" i="9"/>
  <c r="AV42" i="9"/>
  <c r="AV51" i="9"/>
  <c r="AV57" i="9"/>
  <c r="AV60" i="9"/>
  <c r="AV63" i="9"/>
  <c r="AV66" i="9"/>
  <c r="AV70" i="9"/>
  <c r="AV73" i="9"/>
  <c r="AV76" i="9"/>
  <c r="AV79" i="9"/>
  <c r="AV82" i="9"/>
  <c r="AV86" i="9"/>
  <c r="AV89" i="9"/>
  <c r="AV92" i="9"/>
  <c r="AV95" i="9"/>
  <c r="AV98" i="9"/>
  <c r="AV101" i="9"/>
  <c r="AV104" i="9"/>
  <c r="AV107" i="9"/>
  <c r="AV110" i="9"/>
  <c r="AV113" i="9"/>
  <c r="AV116" i="9"/>
  <c r="AV119" i="9"/>
  <c r="AV122" i="9"/>
  <c r="AV125" i="9"/>
  <c r="BF9" i="9"/>
  <c r="BF12" i="9"/>
  <c r="BF15" i="9"/>
  <c r="BF18" i="9"/>
  <c r="BF21" i="9"/>
  <c r="BF24" i="9"/>
  <c r="BF27" i="9"/>
  <c r="BF30" i="9"/>
  <c r="BF34" i="9"/>
  <c r="BF37" i="9"/>
  <c r="BF40" i="9"/>
  <c r="BF43" i="9"/>
  <c r="BF46" i="9"/>
  <c r="BF49" i="9"/>
  <c r="BF52" i="9"/>
  <c r="BF56" i="9"/>
  <c r="BF59" i="9"/>
  <c r="BF62" i="9"/>
  <c r="BF65" i="9"/>
  <c r="BF69" i="9"/>
  <c r="BF72" i="9"/>
  <c r="BF75" i="9"/>
  <c r="BF78" i="9"/>
  <c r="BF81" i="9"/>
  <c r="BF85" i="9"/>
  <c r="BF88" i="9"/>
  <c r="BF91" i="9"/>
  <c r="BF94" i="9"/>
  <c r="BF97" i="9"/>
  <c r="BF100" i="9"/>
  <c r="BF103" i="9"/>
  <c r="BF106" i="9"/>
  <c r="BF109" i="9"/>
  <c r="BF112" i="9"/>
  <c r="BF115" i="9"/>
  <c r="BF118" i="9"/>
  <c r="BF121" i="9"/>
  <c r="BF124" i="9"/>
  <c r="BF8" i="9"/>
  <c r="BF11" i="9"/>
  <c r="BF14" i="9"/>
  <c r="BF17" i="9"/>
  <c r="BF20" i="9"/>
  <c r="BF23" i="9"/>
  <c r="BF26" i="9"/>
  <c r="BF29" i="9"/>
  <c r="BF32" i="9"/>
  <c r="BF36" i="9"/>
  <c r="BF39" i="9"/>
  <c r="BF42" i="9"/>
  <c r="BF45" i="9"/>
  <c r="BF48" i="9"/>
  <c r="BF51" i="9"/>
  <c r="BF54" i="9"/>
  <c r="BF58" i="9"/>
  <c r="BF61" i="9"/>
  <c r="BF64" i="9"/>
  <c r="BF68" i="9"/>
  <c r="BF71" i="9"/>
  <c r="BF74" i="9"/>
  <c r="BF77" i="9"/>
  <c r="BF80" i="9"/>
  <c r="BF83" i="9"/>
  <c r="BF87" i="9"/>
  <c r="BF90" i="9"/>
  <c r="BF93" i="9"/>
  <c r="BF96" i="9"/>
  <c r="BF99" i="9"/>
  <c r="BF102" i="9"/>
  <c r="BF105" i="9"/>
  <c r="BF108" i="9"/>
  <c r="BF111" i="9"/>
  <c r="BF114" i="9"/>
  <c r="BF117" i="9"/>
  <c r="BF120" i="9"/>
  <c r="BF123" i="9"/>
  <c r="BF10" i="9"/>
  <c r="BF19" i="9"/>
  <c r="BF28" i="9"/>
  <c r="BF38" i="9"/>
  <c r="BF47" i="9"/>
  <c r="BF57" i="9"/>
  <c r="BF66" i="9"/>
  <c r="BF76" i="9"/>
  <c r="BF86" i="9"/>
  <c r="BF95" i="9"/>
  <c r="BF104" i="9"/>
  <c r="BF113" i="9"/>
  <c r="BF122" i="9"/>
  <c r="BF7" i="9"/>
  <c r="BF16" i="9"/>
  <c r="BF25" i="9"/>
  <c r="BF35" i="9"/>
  <c r="BF44" i="9"/>
  <c r="BF53" i="9"/>
  <c r="BF63" i="9"/>
  <c r="BF73" i="9"/>
  <c r="BF82" i="9"/>
  <c r="BF92" i="9"/>
  <c r="BF101" i="9"/>
  <c r="BF110" i="9"/>
  <c r="BF119" i="9"/>
  <c r="BF22" i="9"/>
  <c r="BF50" i="9"/>
  <c r="BF79" i="9"/>
  <c r="BF107" i="9"/>
  <c r="BF31" i="9"/>
  <c r="BF60" i="9"/>
  <c r="BF89" i="9"/>
  <c r="BF116" i="9"/>
  <c r="BF13" i="9"/>
  <c r="BF41" i="9"/>
  <c r="BF70" i="9"/>
  <c r="BF98" i="9"/>
  <c r="BF125" i="9"/>
  <c r="M8" i="9"/>
  <c r="M11" i="9"/>
  <c r="M14" i="9"/>
  <c r="M17" i="9"/>
  <c r="M20" i="9"/>
  <c r="M23" i="9"/>
  <c r="M26" i="9"/>
  <c r="M29" i="9"/>
  <c r="M32" i="9"/>
  <c r="M36" i="9"/>
  <c r="M39" i="9"/>
  <c r="M42" i="9"/>
  <c r="M45" i="9"/>
  <c r="M48" i="9"/>
  <c r="M51" i="9"/>
  <c r="M54" i="9"/>
  <c r="M58" i="9"/>
  <c r="M61" i="9"/>
  <c r="M64" i="9"/>
  <c r="M68" i="9"/>
  <c r="M71" i="9"/>
  <c r="M74" i="9"/>
  <c r="M77" i="9"/>
  <c r="M80" i="9"/>
  <c r="M83" i="9"/>
  <c r="M87" i="9"/>
  <c r="M90" i="9"/>
  <c r="M93" i="9"/>
  <c r="M96" i="9"/>
  <c r="M99" i="9"/>
  <c r="M102" i="9"/>
  <c r="M105" i="9"/>
  <c r="M108" i="9"/>
  <c r="M111" i="9"/>
  <c r="M114" i="9"/>
  <c r="M117" i="9"/>
  <c r="M120" i="9"/>
  <c r="M123" i="9"/>
  <c r="M9" i="9"/>
  <c r="M15" i="9"/>
  <c r="M21" i="9"/>
  <c r="M30" i="9"/>
  <c r="M37" i="9"/>
  <c r="M46" i="9"/>
  <c r="M56" i="9"/>
  <c r="M65" i="9"/>
  <c r="M75" i="9"/>
  <c r="M81" i="9"/>
  <c r="M91" i="9"/>
  <c r="M97" i="9"/>
  <c r="M103" i="9"/>
  <c r="M109" i="9"/>
  <c r="M118" i="9"/>
  <c r="M124" i="9"/>
  <c r="M24" i="9"/>
  <c r="M40" i="9"/>
  <c r="M52" i="9"/>
  <c r="M69" i="9"/>
  <c r="M85" i="9"/>
  <c r="M100" i="9"/>
  <c r="M115" i="9"/>
  <c r="M7" i="9"/>
  <c r="M10" i="9"/>
  <c r="M13" i="9"/>
  <c r="M16" i="9"/>
  <c r="M19" i="9"/>
  <c r="M22" i="9"/>
  <c r="M25" i="9"/>
  <c r="M28" i="9"/>
  <c r="M31" i="9"/>
  <c r="M35" i="9"/>
  <c r="M38" i="9"/>
  <c r="M41" i="9"/>
  <c r="M44" i="9"/>
  <c r="M47" i="9"/>
  <c r="M50" i="9"/>
  <c r="M53" i="9"/>
  <c r="M57" i="9"/>
  <c r="M60" i="9"/>
  <c r="M63" i="9"/>
  <c r="M66" i="9"/>
  <c r="M70" i="9"/>
  <c r="M73" i="9"/>
  <c r="M76" i="9"/>
  <c r="M79" i="9"/>
  <c r="M82" i="9"/>
  <c r="M86" i="9"/>
  <c r="M89" i="9"/>
  <c r="M92" i="9"/>
  <c r="M95" i="9"/>
  <c r="M98" i="9"/>
  <c r="M101" i="9"/>
  <c r="M104" i="9"/>
  <c r="M107" i="9"/>
  <c r="M110" i="9"/>
  <c r="M113" i="9"/>
  <c r="M116" i="9"/>
  <c r="M119" i="9"/>
  <c r="M122" i="9"/>
  <c r="M125" i="9"/>
  <c r="M12" i="9"/>
  <c r="M18" i="9"/>
  <c r="M27" i="9"/>
  <c r="M34" i="9"/>
  <c r="M43" i="9"/>
  <c r="M49" i="9"/>
  <c r="M59" i="9"/>
  <c r="M62" i="9"/>
  <c r="M72" i="9"/>
  <c r="M78" i="9"/>
  <c r="M88" i="9"/>
  <c r="M94" i="9"/>
  <c r="M106" i="9"/>
  <c r="M112" i="9"/>
  <c r="M121" i="9"/>
  <c r="AC9" i="9"/>
  <c r="AC12" i="9"/>
  <c r="AC15" i="9"/>
  <c r="AC18" i="9"/>
  <c r="AC21" i="9"/>
  <c r="AC24" i="9"/>
  <c r="AC27" i="9"/>
  <c r="AC30" i="9"/>
  <c r="AC34" i="9"/>
  <c r="AC37" i="9"/>
  <c r="AC40" i="9"/>
  <c r="AC43" i="9"/>
  <c r="AC46" i="9"/>
  <c r="AC49" i="9"/>
  <c r="AC52" i="9"/>
  <c r="AC56" i="9"/>
  <c r="AC59" i="9"/>
  <c r="AC62" i="9"/>
  <c r="AC65" i="9"/>
  <c r="AC69" i="9"/>
  <c r="AC72" i="9"/>
  <c r="AC75" i="9"/>
  <c r="AC78" i="9"/>
  <c r="AC81" i="9"/>
  <c r="AC85" i="9"/>
  <c r="AC88" i="9"/>
  <c r="AC91" i="9"/>
  <c r="AC94" i="9"/>
  <c r="AC97" i="9"/>
  <c r="AC100" i="9"/>
  <c r="AC103" i="9"/>
  <c r="AC106" i="9"/>
  <c r="AC109" i="9"/>
  <c r="AC112" i="9"/>
  <c r="AC115" i="9"/>
  <c r="AC118" i="9"/>
  <c r="AC121" i="9"/>
  <c r="AC124" i="9"/>
  <c r="AC7" i="9"/>
  <c r="AC10" i="9"/>
  <c r="AC13" i="9"/>
  <c r="AC16" i="9"/>
  <c r="AC19" i="9"/>
  <c r="AC22" i="9"/>
  <c r="AC25" i="9"/>
  <c r="AC28" i="9"/>
  <c r="AC31" i="9"/>
  <c r="AC35" i="9"/>
  <c r="AC38" i="9"/>
  <c r="AC41" i="9"/>
  <c r="AC44" i="9"/>
  <c r="AC47" i="9"/>
  <c r="AC50" i="9"/>
  <c r="AC53" i="9"/>
  <c r="AC57" i="9"/>
  <c r="AC60" i="9"/>
  <c r="AC63" i="9"/>
  <c r="AC66" i="9"/>
  <c r="AC70" i="9"/>
  <c r="AC73" i="9"/>
  <c r="AC76" i="9"/>
  <c r="AC79" i="9"/>
  <c r="AC8" i="9"/>
  <c r="AC11" i="9"/>
  <c r="AC14" i="9"/>
  <c r="AC17" i="9"/>
  <c r="AC20" i="9"/>
  <c r="AC23" i="9"/>
  <c r="AC26" i="9"/>
  <c r="AC29" i="9"/>
  <c r="AC32" i="9"/>
  <c r="AC36" i="9"/>
  <c r="AC39" i="9"/>
  <c r="AC42" i="9"/>
  <c r="AC45" i="9"/>
  <c r="AC48" i="9"/>
  <c r="AC51" i="9"/>
  <c r="AC54" i="9"/>
  <c r="AC58" i="9"/>
  <c r="AC61" i="9"/>
  <c r="AC64" i="9"/>
  <c r="AC68" i="9"/>
  <c r="AC71" i="9"/>
  <c r="AC74" i="9"/>
  <c r="AC77" i="9"/>
  <c r="AC80" i="9"/>
  <c r="AC83" i="9"/>
  <c r="AC87" i="9"/>
  <c r="AC90" i="9"/>
  <c r="AC93" i="9"/>
  <c r="AC96" i="9"/>
  <c r="AC99" i="9"/>
  <c r="AC102" i="9"/>
  <c r="AC105" i="9"/>
  <c r="AC108" i="9"/>
  <c r="AC111" i="9"/>
  <c r="AC114" i="9"/>
  <c r="AC117" i="9"/>
  <c r="AC120" i="9"/>
  <c r="AC123" i="9"/>
  <c r="AC82" i="9"/>
  <c r="AC92" i="9"/>
  <c r="AC101" i="9"/>
  <c r="AC110" i="9"/>
  <c r="AC119" i="9"/>
  <c r="AC104" i="9"/>
  <c r="AC95" i="9"/>
  <c r="AC89" i="9"/>
  <c r="AC98" i="9"/>
  <c r="AC107" i="9"/>
  <c r="AC116" i="9"/>
  <c r="AC125" i="9"/>
  <c r="AC86" i="9"/>
  <c r="AC113" i="9"/>
  <c r="AC122" i="9"/>
  <c r="AX9" i="9"/>
  <c r="AX12" i="9"/>
  <c r="AX15" i="9"/>
  <c r="AX18" i="9"/>
  <c r="AX21" i="9"/>
  <c r="AX24" i="9"/>
  <c r="AX27" i="9"/>
  <c r="AX30" i="9"/>
  <c r="AX34" i="9"/>
  <c r="AX37" i="9"/>
  <c r="AX40" i="9"/>
  <c r="AX43" i="9"/>
  <c r="AX46" i="9"/>
  <c r="AX49" i="9"/>
  <c r="AX52" i="9"/>
  <c r="AX106" i="9"/>
  <c r="AX109" i="9"/>
  <c r="AX112" i="9"/>
  <c r="AX115" i="9"/>
  <c r="AX118" i="9"/>
  <c r="AX121" i="9"/>
  <c r="AX124" i="9"/>
  <c r="AX8" i="9"/>
  <c r="AX11" i="9"/>
  <c r="AX14" i="9"/>
  <c r="AX17" i="9"/>
  <c r="AX20" i="9"/>
  <c r="AX23" i="9"/>
  <c r="AX26" i="9"/>
  <c r="AX29" i="9"/>
  <c r="AX32" i="9"/>
  <c r="AX36" i="9"/>
  <c r="AX39" i="9"/>
  <c r="AX42" i="9"/>
  <c r="AX45" i="9"/>
  <c r="AX48" i="9"/>
  <c r="AX51" i="9"/>
  <c r="AX54" i="9"/>
  <c r="AX108" i="9"/>
  <c r="AX111" i="9"/>
  <c r="AX114" i="9"/>
  <c r="AX117" i="9"/>
  <c r="AX120" i="9"/>
  <c r="AX123" i="9"/>
  <c r="AX6" i="9"/>
  <c r="AX7" i="9"/>
  <c r="AX16" i="9"/>
  <c r="AX25" i="9"/>
  <c r="AX35" i="9"/>
  <c r="AX44" i="9"/>
  <c r="AX53" i="9"/>
  <c r="AX110" i="9"/>
  <c r="AX119" i="9"/>
  <c r="AX10" i="9"/>
  <c r="AX19" i="9"/>
  <c r="AX28" i="9"/>
  <c r="AX38" i="9"/>
  <c r="AX47" i="9"/>
  <c r="AX113" i="9"/>
  <c r="AX122" i="9"/>
  <c r="AX13" i="9"/>
  <c r="AX22" i="9"/>
  <c r="AX31" i="9"/>
  <c r="AX41" i="9"/>
  <c r="AX50" i="9"/>
  <c r="AX107" i="9"/>
  <c r="AX116" i="9"/>
  <c r="AX125" i="9"/>
  <c r="BJ8" i="9"/>
  <c r="BJ11" i="9"/>
  <c r="BJ14" i="9"/>
  <c r="BJ17" i="9"/>
  <c r="BJ20" i="9"/>
  <c r="BJ23" i="9"/>
  <c r="BJ26" i="9"/>
  <c r="BJ29" i="9"/>
  <c r="BJ32" i="9"/>
  <c r="BJ36" i="9"/>
  <c r="BJ39" i="9"/>
  <c r="BJ42" i="9"/>
  <c r="BJ45" i="9"/>
  <c r="BJ48" i="9"/>
  <c r="BJ51" i="9"/>
  <c r="BJ54" i="9"/>
  <c r="BJ58" i="9"/>
  <c r="BJ61" i="9"/>
  <c r="BJ64" i="9"/>
  <c r="BJ68" i="9"/>
  <c r="BJ71" i="9"/>
  <c r="BJ74" i="9"/>
  <c r="BJ77" i="9"/>
  <c r="BJ80" i="9"/>
  <c r="BJ83" i="9"/>
  <c r="BJ87" i="9"/>
  <c r="BJ90" i="9"/>
  <c r="BJ93" i="9"/>
  <c r="BJ96" i="9"/>
  <c r="BJ99" i="9"/>
  <c r="BJ102" i="9"/>
  <c r="BJ105" i="9"/>
  <c r="BJ108" i="9"/>
  <c r="BJ111" i="9"/>
  <c r="BJ114" i="9"/>
  <c r="BJ117" i="9"/>
  <c r="BJ120" i="9"/>
  <c r="BJ123" i="9"/>
  <c r="BJ7" i="9"/>
  <c r="BJ10" i="9"/>
  <c r="BJ13" i="9"/>
  <c r="BJ16" i="9"/>
  <c r="BJ19" i="9"/>
  <c r="BJ22" i="9"/>
  <c r="BJ25" i="9"/>
  <c r="BJ28" i="9"/>
  <c r="BJ31" i="9"/>
  <c r="BJ35" i="9"/>
  <c r="BJ38" i="9"/>
  <c r="BJ41" i="9"/>
  <c r="BJ44" i="9"/>
  <c r="BJ47" i="9"/>
  <c r="BJ50" i="9"/>
  <c r="BJ53" i="9"/>
  <c r="BJ57" i="9"/>
  <c r="BJ60" i="9"/>
  <c r="BJ63" i="9"/>
  <c r="BJ66" i="9"/>
  <c r="BJ70" i="9"/>
  <c r="BJ73" i="9"/>
  <c r="BJ76" i="9"/>
  <c r="BJ79" i="9"/>
  <c r="BJ82" i="9"/>
  <c r="BJ86" i="9"/>
  <c r="BJ89" i="9"/>
  <c r="BJ92" i="9"/>
  <c r="BJ95" i="9"/>
  <c r="BJ98" i="9"/>
  <c r="BJ101" i="9"/>
  <c r="BJ104" i="9"/>
  <c r="BJ107" i="9"/>
  <c r="BJ110" i="9"/>
  <c r="BJ113" i="9"/>
  <c r="BJ116" i="9"/>
  <c r="BJ119" i="9"/>
  <c r="BJ122" i="9"/>
  <c r="BJ125" i="9"/>
  <c r="BJ12" i="9"/>
  <c r="BJ21" i="9"/>
  <c r="BJ30" i="9"/>
  <c r="BJ40" i="9"/>
  <c r="BJ49" i="9"/>
  <c r="BJ59" i="9"/>
  <c r="BJ69" i="9"/>
  <c r="BJ78" i="9"/>
  <c r="BJ88" i="9"/>
  <c r="BJ97" i="9"/>
  <c r="BJ106" i="9"/>
  <c r="BJ115" i="9"/>
  <c r="BJ124" i="9"/>
  <c r="BJ9" i="9"/>
  <c r="BJ18" i="9"/>
  <c r="BJ27" i="9"/>
  <c r="BJ37" i="9"/>
  <c r="BJ46" i="9"/>
  <c r="BJ56" i="9"/>
  <c r="BJ65" i="9"/>
  <c r="BJ75" i="9"/>
  <c r="BJ85" i="9"/>
  <c r="BJ94" i="9"/>
  <c r="BJ103" i="9"/>
  <c r="BJ112" i="9"/>
  <c r="BJ121" i="9"/>
  <c r="BJ34" i="9"/>
  <c r="BJ62" i="9"/>
  <c r="BJ91" i="9"/>
  <c r="BJ118" i="9"/>
  <c r="BJ15" i="9"/>
  <c r="BJ43" i="9"/>
  <c r="BJ72" i="9"/>
  <c r="BJ100" i="9"/>
  <c r="BJ24" i="9"/>
  <c r="BJ52" i="9"/>
  <c r="BJ81" i="9"/>
  <c r="BJ109" i="9"/>
  <c r="M6" i="9"/>
  <c r="U5" i="9"/>
  <c r="AI5" i="9"/>
  <c r="AC6" i="9"/>
  <c r="AO6" i="9"/>
  <c r="AE31" i="9" l="1"/>
  <c r="AE22" i="9"/>
  <c r="AE25" i="9"/>
  <c r="AE16" i="9"/>
  <c r="AE13" i="9"/>
  <c r="AV8" i="7"/>
  <c r="AV11" i="7"/>
  <c r="AV5" i="7"/>
  <c r="BM5" i="7" s="1"/>
  <c r="BN5" i="7" s="1"/>
  <c r="AV6" i="7"/>
  <c r="BM6" i="7" s="1"/>
  <c r="BN6" i="7" s="1"/>
  <c r="U140" i="9"/>
  <c r="U139" i="9"/>
  <c r="U138" i="9"/>
  <c r="U145" i="9"/>
  <c r="U144" i="9"/>
  <c r="U141" i="9"/>
  <c r="U143" i="9"/>
  <c r="U135" i="9"/>
  <c r="U142" i="9"/>
  <c r="U137" i="9"/>
  <c r="U134" i="9"/>
  <c r="U133" i="9"/>
  <c r="U132" i="9"/>
  <c r="U131" i="9"/>
  <c r="U130" i="9"/>
  <c r="U129" i="9"/>
  <c r="U136" i="9"/>
  <c r="AI145" i="9"/>
  <c r="AI144" i="9"/>
  <c r="AI143" i="9"/>
  <c r="AI142" i="9"/>
  <c r="AI141" i="9"/>
  <c r="AI139" i="9"/>
  <c r="AI137" i="9"/>
  <c r="AI136" i="9"/>
  <c r="AI135" i="9"/>
  <c r="AI134" i="9"/>
  <c r="AI140" i="9"/>
  <c r="AI138" i="9"/>
  <c r="AI133" i="9"/>
  <c r="AI130" i="9"/>
  <c r="AI131" i="9"/>
  <c r="AI132" i="9"/>
  <c r="AI129" i="9"/>
  <c r="S145" i="9"/>
  <c r="S144" i="9"/>
  <c r="S142" i="9"/>
  <c r="S140" i="9"/>
  <c r="S132" i="9"/>
  <c r="S131" i="9"/>
  <c r="S129" i="9"/>
  <c r="S138" i="9"/>
  <c r="S136" i="9"/>
  <c r="S143" i="9"/>
  <c r="S141" i="9"/>
  <c r="S139" i="9"/>
  <c r="S135" i="9"/>
  <c r="S137" i="9"/>
  <c r="S134" i="9"/>
  <c r="S133" i="9"/>
  <c r="S130" i="9"/>
  <c r="AE47" i="9"/>
  <c r="AE38" i="9"/>
  <c r="AE28" i="9"/>
  <c r="AE19" i="9"/>
  <c r="AE10" i="9"/>
  <c r="AO16" i="9"/>
  <c r="AO145" i="9"/>
  <c r="AO144" i="9"/>
  <c r="AO143" i="9"/>
  <c r="AO142" i="9"/>
  <c r="AO141" i="9"/>
  <c r="AO138" i="9"/>
  <c r="AO137" i="9"/>
  <c r="AO136" i="9"/>
  <c r="AO135" i="9"/>
  <c r="AO134" i="9"/>
  <c r="AO140" i="9"/>
  <c r="AO139" i="9"/>
  <c r="AO133" i="9"/>
  <c r="AO131" i="9"/>
  <c r="AO130" i="9"/>
  <c r="AO132" i="9"/>
  <c r="AO129" i="9"/>
  <c r="AM140" i="9"/>
  <c r="AM139" i="9"/>
  <c r="AM138" i="9"/>
  <c r="AM145" i="9"/>
  <c r="AM144" i="9"/>
  <c r="AM141" i="9"/>
  <c r="AM136" i="9"/>
  <c r="AM135" i="9"/>
  <c r="AM137" i="9"/>
  <c r="AM134" i="9"/>
  <c r="AM133" i="9"/>
  <c r="AM132" i="9"/>
  <c r="AM131" i="9"/>
  <c r="AM130" i="9"/>
  <c r="AM129" i="9"/>
  <c r="AM143" i="9"/>
  <c r="AM142" i="9"/>
  <c r="W145" i="9"/>
  <c r="W144" i="9"/>
  <c r="W143" i="9"/>
  <c r="W142" i="9"/>
  <c r="W141" i="9"/>
  <c r="W138" i="9"/>
  <c r="W137" i="9"/>
  <c r="W136" i="9"/>
  <c r="W135" i="9"/>
  <c r="W134" i="9"/>
  <c r="W140" i="9"/>
  <c r="W139" i="9"/>
  <c r="W133" i="9"/>
  <c r="W132" i="9"/>
  <c r="W129" i="9"/>
  <c r="W130" i="9"/>
  <c r="W131" i="9"/>
  <c r="AG140" i="9"/>
  <c r="AG139" i="9"/>
  <c r="AG138" i="9"/>
  <c r="AG145" i="9"/>
  <c r="AG144" i="9"/>
  <c r="AG143" i="9"/>
  <c r="AG135" i="9"/>
  <c r="AG137" i="9"/>
  <c r="AG134" i="9"/>
  <c r="AG142" i="9"/>
  <c r="AG141" i="9"/>
  <c r="AG136" i="9"/>
  <c r="AG133" i="9"/>
  <c r="AG132" i="9"/>
  <c r="AG131" i="9"/>
  <c r="AG130" i="9"/>
  <c r="AG129" i="9"/>
  <c r="BB145" i="9"/>
  <c r="BB144" i="9"/>
  <c r="BO144" i="9" s="1"/>
  <c r="BB143" i="9"/>
  <c r="BO143" i="9" s="1"/>
  <c r="BB142" i="9"/>
  <c r="BB140" i="9"/>
  <c r="BB137" i="9"/>
  <c r="BB134" i="9"/>
  <c r="BO134" i="9" s="1"/>
  <c r="BB133" i="9"/>
  <c r="BO133" i="9" s="1"/>
  <c r="BB132" i="9"/>
  <c r="BB129" i="9"/>
  <c r="BO129" i="9" s="1"/>
  <c r="BB141" i="9"/>
  <c r="BO141" i="9" s="1"/>
  <c r="BB139" i="9"/>
  <c r="BB136" i="9"/>
  <c r="BO136" i="9" s="1"/>
  <c r="BB138" i="9"/>
  <c r="BO138" i="9" s="1"/>
  <c r="BB135" i="9"/>
  <c r="BO135" i="9" s="1"/>
  <c r="BB131" i="9"/>
  <c r="BO131" i="9" s="1"/>
  <c r="BB130" i="9"/>
  <c r="BO130" i="9" s="1"/>
  <c r="AE145" i="9"/>
  <c r="AE141" i="9"/>
  <c r="AE138" i="9"/>
  <c r="AE136" i="9"/>
  <c r="AE132" i="9"/>
  <c r="AE131" i="9"/>
  <c r="AE129" i="9"/>
  <c r="AE135" i="9"/>
  <c r="AE144" i="9"/>
  <c r="AE143" i="9"/>
  <c r="AE140" i="9"/>
  <c r="AE139" i="9"/>
  <c r="AE137" i="9"/>
  <c r="AE134" i="9"/>
  <c r="AE142" i="9"/>
  <c r="AE133" i="9"/>
  <c r="AE130" i="9"/>
  <c r="BO140" i="9"/>
  <c r="BO137" i="9"/>
  <c r="BO142" i="9"/>
  <c r="BO132" i="9"/>
  <c r="BO139" i="9"/>
  <c r="BO145" i="9"/>
  <c r="U84" i="9"/>
  <c r="AI84" i="9"/>
  <c r="W84" i="9"/>
  <c r="AM84" i="9"/>
  <c r="AO96" i="9"/>
  <c r="AO29" i="9"/>
  <c r="AO93" i="9"/>
  <c r="AO17" i="9"/>
  <c r="AO80" i="9"/>
  <c r="AO14" i="9"/>
  <c r="AO109" i="9"/>
  <c r="AO85" i="9"/>
  <c r="AO65" i="9"/>
  <c r="AO43" i="9"/>
  <c r="AO24" i="9"/>
  <c r="AO119" i="9"/>
  <c r="AO101" i="9"/>
  <c r="AO79" i="9"/>
  <c r="AO60" i="9"/>
  <c r="AO35" i="9"/>
  <c r="AE84" i="9"/>
  <c r="AG84" i="9"/>
  <c r="BB84" i="9"/>
  <c r="BO84" i="9" s="1"/>
  <c r="AO84" i="9"/>
  <c r="S84" i="9"/>
  <c r="AO123" i="9"/>
  <c r="AO87" i="9"/>
  <c r="AO39" i="9"/>
  <c r="AO120" i="9"/>
  <c r="AO74" i="9"/>
  <c r="AO36" i="9"/>
  <c r="AO108" i="9"/>
  <c r="AO71" i="9"/>
  <c r="AO23" i="9"/>
  <c r="AO118" i="9"/>
  <c r="AO103" i="9"/>
  <c r="AO91" i="9"/>
  <c r="AO75" i="9"/>
  <c r="AO62" i="9"/>
  <c r="AO46" i="9"/>
  <c r="AO34" i="9"/>
  <c r="AO18" i="9"/>
  <c r="AO125" i="9"/>
  <c r="AO110" i="9"/>
  <c r="AO98" i="9"/>
  <c r="AO82" i="9"/>
  <c r="AO70" i="9"/>
  <c r="AO53" i="9"/>
  <c r="AO41" i="9"/>
  <c r="AO25" i="9"/>
  <c r="AO13" i="9"/>
  <c r="W33" i="9"/>
  <c r="W67" i="9"/>
  <c r="AM33" i="9"/>
  <c r="AM67" i="9"/>
  <c r="AO33" i="9"/>
  <c r="AO67" i="9"/>
  <c r="AG33" i="9"/>
  <c r="AG67" i="9"/>
  <c r="BB33" i="9"/>
  <c r="BO33" i="9" s="1"/>
  <c r="BB67" i="9"/>
  <c r="BO67" i="9" s="1"/>
  <c r="U33" i="9"/>
  <c r="U67" i="9"/>
  <c r="AI33" i="9"/>
  <c r="AI67" i="9"/>
  <c r="S33" i="9"/>
  <c r="S67" i="9"/>
  <c r="AE33" i="9"/>
  <c r="AE67" i="9"/>
  <c r="AO105" i="9"/>
  <c r="AO77" i="9"/>
  <c r="AO48" i="9"/>
  <c r="AO20" i="9"/>
  <c r="AO111" i="9"/>
  <c r="AO83" i="9"/>
  <c r="AO54" i="9"/>
  <c r="AO26" i="9"/>
  <c r="AO117" i="9"/>
  <c r="AO90" i="9"/>
  <c r="AO61" i="9"/>
  <c r="AO32" i="9"/>
  <c r="AO124" i="9"/>
  <c r="AO115" i="9"/>
  <c r="AO106" i="9"/>
  <c r="AO97" i="9"/>
  <c r="AO88" i="9"/>
  <c r="AO78" i="9"/>
  <c r="AO69" i="9"/>
  <c r="AO59" i="9"/>
  <c r="AO49" i="9"/>
  <c r="AO40" i="9"/>
  <c r="AO30" i="9"/>
  <c r="AO21" i="9"/>
  <c r="AO12" i="9"/>
  <c r="AO122" i="9"/>
  <c r="AO113" i="9"/>
  <c r="AO104" i="9"/>
  <c r="AO95" i="9"/>
  <c r="AO86" i="9"/>
  <c r="AO76" i="9"/>
  <c r="AO66" i="9"/>
  <c r="AO57" i="9"/>
  <c r="AO47" i="9"/>
  <c r="AO38" i="9"/>
  <c r="AO28" i="9"/>
  <c r="AO19" i="9"/>
  <c r="AO10" i="9"/>
  <c r="U8" i="9"/>
  <c r="U11" i="9"/>
  <c r="U14" i="9"/>
  <c r="U17" i="9"/>
  <c r="U20" i="9"/>
  <c r="U23" i="9"/>
  <c r="U26" i="9"/>
  <c r="U29" i="9"/>
  <c r="U32" i="9"/>
  <c r="U36" i="9"/>
  <c r="U39" i="9"/>
  <c r="U42" i="9"/>
  <c r="U45" i="9"/>
  <c r="U48" i="9"/>
  <c r="U51" i="9"/>
  <c r="U54" i="9"/>
  <c r="U58" i="9"/>
  <c r="U61" i="9"/>
  <c r="U64" i="9"/>
  <c r="U68" i="9"/>
  <c r="U71" i="9"/>
  <c r="U74" i="9"/>
  <c r="U77" i="9"/>
  <c r="U80" i="9"/>
  <c r="U83" i="9"/>
  <c r="U87" i="9"/>
  <c r="U90" i="9"/>
  <c r="U93" i="9"/>
  <c r="U96" i="9"/>
  <c r="U99" i="9"/>
  <c r="U102" i="9"/>
  <c r="U105" i="9"/>
  <c r="U108" i="9"/>
  <c r="U111" i="9"/>
  <c r="U114" i="9"/>
  <c r="U117" i="9"/>
  <c r="U120" i="9"/>
  <c r="U123" i="9"/>
  <c r="U7" i="9"/>
  <c r="U10" i="9"/>
  <c r="U13" i="9"/>
  <c r="U16" i="9"/>
  <c r="U19" i="9"/>
  <c r="U22" i="9"/>
  <c r="U25" i="9"/>
  <c r="U28" i="9"/>
  <c r="U31" i="9"/>
  <c r="U35" i="9"/>
  <c r="U38" i="9"/>
  <c r="U41" i="9"/>
  <c r="U44" i="9"/>
  <c r="U47" i="9"/>
  <c r="U50" i="9"/>
  <c r="U53" i="9"/>
  <c r="U57" i="9"/>
  <c r="U60" i="9"/>
  <c r="U63" i="9"/>
  <c r="U66" i="9"/>
  <c r="U70" i="9"/>
  <c r="U73" i="9"/>
  <c r="U76" i="9"/>
  <c r="U79" i="9"/>
  <c r="U82" i="9"/>
  <c r="U86" i="9"/>
  <c r="U89" i="9"/>
  <c r="U92" i="9"/>
  <c r="U95" i="9"/>
  <c r="U98" i="9"/>
  <c r="U101" i="9"/>
  <c r="U104" i="9"/>
  <c r="U107" i="9"/>
  <c r="U110" i="9"/>
  <c r="U113" i="9"/>
  <c r="U116" i="9"/>
  <c r="U119" i="9"/>
  <c r="U122" i="9"/>
  <c r="U125" i="9"/>
  <c r="U15" i="9"/>
  <c r="U24" i="9"/>
  <c r="U34" i="9"/>
  <c r="U43" i="9"/>
  <c r="U52" i="9"/>
  <c r="U62" i="9"/>
  <c r="U72" i="9"/>
  <c r="U81" i="9"/>
  <c r="U91" i="9"/>
  <c r="U100" i="9"/>
  <c r="U109" i="9"/>
  <c r="U118" i="9"/>
  <c r="U18" i="9"/>
  <c r="U37" i="9"/>
  <c r="U56" i="9"/>
  <c r="U85" i="9"/>
  <c r="U103" i="9"/>
  <c r="U112" i="9"/>
  <c r="U65" i="9"/>
  <c r="U12" i="9"/>
  <c r="U21" i="9"/>
  <c r="U30" i="9"/>
  <c r="U40" i="9"/>
  <c r="U49" i="9"/>
  <c r="U59" i="9"/>
  <c r="U69" i="9"/>
  <c r="U78" i="9"/>
  <c r="U88" i="9"/>
  <c r="U97" i="9"/>
  <c r="U106" i="9"/>
  <c r="U115" i="9"/>
  <c r="U124" i="9"/>
  <c r="U9" i="9"/>
  <c r="U27" i="9"/>
  <c r="U46" i="9"/>
  <c r="U75" i="9"/>
  <c r="U94" i="9"/>
  <c r="U121" i="9"/>
  <c r="AG9" i="9"/>
  <c r="AG12" i="9"/>
  <c r="AG15" i="9"/>
  <c r="AG18" i="9"/>
  <c r="AG21" i="9"/>
  <c r="AG8" i="9"/>
  <c r="AG11" i="9"/>
  <c r="AG14" i="9"/>
  <c r="AG17" i="9"/>
  <c r="AG20" i="9"/>
  <c r="AG7" i="9"/>
  <c r="AG16" i="9"/>
  <c r="AG23" i="9"/>
  <c r="AG26" i="9"/>
  <c r="AG29" i="9"/>
  <c r="AG32" i="9"/>
  <c r="AG36" i="9"/>
  <c r="AG39" i="9"/>
  <c r="AG42" i="9"/>
  <c r="AG45" i="9"/>
  <c r="AG48" i="9"/>
  <c r="AG51" i="9"/>
  <c r="AG54" i="9"/>
  <c r="AG58" i="9"/>
  <c r="AG61" i="9"/>
  <c r="AG64" i="9"/>
  <c r="AG68" i="9"/>
  <c r="AG71" i="9"/>
  <c r="AG74" i="9"/>
  <c r="AG77" i="9"/>
  <c r="AG80" i="9"/>
  <c r="AG83" i="9"/>
  <c r="AG87" i="9"/>
  <c r="AG90" i="9"/>
  <c r="AG93" i="9"/>
  <c r="AG96" i="9"/>
  <c r="AG99" i="9"/>
  <c r="AG102" i="9"/>
  <c r="AG105" i="9"/>
  <c r="AG108" i="9"/>
  <c r="AG111" i="9"/>
  <c r="AG114" i="9"/>
  <c r="AG117" i="9"/>
  <c r="AG120" i="9"/>
  <c r="AG123" i="9"/>
  <c r="AG10" i="9"/>
  <c r="AG19" i="9"/>
  <c r="AG24" i="9"/>
  <c r="AG27" i="9"/>
  <c r="AG30" i="9"/>
  <c r="AG34" i="9"/>
  <c r="AG37" i="9"/>
  <c r="AG40" i="9"/>
  <c r="AG43" i="9"/>
  <c r="AG46" i="9"/>
  <c r="AG49" i="9"/>
  <c r="AG52" i="9"/>
  <c r="AG56" i="9"/>
  <c r="AG59" i="9"/>
  <c r="AG62" i="9"/>
  <c r="AG65" i="9"/>
  <c r="AG69" i="9"/>
  <c r="AG72" i="9"/>
  <c r="AG75" i="9"/>
  <c r="AG78" i="9"/>
  <c r="AG81" i="9"/>
  <c r="AG85" i="9"/>
  <c r="AG88" i="9"/>
  <c r="AG91" i="9"/>
  <c r="AG94" i="9"/>
  <c r="AG97" i="9"/>
  <c r="AG100" i="9"/>
  <c r="AG103" i="9"/>
  <c r="AG106" i="9"/>
  <c r="AG109" i="9"/>
  <c r="AG112" i="9"/>
  <c r="AG115" i="9"/>
  <c r="AG118" i="9"/>
  <c r="AG121" i="9"/>
  <c r="AG124" i="9"/>
  <c r="AG13" i="9"/>
  <c r="AG22" i="9"/>
  <c r="AG25" i="9"/>
  <c r="AG28" i="9"/>
  <c r="AG31" i="9"/>
  <c r="AG35" i="9"/>
  <c r="AG38" i="9"/>
  <c r="AG41" i="9"/>
  <c r="AG44" i="9"/>
  <c r="AG47" i="9"/>
  <c r="AG50" i="9"/>
  <c r="AG53" i="9"/>
  <c r="AG57" i="9"/>
  <c r="AG60" i="9"/>
  <c r="AG63" i="9"/>
  <c r="AG66" i="9"/>
  <c r="AG70" i="9"/>
  <c r="AG73" i="9"/>
  <c r="AG76" i="9"/>
  <c r="AG79" i="9"/>
  <c r="AG82" i="9"/>
  <c r="AG86" i="9"/>
  <c r="AG89" i="9"/>
  <c r="AG92" i="9"/>
  <c r="AG95" i="9"/>
  <c r="AG98" i="9"/>
  <c r="AG101" i="9"/>
  <c r="AG104" i="9"/>
  <c r="AG107" i="9"/>
  <c r="AG110" i="9"/>
  <c r="AG113" i="9"/>
  <c r="AG116" i="9"/>
  <c r="AG119" i="9"/>
  <c r="AG122" i="9"/>
  <c r="AG125" i="9"/>
  <c r="BB7" i="9"/>
  <c r="BB10" i="9"/>
  <c r="BO10" i="9" s="1"/>
  <c r="BB13" i="9"/>
  <c r="BO13" i="9" s="1"/>
  <c r="BB16" i="9"/>
  <c r="BO16" i="9" s="1"/>
  <c r="BB19" i="9"/>
  <c r="BO19" i="9" s="1"/>
  <c r="BB22" i="9"/>
  <c r="BO22" i="9" s="1"/>
  <c r="BB25" i="9"/>
  <c r="BB28" i="9"/>
  <c r="BO28" i="9" s="1"/>
  <c r="BB31" i="9"/>
  <c r="BO31" i="9" s="1"/>
  <c r="BB35" i="9"/>
  <c r="BB38" i="9"/>
  <c r="BO38" i="9" s="1"/>
  <c r="BB41" i="9"/>
  <c r="BO41" i="9" s="1"/>
  <c r="BB44" i="9"/>
  <c r="BO44" i="9" s="1"/>
  <c r="BB9" i="9"/>
  <c r="BO9" i="9" s="1"/>
  <c r="BB12" i="9"/>
  <c r="BO12" i="9" s="1"/>
  <c r="BB15" i="9"/>
  <c r="BO15" i="9" s="1"/>
  <c r="BB18" i="9"/>
  <c r="BO18" i="9" s="1"/>
  <c r="BB21" i="9"/>
  <c r="BO21" i="9" s="1"/>
  <c r="BB24" i="9"/>
  <c r="BO24" i="9" s="1"/>
  <c r="BB27" i="9"/>
  <c r="BO27" i="9" s="1"/>
  <c r="BB30" i="9"/>
  <c r="BO30" i="9" s="1"/>
  <c r="BB34" i="9"/>
  <c r="BO34" i="9" s="1"/>
  <c r="BB37" i="9"/>
  <c r="BO37" i="9" s="1"/>
  <c r="BB40" i="9"/>
  <c r="BO40" i="9" s="1"/>
  <c r="BB43" i="9"/>
  <c r="BO43" i="9" s="1"/>
  <c r="BB46" i="9"/>
  <c r="BO46" i="9" s="1"/>
  <c r="BB8" i="9"/>
  <c r="BO8" i="9" s="1"/>
  <c r="BB17" i="9"/>
  <c r="BO17" i="9" s="1"/>
  <c r="BB26" i="9"/>
  <c r="BB36" i="9"/>
  <c r="BO36" i="9" s="1"/>
  <c r="BB45" i="9"/>
  <c r="BO45" i="9" s="1"/>
  <c r="BB49" i="9"/>
  <c r="BO49" i="9" s="1"/>
  <c r="BB52" i="9"/>
  <c r="BO52" i="9" s="1"/>
  <c r="BB106" i="9"/>
  <c r="BO106" i="9" s="1"/>
  <c r="BB109" i="9"/>
  <c r="BO109" i="9" s="1"/>
  <c r="BB112" i="9"/>
  <c r="BO112" i="9" s="1"/>
  <c r="BB115" i="9"/>
  <c r="BB118" i="9"/>
  <c r="BO118" i="9" s="1"/>
  <c r="BB121" i="9"/>
  <c r="BO121" i="9" s="1"/>
  <c r="BB124" i="9"/>
  <c r="BO124" i="9" s="1"/>
  <c r="BB14" i="9"/>
  <c r="BO14" i="9" s="1"/>
  <c r="BB23" i="9"/>
  <c r="BO23" i="9" s="1"/>
  <c r="BB32" i="9"/>
  <c r="BO32" i="9" s="1"/>
  <c r="BB42" i="9"/>
  <c r="BO42" i="9" s="1"/>
  <c r="BB48" i="9"/>
  <c r="BO48" i="9" s="1"/>
  <c r="BB51" i="9"/>
  <c r="BO51" i="9" s="1"/>
  <c r="BB54" i="9"/>
  <c r="BO54" i="9" s="1"/>
  <c r="BB108" i="9"/>
  <c r="BO108" i="9" s="1"/>
  <c r="BB111" i="9"/>
  <c r="BB114" i="9"/>
  <c r="BO114" i="9" s="1"/>
  <c r="BB117" i="9"/>
  <c r="BO117" i="9" s="1"/>
  <c r="BB120" i="9"/>
  <c r="BO120" i="9" s="1"/>
  <c r="BB123" i="9"/>
  <c r="BO123" i="9" s="1"/>
  <c r="BB29" i="9"/>
  <c r="BO29" i="9" s="1"/>
  <c r="BB50" i="9"/>
  <c r="BO50" i="9" s="1"/>
  <c r="BB107" i="9"/>
  <c r="BO107" i="9" s="1"/>
  <c r="BB116" i="9"/>
  <c r="BO116" i="9" s="1"/>
  <c r="BB125" i="9"/>
  <c r="BB11" i="9"/>
  <c r="BO11" i="9" s="1"/>
  <c r="BB39" i="9"/>
  <c r="BO39" i="9" s="1"/>
  <c r="BB53" i="9"/>
  <c r="BB110" i="9"/>
  <c r="BO110" i="9" s="1"/>
  <c r="BB119" i="9"/>
  <c r="BO119" i="9" s="1"/>
  <c r="BB20" i="9"/>
  <c r="BO20" i="9" s="1"/>
  <c r="BB47" i="9"/>
  <c r="BO47" i="9" s="1"/>
  <c r="BB113" i="9"/>
  <c r="BO113" i="9" s="1"/>
  <c r="BB122" i="9"/>
  <c r="BO122" i="9" s="1"/>
  <c r="S7" i="9"/>
  <c r="S10" i="9"/>
  <c r="S13" i="9"/>
  <c r="S16" i="9"/>
  <c r="S19" i="9"/>
  <c r="S22" i="9"/>
  <c r="S25" i="9"/>
  <c r="S28" i="9"/>
  <c r="S31" i="9"/>
  <c r="S35" i="9"/>
  <c r="S38" i="9"/>
  <c r="S41" i="9"/>
  <c r="S44" i="9"/>
  <c r="S47" i="9"/>
  <c r="S50" i="9"/>
  <c r="S53" i="9"/>
  <c r="S57" i="9"/>
  <c r="S60" i="9"/>
  <c r="S63" i="9"/>
  <c r="S66" i="9"/>
  <c r="S70" i="9"/>
  <c r="S73" i="9"/>
  <c r="S76" i="9"/>
  <c r="S79" i="9"/>
  <c r="S82" i="9"/>
  <c r="S86" i="9"/>
  <c r="S89" i="9"/>
  <c r="S92" i="9"/>
  <c r="S9" i="9"/>
  <c r="S12" i="9"/>
  <c r="S15" i="9"/>
  <c r="S18" i="9"/>
  <c r="S21" i="9"/>
  <c r="S24" i="9"/>
  <c r="S27" i="9"/>
  <c r="S30" i="9"/>
  <c r="S34" i="9"/>
  <c r="S37" i="9"/>
  <c r="S40" i="9"/>
  <c r="S43" i="9"/>
  <c r="S46" i="9"/>
  <c r="S49" i="9"/>
  <c r="S52" i="9"/>
  <c r="S56" i="9"/>
  <c r="S59" i="9"/>
  <c r="S62" i="9"/>
  <c r="S65" i="9"/>
  <c r="S69" i="9"/>
  <c r="S72" i="9"/>
  <c r="S75" i="9"/>
  <c r="S78" i="9"/>
  <c r="S81" i="9"/>
  <c r="S85" i="9"/>
  <c r="S88" i="9"/>
  <c r="S91" i="9"/>
  <c r="S8" i="9"/>
  <c r="S17" i="9"/>
  <c r="S26" i="9"/>
  <c r="S36" i="9"/>
  <c r="S45" i="9"/>
  <c r="S54" i="9"/>
  <c r="S64" i="9"/>
  <c r="S74" i="9"/>
  <c r="S83" i="9"/>
  <c r="S93" i="9"/>
  <c r="S96" i="9"/>
  <c r="S99" i="9"/>
  <c r="S102" i="9"/>
  <c r="S105" i="9"/>
  <c r="S108" i="9"/>
  <c r="S111" i="9"/>
  <c r="S114" i="9"/>
  <c r="S117" i="9"/>
  <c r="S120" i="9"/>
  <c r="S123" i="9"/>
  <c r="S20" i="9"/>
  <c r="S39" i="9"/>
  <c r="S58" i="9"/>
  <c r="S77" i="9"/>
  <c r="S97" i="9"/>
  <c r="S106" i="9"/>
  <c r="S109" i="9"/>
  <c r="S118" i="9"/>
  <c r="S124" i="9"/>
  <c r="S11" i="9"/>
  <c r="S94" i="9"/>
  <c r="S115" i="9"/>
  <c r="S14" i="9"/>
  <c r="S23" i="9"/>
  <c r="S32" i="9"/>
  <c r="S42" i="9"/>
  <c r="S51" i="9"/>
  <c r="S61" i="9"/>
  <c r="S71" i="9"/>
  <c r="S80" i="9"/>
  <c r="S90" i="9"/>
  <c r="S95" i="9"/>
  <c r="S98" i="9"/>
  <c r="S101" i="9"/>
  <c r="S104" i="9"/>
  <c r="S107" i="9"/>
  <c r="S110" i="9"/>
  <c r="S113" i="9"/>
  <c r="S116" i="9"/>
  <c r="S119" i="9"/>
  <c r="S122" i="9"/>
  <c r="S125" i="9"/>
  <c r="S29" i="9"/>
  <c r="S48" i="9"/>
  <c r="S68" i="9"/>
  <c r="S87" i="9"/>
  <c r="S100" i="9"/>
  <c r="S103" i="9"/>
  <c r="S112" i="9"/>
  <c r="S121" i="9"/>
  <c r="BO125" i="9"/>
  <c r="AI7" i="9"/>
  <c r="AI10" i="9"/>
  <c r="AI13" i="9"/>
  <c r="AI16" i="9"/>
  <c r="AI19" i="9"/>
  <c r="AI22" i="9"/>
  <c r="AI25" i="9"/>
  <c r="AI28" i="9"/>
  <c r="AI31" i="9"/>
  <c r="AI35" i="9"/>
  <c r="AI38" i="9"/>
  <c r="AI41" i="9"/>
  <c r="AI44" i="9"/>
  <c r="AI47" i="9"/>
  <c r="AI50" i="9"/>
  <c r="AI53" i="9"/>
  <c r="AI57" i="9"/>
  <c r="AI60" i="9"/>
  <c r="AI63" i="9"/>
  <c r="AI66" i="9"/>
  <c r="AI70" i="9"/>
  <c r="AI73" i="9"/>
  <c r="AI76" i="9"/>
  <c r="AI79" i="9"/>
  <c r="AI82" i="9"/>
  <c r="AI86" i="9"/>
  <c r="AI89" i="9"/>
  <c r="AI92" i="9"/>
  <c r="AI95" i="9"/>
  <c r="AI98" i="9"/>
  <c r="AI101" i="9"/>
  <c r="AI104" i="9"/>
  <c r="AI107" i="9"/>
  <c r="AI110" i="9"/>
  <c r="AI113" i="9"/>
  <c r="AI116" i="9"/>
  <c r="AI119" i="9"/>
  <c r="AI122" i="9"/>
  <c r="AI125" i="9"/>
  <c r="AI9" i="9"/>
  <c r="AI12" i="9"/>
  <c r="AI15" i="9"/>
  <c r="AI18" i="9"/>
  <c r="AI21" i="9"/>
  <c r="AI24" i="9"/>
  <c r="AI27" i="9"/>
  <c r="AI30" i="9"/>
  <c r="AI34" i="9"/>
  <c r="AI37" i="9"/>
  <c r="AI40" i="9"/>
  <c r="AI43" i="9"/>
  <c r="AI46" i="9"/>
  <c r="AI49" i="9"/>
  <c r="AI52" i="9"/>
  <c r="AI56" i="9"/>
  <c r="AI59" i="9"/>
  <c r="AI62" i="9"/>
  <c r="AI65" i="9"/>
  <c r="AI69" i="9"/>
  <c r="AI72" i="9"/>
  <c r="AI75" i="9"/>
  <c r="AI78" i="9"/>
  <c r="AI81" i="9"/>
  <c r="AI85" i="9"/>
  <c r="AI88" i="9"/>
  <c r="AI91" i="9"/>
  <c r="AI94" i="9"/>
  <c r="AI97" i="9"/>
  <c r="AI100" i="9"/>
  <c r="AI103" i="9"/>
  <c r="AI106" i="9"/>
  <c r="AI109" i="9"/>
  <c r="AI112" i="9"/>
  <c r="AI115" i="9"/>
  <c r="AI118" i="9"/>
  <c r="AI121" i="9"/>
  <c r="AI124" i="9"/>
  <c r="AI14" i="9"/>
  <c r="AI23" i="9"/>
  <c r="AI32" i="9"/>
  <c r="AI42" i="9"/>
  <c r="AI51" i="9"/>
  <c r="AI61" i="9"/>
  <c r="AI71" i="9"/>
  <c r="AI80" i="9"/>
  <c r="AI90" i="9"/>
  <c r="AI99" i="9"/>
  <c r="AI108" i="9"/>
  <c r="AI117" i="9"/>
  <c r="AI8" i="9"/>
  <c r="AI17" i="9"/>
  <c r="AI26" i="9"/>
  <c r="AI36" i="9"/>
  <c r="AI45" i="9"/>
  <c r="AI54" i="9"/>
  <c r="AI64" i="9"/>
  <c r="AI74" i="9"/>
  <c r="AI83" i="9"/>
  <c r="AI93" i="9"/>
  <c r="AI102" i="9"/>
  <c r="AI111" i="9"/>
  <c r="AI120" i="9"/>
  <c r="AI11" i="9"/>
  <c r="AI20" i="9"/>
  <c r="AI29" i="9"/>
  <c r="AI39" i="9"/>
  <c r="AI48" i="9"/>
  <c r="AI58" i="9"/>
  <c r="AI68" i="9"/>
  <c r="AI77" i="9"/>
  <c r="AI87" i="9"/>
  <c r="AI96" i="9"/>
  <c r="AI105" i="9"/>
  <c r="AI114" i="9"/>
  <c r="AI123" i="9"/>
  <c r="W9" i="9"/>
  <c r="W12" i="9"/>
  <c r="W15" i="9"/>
  <c r="W18" i="9"/>
  <c r="W21" i="9"/>
  <c r="W24" i="9"/>
  <c r="W27" i="9"/>
  <c r="W30" i="9"/>
  <c r="W34" i="9"/>
  <c r="W37" i="9"/>
  <c r="W40" i="9"/>
  <c r="W43" i="9"/>
  <c r="W46" i="9"/>
  <c r="W49" i="9"/>
  <c r="W52" i="9"/>
  <c r="W56" i="9"/>
  <c r="W59" i="9"/>
  <c r="W62" i="9"/>
  <c r="W65" i="9"/>
  <c r="W69" i="9"/>
  <c r="W72" i="9"/>
  <c r="W75" i="9"/>
  <c r="W78" i="9"/>
  <c r="W81" i="9"/>
  <c r="W85" i="9"/>
  <c r="W88" i="9"/>
  <c r="W91" i="9"/>
  <c r="W94" i="9"/>
  <c r="W97" i="9"/>
  <c r="W100" i="9"/>
  <c r="W103" i="9"/>
  <c r="W106" i="9"/>
  <c r="W109" i="9"/>
  <c r="W112" i="9"/>
  <c r="W115" i="9"/>
  <c r="W118" i="9"/>
  <c r="W121" i="9"/>
  <c r="W124" i="9"/>
  <c r="W8" i="9"/>
  <c r="W11" i="9"/>
  <c r="W14" i="9"/>
  <c r="W17" i="9"/>
  <c r="W20" i="9"/>
  <c r="W23" i="9"/>
  <c r="W26" i="9"/>
  <c r="W29" i="9"/>
  <c r="W32" i="9"/>
  <c r="W36" i="9"/>
  <c r="W39" i="9"/>
  <c r="W42" i="9"/>
  <c r="W45" i="9"/>
  <c r="W48" i="9"/>
  <c r="W51" i="9"/>
  <c r="W54" i="9"/>
  <c r="W58" i="9"/>
  <c r="W61" i="9"/>
  <c r="W64" i="9"/>
  <c r="W68" i="9"/>
  <c r="W71" i="9"/>
  <c r="W74" i="9"/>
  <c r="W77" i="9"/>
  <c r="W80" i="9"/>
  <c r="W83" i="9"/>
  <c r="W87" i="9"/>
  <c r="W90" i="9"/>
  <c r="W93" i="9"/>
  <c r="W96" i="9"/>
  <c r="W99" i="9"/>
  <c r="W102" i="9"/>
  <c r="W105" i="9"/>
  <c r="W108" i="9"/>
  <c r="W111" i="9"/>
  <c r="W114" i="9"/>
  <c r="W117" i="9"/>
  <c r="W120" i="9"/>
  <c r="W123" i="9"/>
  <c r="W13" i="9"/>
  <c r="W22" i="9"/>
  <c r="W31" i="9"/>
  <c r="W41" i="9"/>
  <c r="W50" i="9"/>
  <c r="W60" i="9"/>
  <c r="W70" i="9"/>
  <c r="W79" i="9"/>
  <c r="W89" i="9"/>
  <c r="W98" i="9"/>
  <c r="W107" i="9"/>
  <c r="W116" i="9"/>
  <c r="W125" i="9"/>
  <c r="W25" i="9"/>
  <c r="W44" i="9"/>
  <c r="W63" i="9"/>
  <c r="W82" i="9"/>
  <c r="W110" i="9"/>
  <c r="W7" i="9"/>
  <c r="W101" i="9"/>
  <c r="W10" i="9"/>
  <c r="W19" i="9"/>
  <c r="W28" i="9"/>
  <c r="W38" i="9"/>
  <c r="W47" i="9"/>
  <c r="W57" i="9"/>
  <c r="W66" i="9"/>
  <c r="W76" i="9"/>
  <c r="W86" i="9"/>
  <c r="W95" i="9"/>
  <c r="W104" i="9"/>
  <c r="W113" i="9"/>
  <c r="W122" i="9"/>
  <c r="W16" i="9"/>
  <c r="W35" i="9"/>
  <c r="W53" i="9"/>
  <c r="W73" i="9"/>
  <c r="W92" i="9"/>
  <c r="W119" i="9"/>
  <c r="AM9" i="9"/>
  <c r="AM12" i="9"/>
  <c r="AM15" i="9"/>
  <c r="AM18" i="9"/>
  <c r="AM21" i="9"/>
  <c r="AM24" i="9"/>
  <c r="AM27" i="9"/>
  <c r="AM30" i="9"/>
  <c r="AM34" i="9"/>
  <c r="AM37" i="9"/>
  <c r="AM40" i="9"/>
  <c r="AM43" i="9"/>
  <c r="AM46" i="9"/>
  <c r="AM49" i="9"/>
  <c r="AM52" i="9"/>
  <c r="AM56" i="9"/>
  <c r="AM59" i="9"/>
  <c r="AM62" i="9"/>
  <c r="AM65" i="9"/>
  <c r="AM69" i="9"/>
  <c r="AM72" i="9"/>
  <c r="AM75" i="9"/>
  <c r="AM78" i="9"/>
  <c r="AM81" i="9"/>
  <c r="AM85" i="9"/>
  <c r="AM88" i="9"/>
  <c r="AM91" i="9"/>
  <c r="AM94" i="9"/>
  <c r="AM97" i="9"/>
  <c r="AM100" i="9"/>
  <c r="AM103" i="9"/>
  <c r="AM106" i="9"/>
  <c r="AM109" i="9"/>
  <c r="AM112" i="9"/>
  <c r="AM115" i="9"/>
  <c r="AM118" i="9"/>
  <c r="AM121" i="9"/>
  <c r="AM124" i="9"/>
  <c r="AM8" i="9"/>
  <c r="AM11" i="9"/>
  <c r="AM14" i="9"/>
  <c r="AM17" i="9"/>
  <c r="AM20" i="9"/>
  <c r="AM23" i="9"/>
  <c r="AM26" i="9"/>
  <c r="AM29" i="9"/>
  <c r="AM32" i="9"/>
  <c r="AM36" i="9"/>
  <c r="AM39" i="9"/>
  <c r="AM42" i="9"/>
  <c r="AM45" i="9"/>
  <c r="AM48" i="9"/>
  <c r="AM51" i="9"/>
  <c r="AM54" i="9"/>
  <c r="AM58" i="9"/>
  <c r="AM61" i="9"/>
  <c r="AM64" i="9"/>
  <c r="AM68" i="9"/>
  <c r="AM71" i="9"/>
  <c r="AM74" i="9"/>
  <c r="AM77" i="9"/>
  <c r="AM80" i="9"/>
  <c r="AM83" i="9"/>
  <c r="AM87" i="9"/>
  <c r="AM90" i="9"/>
  <c r="AM93" i="9"/>
  <c r="AM96" i="9"/>
  <c r="AM99" i="9"/>
  <c r="AM102" i="9"/>
  <c r="AM105" i="9"/>
  <c r="AM108" i="9"/>
  <c r="AM111" i="9"/>
  <c r="AM114" i="9"/>
  <c r="AM117" i="9"/>
  <c r="AM120" i="9"/>
  <c r="AM123" i="9"/>
  <c r="AM7" i="9"/>
  <c r="AM16" i="9"/>
  <c r="AM25" i="9"/>
  <c r="AM35" i="9"/>
  <c r="AM44" i="9"/>
  <c r="AM53" i="9"/>
  <c r="AM63" i="9"/>
  <c r="AM73" i="9"/>
  <c r="AM82" i="9"/>
  <c r="AM92" i="9"/>
  <c r="AM101" i="9"/>
  <c r="AM110" i="9"/>
  <c r="AM119" i="9"/>
  <c r="AM10" i="9"/>
  <c r="AM19" i="9"/>
  <c r="AM28" i="9"/>
  <c r="AM38" i="9"/>
  <c r="AM47" i="9"/>
  <c r="AM57" i="9"/>
  <c r="AM66" i="9"/>
  <c r="AM76" i="9"/>
  <c r="AM86" i="9"/>
  <c r="AM95" i="9"/>
  <c r="AM104" i="9"/>
  <c r="AM113" i="9"/>
  <c r="AM122" i="9"/>
  <c r="AM13" i="9"/>
  <c r="AM22" i="9"/>
  <c r="AM31" i="9"/>
  <c r="AM41" i="9"/>
  <c r="AM50" i="9"/>
  <c r="AM60" i="9"/>
  <c r="AM70" i="9"/>
  <c r="AM79" i="9"/>
  <c r="AM89" i="9"/>
  <c r="AM98" i="9"/>
  <c r="AM107" i="9"/>
  <c r="AM116" i="9"/>
  <c r="AM125" i="9"/>
  <c r="BO115" i="9"/>
  <c r="BO111" i="9"/>
  <c r="BO53" i="9"/>
  <c r="BO26" i="9"/>
  <c r="BO35" i="9"/>
  <c r="BO25" i="9"/>
  <c r="BO7" i="9"/>
  <c r="AE6" i="9"/>
  <c r="I9" i="7"/>
  <c r="I10" i="7"/>
  <c r="I12" i="7"/>
  <c r="I13" i="7"/>
  <c r="I14" i="7"/>
  <c r="I15" i="7"/>
  <c r="I16" i="7"/>
  <c r="I17" i="7"/>
  <c r="I18" i="7"/>
  <c r="I19" i="7"/>
  <c r="I7" i="7"/>
  <c r="E9" i="7"/>
  <c r="E10" i="7"/>
  <c r="E12" i="7"/>
  <c r="E13" i="7"/>
  <c r="E14" i="7"/>
  <c r="E15" i="7"/>
  <c r="E16" i="7"/>
  <c r="E17" i="7"/>
  <c r="E18" i="7"/>
  <c r="E19" i="7"/>
  <c r="E7" i="7"/>
  <c r="G9" i="7"/>
  <c r="G10" i="7"/>
  <c r="G12" i="7"/>
  <c r="G13" i="7"/>
  <c r="G14" i="7"/>
  <c r="G15" i="7"/>
  <c r="G16" i="7"/>
  <c r="G17" i="7"/>
  <c r="G18" i="7"/>
  <c r="G19" i="7"/>
  <c r="G7" i="7"/>
  <c r="AT84" i="9" l="1"/>
  <c r="BP84" i="9" s="1"/>
  <c r="AT129" i="9"/>
  <c r="AT141" i="9"/>
  <c r="AT144" i="9"/>
  <c r="AT139" i="9"/>
  <c r="BP139" i="9" s="1"/>
  <c r="AT131" i="9"/>
  <c r="BP131" i="9" s="1"/>
  <c r="AT136" i="9"/>
  <c r="BP136" i="9" s="1"/>
  <c r="AT130" i="9"/>
  <c r="BP130" i="9" s="1"/>
  <c r="AT133" i="9"/>
  <c r="BP133" i="9" s="1"/>
  <c r="AT134" i="9"/>
  <c r="BP134" i="9" s="1"/>
  <c r="AT142" i="9"/>
  <c r="BP142" i="9" s="1"/>
  <c r="AT138" i="9"/>
  <c r="AT137" i="9"/>
  <c r="BP137" i="9" s="1"/>
  <c r="AT132" i="9"/>
  <c r="BP132" i="9" s="1"/>
  <c r="AT145" i="9"/>
  <c r="BP145" i="9" s="1"/>
  <c r="AT140" i="9"/>
  <c r="BP140" i="9" s="1"/>
  <c r="AT135" i="9"/>
  <c r="BP135" i="9" s="1"/>
  <c r="AT143" i="9"/>
  <c r="BP143" i="9" s="1"/>
  <c r="BP138" i="9"/>
  <c r="BP144" i="9"/>
  <c r="BP129" i="9"/>
  <c r="BP141" i="9"/>
  <c r="AT33" i="9"/>
  <c r="BP33" i="9" s="1"/>
  <c r="AT67" i="9"/>
  <c r="BP67" i="9" s="1"/>
  <c r="J19" i="7"/>
  <c r="J17" i="7"/>
  <c r="J15" i="7"/>
  <c r="J13" i="7"/>
  <c r="J10" i="7"/>
  <c r="J7" i="7"/>
  <c r="J18" i="7"/>
  <c r="J16" i="7"/>
  <c r="J14" i="7"/>
  <c r="J12" i="7"/>
  <c r="J9" i="7"/>
  <c r="AQ6" i="9" l="1"/>
  <c r="AM6" i="9"/>
  <c r="AK6" i="9"/>
  <c r="AI6" i="9"/>
  <c r="AG6" i="9"/>
  <c r="Y6" i="9"/>
  <c r="W6" i="9"/>
  <c r="U6" i="9"/>
  <c r="AT107" i="9"/>
  <c r="BP107" i="9" s="1"/>
  <c r="AT108" i="9"/>
  <c r="BP108" i="9" s="1"/>
  <c r="AT109" i="9"/>
  <c r="BP109" i="9" s="1"/>
  <c r="AT110" i="9"/>
  <c r="BP110" i="9" s="1"/>
  <c r="AT111" i="9"/>
  <c r="BP111" i="9" s="1"/>
  <c r="AT112" i="9"/>
  <c r="BP112" i="9" s="1"/>
  <c r="AT113" i="9"/>
  <c r="BP113" i="9" s="1"/>
  <c r="AT114" i="9"/>
  <c r="BP114" i="9" s="1"/>
  <c r="AT115" i="9"/>
  <c r="BP115" i="9" s="1"/>
  <c r="AT116" i="9"/>
  <c r="BP116" i="9" s="1"/>
  <c r="AT117" i="9"/>
  <c r="BP117" i="9" s="1"/>
  <c r="AT118" i="9"/>
  <c r="BP118" i="9" s="1"/>
  <c r="AT119" i="9"/>
  <c r="BP119" i="9" s="1"/>
  <c r="AT120" i="9"/>
  <c r="BP120" i="9" s="1"/>
  <c r="AT121" i="9"/>
  <c r="BP121" i="9" s="1"/>
  <c r="AT122" i="9"/>
  <c r="BP122" i="9" s="1"/>
  <c r="AT123" i="9"/>
  <c r="BP123" i="9" s="1"/>
  <c r="AT124" i="9"/>
  <c r="BP124" i="9" s="1"/>
  <c r="AT125" i="9"/>
  <c r="BP125" i="9" s="1"/>
  <c r="S6" i="9"/>
  <c r="AT8" i="9"/>
  <c r="BP8" i="9" s="1"/>
  <c r="AT11" i="9"/>
  <c r="BP11" i="9" s="1"/>
  <c r="AT14" i="9"/>
  <c r="BP14" i="9" s="1"/>
  <c r="AT17" i="9"/>
  <c r="BP17" i="9" s="1"/>
  <c r="AT20" i="9"/>
  <c r="BP20" i="9" s="1"/>
  <c r="AT23" i="9"/>
  <c r="BP23" i="9" s="1"/>
  <c r="AT26" i="9"/>
  <c r="BP26" i="9" s="1"/>
  <c r="AT29" i="9"/>
  <c r="BP29" i="9" s="1"/>
  <c r="AT32" i="9"/>
  <c r="BP32" i="9" s="1"/>
  <c r="AT36" i="9"/>
  <c r="BP36" i="9" s="1"/>
  <c r="AT39" i="9"/>
  <c r="BP39" i="9" s="1"/>
  <c r="AT42" i="9"/>
  <c r="BP42" i="9" s="1"/>
  <c r="AT45" i="9"/>
  <c r="BP45" i="9" s="1"/>
  <c r="AT48" i="9"/>
  <c r="BP48" i="9" s="1"/>
  <c r="AT51" i="9"/>
  <c r="BP51" i="9" s="1"/>
  <c r="AT54" i="9"/>
  <c r="BP54" i="9" s="1"/>
  <c r="AT58" i="9"/>
  <c r="AT61" i="9"/>
  <c r="AT64" i="9"/>
  <c r="AT68" i="9"/>
  <c r="AT71" i="9"/>
  <c r="AT74" i="9"/>
  <c r="AT77" i="9"/>
  <c r="AT80" i="9"/>
  <c r="AT83" i="9"/>
  <c r="AT87" i="9"/>
  <c r="AT90" i="9"/>
  <c r="AT93" i="9"/>
  <c r="AT96" i="9"/>
  <c r="AT99" i="9"/>
  <c r="AT102" i="9"/>
  <c r="AT105" i="9"/>
  <c r="Q6" i="9"/>
  <c r="O6" i="9"/>
  <c r="AT106" i="9"/>
  <c r="BP106" i="9" s="1"/>
  <c r="AA6" i="9"/>
  <c r="AT6" i="9" l="1"/>
  <c r="AT104" i="9"/>
  <c r="AT101" i="9"/>
  <c r="AT98" i="9"/>
  <c r="AT95" i="9"/>
  <c r="AT92" i="9"/>
  <c r="AT89" i="9"/>
  <c r="AT86" i="9"/>
  <c r="AT82" i="9"/>
  <c r="AT79" i="9"/>
  <c r="AT76" i="9"/>
  <c r="AT73" i="9"/>
  <c r="AT70" i="9"/>
  <c r="AT66" i="9"/>
  <c r="AT63" i="9"/>
  <c r="AT60" i="9"/>
  <c r="AT57" i="9"/>
  <c r="AT53" i="9"/>
  <c r="BP53" i="9" s="1"/>
  <c r="AT50" i="9"/>
  <c r="BP50" i="9" s="1"/>
  <c r="AT47" i="9"/>
  <c r="BP47" i="9" s="1"/>
  <c r="AT44" i="9"/>
  <c r="BP44" i="9" s="1"/>
  <c r="AT41" i="9"/>
  <c r="BP41" i="9" s="1"/>
  <c r="AT38" i="9"/>
  <c r="BP38" i="9" s="1"/>
  <c r="AT35" i="9"/>
  <c r="BP35" i="9" s="1"/>
  <c r="AT31" i="9"/>
  <c r="BP31" i="9" s="1"/>
  <c r="AT28" i="9"/>
  <c r="BP28" i="9" s="1"/>
  <c r="AT25" i="9"/>
  <c r="BP25" i="9" s="1"/>
  <c r="AT22" i="9"/>
  <c r="BP22" i="9" s="1"/>
  <c r="AT19" i="9"/>
  <c r="BP19" i="9" s="1"/>
  <c r="AT16" i="9"/>
  <c r="BP16" i="9" s="1"/>
  <c r="AT13" i="9"/>
  <c r="BP13" i="9" s="1"/>
  <c r="AT10" i="9"/>
  <c r="BP10" i="9" s="1"/>
  <c r="AT7" i="9"/>
  <c r="BP7" i="9" s="1"/>
  <c r="AT103" i="9"/>
  <c r="AT100" i="9"/>
  <c r="AT97" i="9"/>
  <c r="AT94" i="9"/>
  <c r="AT91" i="9"/>
  <c r="AT88" i="9"/>
  <c r="AT85" i="9"/>
  <c r="AT81" i="9"/>
  <c r="AT78" i="9"/>
  <c r="AT75" i="9"/>
  <c r="AT72" i="9"/>
  <c r="AT69" i="9"/>
  <c r="AT65" i="9"/>
  <c r="AT62" i="9"/>
  <c r="AT59" i="9"/>
  <c r="AT56" i="9"/>
  <c r="AT52" i="9"/>
  <c r="BP52" i="9" s="1"/>
  <c r="AT49" i="9"/>
  <c r="BP49" i="9" s="1"/>
  <c r="AT46" i="9"/>
  <c r="BP46" i="9" s="1"/>
  <c r="AT43" i="9"/>
  <c r="BP43" i="9" s="1"/>
  <c r="AT40" i="9"/>
  <c r="BP40" i="9" s="1"/>
  <c r="AT37" i="9"/>
  <c r="BP37" i="9" s="1"/>
  <c r="AT34" i="9"/>
  <c r="BP34" i="9" s="1"/>
  <c r="AT30" i="9"/>
  <c r="BP30" i="9" s="1"/>
  <c r="AT27" i="9"/>
  <c r="BP27" i="9" s="1"/>
  <c r="AT24" i="9"/>
  <c r="BP24" i="9" s="1"/>
  <c r="AT21" i="9"/>
  <c r="BP21" i="9" s="1"/>
  <c r="AT18" i="9"/>
  <c r="BP18" i="9" s="1"/>
  <c r="AT15" i="9"/>
  <c r="BP15" i="9" s="1"/>
  <c r="AT12" i="9"/>
  <c r="BP12" i="9" s="1"/>
  <c r="AT9" i="9"/>
  <c r="BP9" i="9" s="1"/>
  <c r="AK9" i="7"/>
  <c r="AL9" i="7" s="1"/>
  <c r="AK10" i="7"/>
  <c r="AL10" i="7" s="1"/>
  <c r="AK12" i="7"/>
  <c r="AL12" i="7" s="1"/>
  <c r="AK13" i="7"/>
  <c r="AL13" i="7" s="1"/>
  <c r="AK14" i="7"/>
  <c r="AL14" i="7" s="1"/>
  <c r="AK15" i="7"/>
  <c r="AL15" i="7" s="1"/>
  <c r="AK16" i="7"/>
  <c r="AL16" i="7" s="1"/>
  <c r="AK17" i="7"/>
  <c r="AL17" i="7" s="1"/>
  <c r="AK18" i="7"/>
  <c r="AL18" i="7" s="1"/>
  <c r="AK19" i="7"/>
  <c r="AL19" i="7" s="1"/>
  <c r="BL9" i="7"/>
  <c r="BL10" i="7"/>
  <c r="BL12" i="7"/>
  <c r="BL13" i="7"/>
  <c r="BL14" i="7"/>
  <c r="BL15" i="7"/>
  <c r="BL16" i="7"/>
  <c r="BL17" i="7"/>
  <c r="BL18" i="7"/>
  <c r="BL19" i="7"/>
  <c r="BL7" i="7"/>
  <c r="BJ9" i="7"/>
  <c r="BJ10" i="7"/>
  <c r="BJ12" i="7"/>
  <c r="BJ13" i="7"/>
  <c r="BJ14" i="7"/>
  <c r="BJ15" i="7"/>
  <c r="BJ16" i="7"/>
  <c r="BJ17" i="7"/>
  <c r="BJ18" i="7"/>
  <c r="BJ19" i="7"/>
  <c r="BJ7" i="7"/>
  <c r="BH9" i="7"/>
  <c r="BH10" i="7"/>
  <c r="BH12" i="7"/>
  <c r="BH13" i="7"/>
  <c r="BH14" i="7"/>
  <c r="BH15" i="7"/>
  <c r="BH16" i="7"/>
  <c r="BH17" i="7"/>
  <c r="BH18" i="7"/>
  <c r="BH19" i="7"/>
  <c r="BH7" i="7"/>
  <c r="BF9" i="7"/>
  <c r="BF10" i="7"/>
  <c r="BF12" i="7"/>
  <c r="BF13" i="7"/>
  <c r="BF14" i="7"/>
  <c r="BF15" i="7"/>
  <c r="BF16" i="7"/>
  <c r="BF17" i="7"/>
  <c r="BF18" i="7"/>
  <c r="BF19" i="7"/>
  <c r="BF7" i="7"/>
  <c r="BD9" i="7"/>
  <c r="BD10" i="7"/>
  <c r="BD12" i="7"/>
  <c r="BD13" i="7"/>
  <c r="BD14" i="7"/>
  <c r="BD15" i="7"/>
  <c r="BD16" i="7"/>
  <c r="BD17" i="7"/>
  <c r="BD18" i="7"/>
  <c r="BD19" i="7"/>
  <c r="BD7" i="7"/>
  <c r="BB9" i="7"/>
  <c r="BB10" i="7"/>
  <c r="BB12" i="7"/>
  <c r="BB13" i="7"/>
  <c r="BB14" i="7"/>
  <c r="BB15" i="7"/>
  <c r="BB16" i="7"/>
  <c r="BB17" i="7"/>
  <c r="BB18" i="7"/>
  <c r="BB19" i="7"/>
  <c r="BB7" i="7"/>
  <c r="AZ9" i="7" l="1"/>
  <c r="AZ10" i="7"/>
  <c r="AZ12" i="7"/>
  <c r="AZ13" i="7"/>
  <c r="AZ14" i="7"/>
  <c r="AZ15" i="7"/>
  <c r="AZ16" i="7"/>
  <c r="AZ17" i="7"/>
  <c r="AZ18" i="7"/>
  <c r="AZ19" i="7"/>
  <c r="AZ7" i="7"/>
  <c r="AX7" i="7"/>
  <c r="AV9" i="7"/>
  <c r="AV10" i="7"/>
  <c r="AV12" i="7"/>
  <c r="AV13" i="7"/>
  <c r="AV14" i="7"/>
  <c r="AV15" i="7"/>
  <c r="AV16" i="7"/>
  <c r="AV17" i="7"/>
  <c r="AV18" i="7"/>
  <c r="AV19" i="7"/>
  <c r="AV7" i="7"/>
  <c r="AT9" i="7"/>
  <c r="AT10" i="7"/>
  <c r="AT12" i="7"/>
  <c r="AT13" i="7"/>
  <c r="AT14" i="7"/>
  <c r="AT15" i="7"/>
  <c r="AT16" i="7"/>
  <c r="AT17" i="7"/>
  <c r="AT18" i="7"/>
  <c r="AT19" i="7"/>
  <c r="AT7" i="7"/>
  <c r="AR9" i="7"/>
  <c r="AR10" i="7"/>
  <c r="AR12" i="7"/>
  <c r="AR13" i="7"/>
  <c r="AR14" i="7"/>
  <c r="AR15" i="7"/>
  <c r="AR16" i="7"/>
  <c r="AR17" i="7"/>
  <c r="AR18" i="7"/>
  <c r="AR19" i="7"/>
  <c r="AP9" i="7"/>
  <c r="AP10" i="7"/>
  <c r="AP12" i="7"/>
  <c r="AP13" i="7"/>
  <c r="AP14" i="7"/>
  <c r="AP15" i="7"/>
  <c r="AP16" i="7"/>
  <c r="AP17" i="7"/>
  <c r="AP18" i="7"/>
  <c r="AP19" i="7"/>
  <c r="AP7" i="7"/>
  <c r="AO43" i="1"/>
  <c r="AO44" i="1"/>
  <c r="AO45" i="1"/>
  <c r="AO46" i="1"/>
  <c r="AO47" i="1"/>
  <c r="AO48" i="1"/>
  <c r="AO49" i="1"/>
  <c r="AO50" i="1"/>
  <c r="AO51" i="1"/>
  <c r="AO52" i="1"/>
  <c r="AO42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53" i="1"/>
  <c r="AP42" i="1" l="1"/>
  <c r="BB42" i="1"/>
  <c r="AP53" i="1"/>
  <c r="BB53" i="1"/>
  <c r="AO75" i="1"/>
  <c r="AP64" i="1"/>
  <c r="BB64" i="1"/>
  <c r="AO66" i="1"/>
  <c r="AP55" i="1"/>
  <c r="BB55" i="1"/>
  <c r="AP46" i="1"/>
  <c r="BB46" i="1"/>
  <c r="AO74" i="1"/>
  <c r="AP63" i="1"/>
  <c r="BB63" i="1"/>
  <c r="AO68" i="1"/>
  <c r="AP57" i="1"/>
  <c r="BB57" i="1"/>
  <c r="AO76" i="1"/>
  <c r="AP65" i="1"/>
  <c r="BB65" i="1"/>
  <c r="AO73" i="1"/>
  <c r="AP62" i="1"/>
  <c r="BB62" i="1"/>
  <c r="AO70" i="1"/>
  <c r="AP59" i="1"/>
  <c r="BB59" i="1"/>
  <c r="AO67" i="1"/>
  <c r="AP56" i="1"/>
  <c r="BB56" i="1"/>
  <c r="AP50" i="1"/>
  <c r="BB50" i="1"/>
  <c r="AP47" i="1"/>
  <c r="BB47" i="1"/>
  <c r="AP44" i="1"/>
  <c r="BB44" i="1"/>
  <c r="AO72" i="1"/>
  <c r="AP61" i="1"/>
  <c r="BB61" i="1"/>
  <c r="AP49" i="1"/>
  <c r="BB49" i="1"/>
  <c r="AP43" i="1"/>
  <c r="BB43" i="1"/>
  <c r="AO69" i="1"/>
  <c r="AP58" i="1"/>
  <c r="BB58" i="1"/>
  <c r="AP52" i="1"/>
  <c r="BB52" i="1"/>
  <c r="AO71" i="1"/>
  <c r="AP60" i="1"/>
  <c r="BB60" i="1"/>
  <c r="AP54" i="1"/>
  <c r="BB54" i="1"/>
  <c r="AP51" i="1"/>
  <c r="BB51" i="1"/>
  <c r="AP48" i="1"/>
  <c r="BB48" i="1"/>
  <c r="AP45" i="1"/>
  <c r="BB45" i="1"/>
  <c r="AX9" i="7"/>
  <c r="AX10" i="7" s="1"/>
  <c r="AX8" i="7"/>
  <c r="BM8" i="7" s="1"/>
  <c r="BN8" i="7" s="1"/>
  <c r="BM7" i="7"/>
  <c r="AR9" i="1"/>
  <c r="AP71" i="1" l="1"/>
  <c r="BB71" i="1"/>
  <c r="AP72" i="1"/>
  <c r="BB72" i="1"/>
  <c r="AP66" i="1"/>
  <c r="BB66" i="1"/>
  <c r="AP75" i="1"/>
  <c r="BB75" i="1"/>
  <c r="AP67" i="1"/>
  <c r="BB67" i="1"/>
  <c r="AP70" i="1"/>
  <c r="BB70" i="1"/>
  <c r="AP73" i="1"/>
  <c r="BB73" i="1"/>
  <c r="AP76" i="1"/>
  <c r="BB76" i="1"/>
  <c r="AP68" i="1"/>
  <c r="BB68" i="1"/>
  <c r="AP74" i="1"/>
  <c r="BB74" i="1"/>
  <c r="AP69" i="1"/>
  <c r="BB69" i="1"/>
  <c r="AX12" i="7"/>
  <c r="AX13" i="7" s="1"/>
  <c r="AX14" i="7" s="1"/>
  <c r="AX11" i="7"/>
  <c r="BM11" i="7" s="1"/>
  <c r="BN11" i="7" s="1"/>
  <c r="BM9" i="7"/>
  <c r="BM13" i="7"/>
  <c r="BM10" i="7"/>
  <c r="BJ6" i="9"/>
  <c r="BH6" i="9"/>
  <c r="BF6" i="9"/>
  <c r="BD6" i="9"/>
  <c r="BB6" i="9"/>
  <c r="BQ22" i="9"/>
  <c r="BL6" i="9"/>
  <c r="BM12" i="7" l="1"/>
  <c r="AX15" i="7"/>
  <c r="BM14" i="7"/>
  <c r="BO6" i="9"/>
  <c r="BP6" i="9" s="1"/>
  <c r="BQ125" i="9"/>
  <c r="I125" i="9"/>
  <c r="G125" i="9"/>
  <c r="E125" i="9"/>
  <c r="BQ124" i="9"/>
  <c r="I124" i="9"/>
  <c r="G124" i="9"/>
  <c r="E124" i="9"/>
  <c r="BQ123" i="9"/>
  <c r="I123" i="9"/>
  <c r="G123" i="9"/>
  <c r="E123" i="9"/>
  <c r="BQ122" i="9"/>
  <c r="I122" i="9"/>
  <c r="G122" i="9"/>
  <c r="E122" i="9"/>
  <c r="BQ121" i="9"/>
  <c r="I121" i="9"/>
  <c r="G121" i="9"/>
  <c r="E121" i="9"/>
  <c r="BQ120" i="9"/>
  <c r="I120" i="9"/>
  <c r="G120" i="9"/>
  <c r="E120" i="9"/>
  <c r="BQ119" i="9"/>
  <c r="I119" i="9"/>
  <c r="G119" i="9"/>
  <c r="E119" i="9"/>
  <c r="BQ118" i="9"/>
  <c r="I118" i="9"/>
  <c r="G118" i="9"/>
  <c r="E118" i="9"/>
  <c r="BQ117" i="9"/>
  <c r="I117" i="9"/>
  <c r="G117" i="9"/>
  <c r="E117" i="9"/>
  <c r="BQ116" i="9"/>
  <c r="I116" i="9"/>
  <c r="G116" i="9"/>
  <c r="E116" i="9"/>
  <c r="BQ115" i="9"/>
  <c r="I115" i="9"/>
  <c r="G115" i="9"/>
  <c r="E115" i="9"/>
  <c r="BQ114" i="9"/>
  <c r="I114" i="9"/>
  <c r="G114" i="9"/>
  <c r="E114" i="9"/>
  <c r="BQ113" i="9"/>
  <c r="I113" i="9"/>
  <c r="G113" i="9"/>
  <c r="E113" i="9"/>
  <c r="BQ112" i="9"/>
  <c r="I112" i="9"/>
  <c r="G112" i="9"/>
  <c r="E112" i="9"/>
  <c r="BQ111" i="9"/>
  <c r="I111" i="9"/>
  <c r="G111" i="9"/>
  <c r="E111" i="9"/>
  <c r="BQ110" i="9"/>
  <c r="I110" i="9"/>
  <c r="G110" i="9"/>
  <c r="E110" i="9"/>
  <c r="BQ109" i="9"/>
  <c r="I109" i="9"/>
  <c r="G109" i="9"/>
  <c r="E109" i="9"/>
  <c r="BQ108" i="9"/>
  <c r="I108" i="9"/>
  <c r="G108" i="9"/>
  <c r="E108" i="9"/>
  <c r="BQ107" i="9"/>
  <c r="I107" i="9"/>
  <c r="G107" i="9"/>
  <c r="E107" i="9"/>
  <c r="BQ106" i="9"/>
  <c r="I106" i="9"/>
  <c r="G106" i="9"/>
  <c r="E106" i="9"/>
  <c r="BC105" i="9"/>
  <c r="BD105" i="9" s="1"/>
  <c r="BA105" i="9"/>
  <c r="BB105" i="9" s="1"/>
  <c r="AY105" i="9"/>
  <c r="AZ105" i="9" s="1"/>
  <c r="AW105" i="9"/>
  <c r="I105" i="9"/>
  <c r="G105" i="9"/>
  <c r="E105" i="9"/>
  <c r="D105" i="9"/>
  <c r="D138" i="9" s="1"/>
  <c r="J138" i="9" s="1"/>
  <c r="BC104" i="9"/>
  <c r="BD104" i="9" s="1"/>
  <c r="BA104" i="9"/>
  <c r="BB104" i="9" s="1"/>
  <c r="AY104" i="9"/>
  <c r="AZ104" i="9" s="1"/>
  <c r="AW104" i="9"/>
  <c r="AX104" i="9" s="1"/>
  <c r="I104" i="9"/>
  <c r="G104" i="9"/>
  <c r="E104" i="9"/>
  <c r="D104" i="9"/>
  <c r="D137" i="9" s="1"/>
  <c r="J137" i="9" s="1"/>
  <c r="BC103" i="9"/>
  <c r="BD103" i="9" s="1"/>
  <c r="BA103" i="9"/>
  <c r="BB103" i="9" s="1"/>
  <c r="AY103" i="9"/>
  <c r="AZ103" i="9" s="1"/>
  <c r="AW103" i="9"/>
  <c r="AX103" i="9" s="1"/>
  <c r="I103" i="9"/>
  <c r="G103" i="9"/>
  <c r="E103" i="9"/>
  <c r="D103" i="9"/>
  <c r="D136" i="9" s="1"/>
  <c r="J136" i="9" s="1"/>
  <c r="BC102" i="9"/>
  <c r="BD102" i="9" s="1"/>
  <c r="BA102" i="9"/>
  <c r="BB102" i="9" s="1"/>
  <c r="AY102" i="9"/>
  <c r="AZ102" i="9" s="1"/>
  <c r="AW102" i="9"/>
  <c r="I102" i="9"/>
  <c r="G102" i="9"/>
  <c r="E102" i="9"/>
  <c r="D102" i="9"/>
  <c r="D135" i="9" s="1"/>
  <c r="J135" i="9" s="1"/>
  <c r="BC101" i="9"/>
  <c r="BD101" i="9" s="1"/>
  <c r="BA101" i="9"/>
  <c r="BB101" i="9" s="1"/>
  <c r="AY101" i="9"/>
  <c r="AZ101" i="9" s="1"/>
  <c r="AW101" i="9"/>
  <c r="AX101" i="9" s="1"/>
  <c r="I101" i="9"/>
  <c r="G101" i="9"/>
  <c r="E101" i="9"/>
  <c r="D101" i="9"/>
  <c r="D134" i="9" s="1"/>
  <c r="J134" i="9" s="1"/>
  <c r="BC100" i="9"/>
  <c r="BD100" i="9" s="1"/>
  <c r="BA100" i="9"/>
  <c r="BB100" i="9" s="1"/>
  <c r="AY100" i="9"/>
  <c r="AZ100" i="9" s="1"/>
  <c r="AW100" i="9"/>
  <c r="AX100" i="9" s="1"/>
  <c r="I100" i="9"/>
  <c r="G100" i="9"/>
  <c r="E100" i="9"/>
  <c r="D100" i="9"/>
  <c r="D133" i="9" s="1"/>
  <c r="J133" i="9" s="1"/>
  <c r="BC99" i="9"/>
  <c r="BD99" i="9" s="1"/>
  <c r="BA99" i="9"/>
  <c r="BB99" i="9" s="1"/>
  <c r="AY99" i="9"/>
  <c r="AZ99" i="9" s="1"/>
  <c r="AW99" i="9"/>
  <c r="I99" i="9"/>
  <c r="G99" i="9"/>
  <c r="E99" i="9"/>
  <c r="D99" i="9"/>
  <c r="D132" i="9" s="1"/>
  <c r="J132" i="9" s="1"/>
  <c r="BC98" i="9"/>
  <c r="BD98" i="9" s="1"/>
  <c r="BA98" i="9"/>
  <c r="BB98" i="9" s="1"/>
  <c r="AY98" i="9"/>
  <c r="AZ98" i="9" s="1"/>
  <c r="AW98" i="9"/>
  <c r="AX98" i="9" s="1"/>
  <c r="I98" i="9"/>
  <c r="G98" i="9"/>
  <c r="E98" i="9"/>
  <c r="D98" i="9"/>
  <c r="D131" i="9" s="1"/>
  <c r="J131" i="9" s="1"/>
  <c r="BC97" i="9"/>
  <c r="BD97" i="9" s="1"/>
  <c r="BA97" i="9"/>
  <c r="BB97" i="9" s="1"/>
  <c r="AY97" i="9"/>
  <c r="AZ97" i="9" s="1"/>
  <c r="AW97" i="9"/>
  <c r="AX97" i="9" s="1"/>
  <c r="I97" i="9"/>
  <c r="G97" i="9"/>
  <c r="E97" i="9"/>
  <c r="D97" i="9"/>
  <c r="D130" i="9" s="1"/>
  <c r="J130" i="9" s="1"/>
  <c r="BC96" i="9"/>
  <c r="BD96" i="9" s="1"/>
  <c r="BA96" i="9"/>
  <c r="BB96" i="9" s="1"/>
  <c r="AY96" i="9"/>
  <c r="AZ96" i="9" s="1"/>
  <c r="AW96" i="9"/>
  <c r="I96" i="9"/>
  <c r="G96" i="9"/>
  <c r="E96" i="9"/>
  <c r="D96" i="9"/>
  <c r="D129" i="9" s="1"/>
  <c r="J129" i="9" s="1"/>
  <c r="BC95" i="9"/>
  <c r="BD95" i="9" s="1"/>
  <c r="BA95" i="9"/>
  <c r="BB95" i="9" s="1"/>
  <c r="AY95" i="9"/>
  <c r="AZ95" i="9" s="1"/>
  <c r="AW95" i="9"/>
  <c r="AX95" i="9" s="1"/>
  <c r="I95" i="9"/>
  <c r="G95" i="9"/>
  <c r="E95" i="9"/>
  <c r="D95" i="9"/>
  <c r="BC94" i="9"/>
  <c r="BD94" i="9" s="1"/>
  <c r="BA94" i="9"/>
  <c r="BB94" i="9" s="1"/>
  <c r="AY94" i="9"/>
  <c r="AZ94" i="9" s="1"/>
  <c r="AW94" i="9"/>
  <c r="AX94" i="9" s="1"/>
  <c r="I94" i="9"/>
  <c r="G94" i="9"/>
  <c r="E94" i="9"/>
  <c r="D94" i="9"/>
  <c r="BC93" i="9"/>
  <c r="BD93" i="9" s="1"/>
  <c r="BA93" i="9"/>
  <c r="BB93" i="9" s="1"/>
  <c r="AY93" i="9"/>
  <c r="AZ93" i="9" s="1"/>
  <c r="AW93" i="9"/>
  <c r="I93" i="9"/>
  <c r="G93" i="9"/>
  <c r="E93" i="9"/>
  <c r="D93" i="9"/>
  <c r="BC92" i="9"/>
  <c r="BD92" i="9" s="1"/>
  <c r="BA92" i="9"/>
  <c r="BB92" i="9" s="1"/>
  <c r="AY92" i="9"/>
  <c r="AZ92" i="9" s="1"/>
  <c r="AW92" i="9"/>
  <c r="AX92" i="9" s="1"/>
  <c r="I92" i="9"/>
  <c r="G92" i="9"/>
  <c r="E92" i="9"/>
  <c r="D92" i="9"/>
  <c r="BC91" i="9"/>
  <c r="BD91" i="9" s="1"/>
  <c r="BA91" i="9"/>
  <c r="BB91" i="9" s="1"/>
  <c r="AY91" i="9"/>
  <c r="AZ91" i="9" s="1"/>
  <c r="AW91" i="9"/>
  <c r="AX91" i="9" s="1"/>
  <c r="I91" i="9"/>
  <c r="G91" i="9"/>
  <c r="E91" i="9"/>
  <c r="D91" i="9"/>
  <c r="BC90" i="9"/>
  <c r="BD90" i="9" s="1"/>
  <c r="BA90" i="9"/>
  <c r="BB90" i="9" s="1"/>
  <c r="AY90" i="9"/>
  <c r="AZ90" i="9" s="1"/>
  <c r="AW90" i="9"/>
  <c r="I90" i="9"/>
  <c r="G90" i="9"/>
  <c r="E90" i="9"/>
  <c r="D90" i="9"/>
  <c r="I89" i="9"/>
  <c r="G89" i="9"/>
  <c r="F89" i="9"/>
  <c r="E89" i="9"/>
  <c r="I88" i="9"/>
  <c r="G88" i="9"/>
  <c r="F88" i="9"/>
  <c r="E88" i="9"/>
  <c r="I87" i="9"/>
  <c r="G87" i="9"/>
  <c r="F87" i="9"/>
  <c r="E87" i="9"/>
  <c r="I86" i="9"/>
  <c r="G86" i="9"/>
  <c r="F86" i="9"/>
  <c r="E86" i="9"/>
  <c r="I85" i="9"/>
  <c r="G85" i="9"/>
  <c r="F85" i="9"/>
  <c r="E85" i="9"/>
  <c r="I83" i="9"/>
  <c r="G83" i="9"/>
  <c r="F83" i="9"/>
  <c r="E83" i="9"/>
  <c r="I82" i="9"/>
  <c r="G82" i="9"/>
  <c r="F82" i="9"/>
  <c r="E82" i="9"/>
  <c r="I81" i="9"/>
  <c r="G81" i="9"/>
  <c r="F81" i="9"/>
  <c r="E81" i="9"/>
  <c r="I80" i="9"/>
  <c r="G80" i="9"/>
  <c r="F80" i="9"/>
  <c r="E80" i="9"/>
  <c r="I79" i="9"/>
  <c r="G79" i="9"/>
  <c r="F79" i="9"/>
  <c r="E79" i="9"/>
  <c r="I78" i="9"/>
  <c r="G78" i="9"/>
  <c r="F78" i="9"/>
  <c r="E78" i="9"/>
  <c r="I77" i="9"/>
  <c r="G77" i="9"/>
  <c r="F77" i="9"/>
  <c r="E77" i="9"/>
  <c r="I76" i="9"/>
  <c r="G76" i="9"/>
  <c r="F76" i="9"/>
  <c r="E76" i="9"/>
  <c r="I75" i="9"/>
  <c r="G75" i="9"/>
  <c r="F75" i="9"/>
  <c r="E75" i="9"/>
  <c r="I74" i="9"/>
  <c r="G74" i="9"/>
  <c r="F74" i="9"/>
  <c r="E74" i="9"/>
  <c r="I73" i="9"/>
  <c r="G73" i="9"/>
  <c r="F73" i="9"/>
  <c r="E73" i="9"/>
  <c r="BC72" i="9"/>
  <c r="BD72" i="9" s="1"/>
  <c r="BA72" i="9"/>
  <c r="BB72" i="9" s="1"/>
  <c r="AY72" i="9"/>
  <c r="AZ72" i="9" s="1"/>
  <c r="AW72" i="9"/>
  <c r="I72" i="9"/>
  <c r="G72" i="9"/>
  <c r="E72" i="9"/>
  <c r="D72" i="9"/>
  <c r="D89" i="9" s="1"/>
  <c r="BC71" i="9"/>
  <c r="BD71" i="9" s="1"/>
  <c r="BA71" i="9"/>
  <c r="BB71" i="9" s="1"/>
  <c r="AY71" i="9"/>
  <c r="AZ71" i="9" s="1"/>
  <c r="AW71" i="9"/>
  <c r="AX71" i="9" s="1"/>
  <c r="I71" i="9"/>
  <c r="G71" i="9"/>
  <c r="E71" i="9"/>
  <c r="D71" i="9"/>
  <c r="D88" i="9" s="1"/>
  <c r="BC70" i="9"/>
  <c r="BD70" i="9" s="1"/>
  <c r="BA70" i="9"/>
  <c r="BB70" i="9" s="1"/>
  <c r="AY70" i="9"/>
  <c r="AZ70" i="9" s="1"/>
  <c r="AW70" i="9"/>
  <c r="AX70" i="9" s="1"/>
  <c r="I70" i="9"/>
  <c r="G70" i="9"/>
  <c r="E70" i="9"/>
  <c r="D70" i="9"/>
  <c r="D87" i="9" s="1"/>
  <c r="BC69" i="9"/>
  <c r="BD69" i="9" s="1"/>
  <c r="BA69" i="9"/>
  <c r="BB69" i="9" s="1"/>
  <c r="AY69" i="9"/>
  <c r="AZ69" i="9" s="1"/>
  <c r="AW69" i="9"/>
  <c r="I69" i="9"/>
  <c r="G69" i="9"/>
  <c r="E69" i="9"/>
  <c r="D69" i="9"/>
  <c r="D86" i="9" s="1"/>
  <c r="BC68" i="9"/>
  <c r="BD68" i="9" s="1"/>
  <c r="BA68" i="9"/>
  <c r="BB68" i="9" s="1"/>
  <c r="AY68" i="9"/>
  <c r="AZ68" i="9" s="1"/>
  <c r="AW68" i="9"/>
  <c r="AX68" i="9" s="1"/>
  <c r="I68" i="9"/>
  <c r="G68" i="9"/>
  <c r="E68" i="9"/>
  <c r="D68" i="9"/>
  <c r="D85" i="9" s="1"/>
  <c r="BC66" i="9"/>
  <c r="BD66" i="9" s="1"/>
  <c r="BA66" i="9"/>
  <c r="BB66" i="9" s="1"/>
  <c r="AY66" i="9"/>
  <c r="AZ66" i="9" s="1"/>
  <c r="AW66" i="9"/>
  <c r="AX66" i="9" s="1"/>
  <c r="I66" i="9"/>
  <c r="G66" i="9"/>
  <c r="E66" i="9"/>
  <c r="D66" i="9"/>
  <c r="D83" i="9" s="1"/>
  <c r="BC65" i="9"/>
  <c r="BD65" i="9" s="1"/>
  <c r="BA65" i="9"/>
  <c r="BB65" i="9" s="1"/>
  <c r="AY65" i="9"/>
  <c r="AZ65" i="9" s="1"/>
  <c r="AW65" i="9"/>
  <c r="I65" i="9"/>
  <c r="G65" i="9"/>
  <c r="E65" i="9"/>
  <c r="D65" i="9"/>
  <c r="D82" i="9" s="1"/>
  <c r="BC64" i="9"/>
  <c r="BD64" i="9" s="1"/>
  <c r="BA64" i="9"/>
  <c r="BB64" i="9" s="1"/>
  <c r="AY64" i="9"/>
  <c r="AZ64" i="9" s="1"/>
  <c r="AW64" i="9"/>
  <c r="AX64" i="9" s="1"/>
  <c r="I64" i="9"/>
  <c r="G64" i="9"/>
  <c r="E64" i="9"/>
  <c r="D64" i="9"/>
  <c r="BC63" i="9"/>
  <c r="BD63" i="9" s="1"/>
  <c r="BA63" i="9"/>
  <c r="BB63" i="9" s="1"/>
  <c r="AY63" i="9"/>
  <c r="AZ63" i="9" s="1"/>
  <c r="AW63" i="9"/>
  <c r="AX63" i="9" s="1"/>
  <c r="I63" i="9"/>
  <c r="G63" i="9"/>
  <c r="E63" i="9"/>
  <c r="D63" i="9"/>
  <c r="D80" i="9" s="1"/>
  <c r="BC62" i="9"/>
  <c r="BD62" i="9" s="1"/>
  <c r="BA62" i="9"/>
  <c r="BB62" i="9" s="1"/>
  <c r="AY62" i="9"/>
  <c r="AZ62" i="9" s="1"/>
  <c r="AW62" i="9"/>
  <c r="I62" i="9"/>
  <c r="G62" i="9"/>
  <c r="E62" i="9"/>
  <c r="D62" i="9"/>
  <c r="D79" i="9" s="1"/>
  <c r="BC61" i="9"/>
  <c r="BA61" i="9"/>
  <c r="BB61" i="9" s="1"/>
  <c r="AY61" i="9"/>
  <c r="AW61" i="9"/>
  <c r="I61" i="9"/>
  <c r="G61" i="9"/>
  <c r="E61" i="9"/>
  <c r="D61" i="9"/>
  <c r="D78" i="9" s="1"/>
  <c r="BC60" i="9"/>
  <c r="BD60" i="9" s="1"/>
  <c r="BA60" i="9"/>
  <c r="BB60" i="9" s="1"/>
  <c r="AY60" i="9"/>
  <c r="AZ60" i="9" s="1"/>
  <c r="AW60" i="9"/>
  <c r="AX60" i="9" s="1"/>
  <c r="I60" i="9"/>
  <c r="G60" i="9"/>
  <c r="E60" i="9"/>
  <c r="D60" i="9"/>
  <c r="D77" i="9" s="1"/>
  <c r="BC59" i="9"/>
  <c r="BD59" i="9" s="1"/>
  <c r="BA59" i="9"/>
  <c r="BB59" i="9" s="1"/>
  <c r="AY59" i="9"/>
  <c r="AZ59" i="9" s="1"/>
  <c r="AW59" i="9"/>
  <c r="I59" i="9"/>
  <c r="G59" i="9"/>
  <c r="E59" i="9"/>
  <c r="D59" i="9"/>
  <c r="D76" i="9" s="1"/>
  <c r="BC58" i="9"/>
  <c r="BD58" i="9" s="1"/>
  <c r="BA58" i="9"/>
  <c r="BB58" i="9" s="1"/>
  <c r="AY58" i="9"/>
  <c r="AZ58" i="9" s="1"/>
  <c r="AW58" i="9"/>
  <c r="AX58" i="9" s="1"/>
  <c r="I58" i="9"/>
  <c r="G58" i="9"/>
  <c r="E58" i="9"/>
  <c r="D58" i="9"/>
  <c r="D75" i="9" s="1"/>
  <c r="BC57" i="9"/>
  <c r="BD57" i="9" s="1"/>
  <c r="BA57" i="9"/>
  <c r="BB57" i="9" s="1"/>
  <c r="AY57" i="9"/>
  <c r="AZ57" i="9" s="1"/>
  <c r="AW57" i="9"/>
  <c r="AX57" i="9" s="1"/>
  <c r="I57" i="9"/>
  <c r="G57" i="9"/>
  <c r="E57" i="9"/>
  <c r="D57" i="9"/>
  <c r="D74" i="9" s="1"/>
  <c r="BC56" i="9"/>
  <c r="BD56" i="9" s="1"/>
  <c r="BA56" i="9"/>
  <c r="BB56" i="9" s="1"/>
  <c r="AY56" i="9"/>
  <c r="AZ56" i="9" s="1"/>
  <c r="AW56" i="9"/>
  <c r="I56" i="9"/>
  <c r="G56" i="9"/>
  <c r="E56" i="9"/>
  <c r="D56" i="9"/>
  <c r="D73" i="9" s="1"/>
  <c r="BQ54" i="9"/>
  <c r="I54" i="9"/>
  <c r="G54" i="9"/>
  <c r="E54" i="9"/>
  <c r="BQ53" i="9"/>
  <c r="I53" i="9"/>
  <c r="G53" i="9"/>
  <c r="E53" i="9"/>
  <c r="BQ52" i="9"/>
  <c r="I52" i="9"/>
  <c r="G52" i="9"/>
  <c r="E52" i="9"/>
  <c r="BQ51" i="9"/>
  <c r="I51" i="9"/>
  <c r="G51" i="9"/>
  <c r="E51" i="9"/>
  <c r="BQ50" i="9"/>
  <c r="I50" i="9"/>
  <c r="G50" i="9"/>
  <c r="E50" i="9"/>
  <c r="BQ49" i="9"/>
  <c r="I49" i="9"/>
  <c r="G49" i="9"/>
  <c r="E49" i="9"/>
  <c r="BQ48" i="9"/>
  <c r="I48" i="9"/>
  <c r="G48" i="9"/>
  <c r="E48" i="9"/>
  <c r="BQ47" i="9"/>
  <c r="I47" i="9"/>
  <c r="G47" i="9"/>
  <c r="E47" i="9"/>
  <c r="BQ46" i="9"/>
  <c r="I46" i="9"/>
  <c r="G46" i="9"/>
  <c r="E46" i="9"/>
  <c r="BQ45" i="9"/>
  <c r="I45" i="9"/>
  <c r="G45" i="9"/>
  <c r="E45" i="9"/>
  <c r="BQ44" i="9"/>
  <c r="I44" i="9"/>
  <c r="G44" i="9"/>
  <c r="E44" i="9"/>
  <c r="BQ43" i="9"/>
  <c r="I43" i="9"/>
  <c r="G43" i="9"/>
  <c r="E43" i="9"/>
  <c r="BQ42" i="9"/>
  <c r="I42" i="9"/>
  <c r="G42" i="9"/>
  <c r="E42" i="9"/>
  <c r="BQ41" i="9"/>
  <c r="I41" i="9"/>
  <c r="G41" i="9"/>
  <c r="E41" i="9"/>
  <c r="BQ40" i="9"/>
  <c r="I40" i="9"/>
  <c r="G40" i="9"/>
  <c r="E40" i="9"/>
  <c r="BQ39" i="9"/>
  <c r="I39" i="9"/>
  <c r="G39" i="9"/>
  <c r="E39" i="9"/>
  <c r="BQ38" i="9"/>
  <c r="I38" i="9"/>
  <c r="G38" i="9"/>
  <c r="E38" i="9"/>
  <c r="BQ37" i="9"/>
  <c r="I37" i="9"/>
  <c r="G37" i="9"/>
  <c r="E37" i="9"/>
  <c r="BQ36" i="9"/>
  <c r="I36" i="9"/>
  <c r="G36" i="9"/>
  <c r="E36" i="9"/>
  <c r="BQ35" i="9"/>
  <c r="I35" i="9"/>
  <c r="G35" i="9"/>
  <c r="E35" i="9"/>
  <c r="BQ34" i="9"/>
  <c r="I34" i="9"/>
  <c r="G34" i="9"/>
  <c r="E34" i="9"/>
  <c r="BQ32" i="9"/>
  <c r="I32" i="9"/>
  <c r="G32" i="9"/>
  <c r="E32" i="9"/>
  <c r="BQ31" i="9"/>
  <c r="I31" i="9"/>
  <c r="G31" i="9"/>
  <c r="E31" i="9"/>
  <c r="BQ30" i="9"/>
  <c r="I30" i="9"/>
  <c r="G30" i="9"/>
  <c r="E30" i="9"/>
  <c r="BQ29" i="9"/>
  <c r="I29" i="9"/>
  <c r="G29" i="9"/>
  <c r="E29" i="9"/>
  <c r="BQ28" i="9"/>
  <c r="I28" i="9"/>
  <c r="G28" i="9"/>
  <c r="E28" i="9"/>
  <c r="BQ27" i="9"/>
  <c r="I27" i="9"/>
  <c r="G27" i="9"/>
  <c r="E27" i="9"/>
  <c r="BQ26" i="9"/>
  <c r="I26" i="9"/>
  <c r="G26" i="9"/>
  <c r="E26" i="9"/>
  <c r="BQ25" i="9"/>
  <c r="I25" i="9"/>
  <c r="G25" i="9"/>
  <c r="E25" i="9"/>
  <c r="BQ24" i="9"/>
  <c r="I24" i="9"/>
  <c r="G24" i="9"/>
  <c r="E24" i="9"/>
  <c r="BQ23" i="9"/>
  <c r="I23" i="9"/>
  <c r="G23" i="9"/>
  <c r="E23" i="9"/>
  <c r="I22" i="9"/>
  <c r="G22" i="9"/>
  <c r="E22" i="9"/>
  <c r="BQ21" i="9"/>
  <c r="I21" i="9"/>
  <c r="G21" i="9"/>
  <c r="E21" i="9"/>
  <c r="BQ20" i="9"/>
  <c r="I20" i="9"/>
  <c r="G20" i="9"/>
  <c r="E20" i="9"/>
  <c r="BQ19" i="9"/>
  <c r="I19" i="9"/>
  <c r="G19" i="9"/>
  <c r="E19" i="9"/>
  <c r="BQ18" i="9"/>
  <c r="I18" i="9"/>
  <c r="G18" i="9"/>
  <c r="E18" i="9"/>
  <c r="BQ17" i="9"/>
  <c r="I17" i="9"/>
  <c r="G17" i="9"/>
  <c r="E17" i="9"/>
  <c r="BQ16" i="9"/>
  <c r="I16" i="9"/>
  <c r="G16" i="9"/>
  <c r="E16" i="9"/>
  <c r="BQ15" i="9"/>
  <c r="I15" i="9"/>
  <c r="G15" i="9"/>
  <c r="E15" i="9"/>
  <c r="BQ14" i="9"/>
  <c r="I14" i="9"/>
  <c r="G14" i="9"/>
  <c r="E14" i="9"/>
  <c r="BQ13" i="9"/>
  <c r="I13" i="9"/>
  <c r="G13" i="9"/>
  <c r="E13" i="9"/>
  <c r="BQ12" i="9"/>
  <c r="I12" i="9"/>
  <c r="G12" i="9"/>
  <c r="E12" i="9"/>
  <c r="BQ11" i="9"/>
  <c r="I11" i="9"/>
  <c r="G11" i="9"/>
  <c r="E11" i="9"/>
  <c r="BQ10" i="9"/>
  <c r="I10" i="9"/>
  <c r="G10" i="9"/>
  <c r="E10" i="9"/>
  <c r="BQ9" i="9"/>
  <c r="I9" i="9"/>
  <c r="G9" i="9"/>
  <c r="E9" i="9"/>
  <c r="BQ8" i="9"/>
  <c r="I8" i="9"/>
  <c r="G8" i="9"/>
  <c r="E8" i="9"/>
  <c r="BQ7" i="9"/>
  <c r="I7" i="9"/>
  <c r="G7" i="9"/>
  <c r="E7" i="9"/>
  <c r="I6" i="9"/>
  <c r="G6" i="9"/>
  <c r="E6" i="9"/>
  <c r="BR90" i="9" l="1"/>
  <c r="AX90" i="9"/>
  <c r="BO90" i="9" s="1"/>
  <c r="BP90" i="9" s="1"/>
  <c r="BR56" i="9"/>
  <c r="AX56" i="9"/>
  <c r="BO56" i="9" s="1"/>
  <c r="BP56" i="9" s="1"/>
  <c r="AX61" i="9"/>
  <c r="N18" i="10"/>
  <c r="AZ61" i="9"/>
  <c r="N19" i="10"/>
  <c r="BD61" i="9"/>
  <c r="N17" i="10"/>
  <c r="BO92" i="9"/>
  <c r="BP92" i="9" s="1"/>
  <c r="BO95" i="9"/>
  <c r="BP95" i="9" s="1"/>
  <c r="BO101" i="9"/>
  <c r="BP101" i="9" s="1"/>
  <c r="BO91" i="9"/>
  <c r="BP91" i="9" s="1"/>
  <c r="BO94" i="9"/>
  <c r="BP94" i="9" s="1"/>
  <c r="BO98" i="9"/>
  <c r="BP98" i="9" s="1"/>
  <c r="BO100" i="9"/>
  <c r="BP100" i="9" s="1"/>
  <c r="BO103" i="9"/>
  <c r="BP103" i="9" s="1"/>
  <c r="BO104" i="9"/>
  <c r="BP104" i="9" s="1"/>
  <c r="BO97" i="9"/>
  <c r="BP97" i="9" s="1"/>
  <c r="BO61" i="9"/>
  <c r="BP61" i="9" s="1"/>
  <c r="BO71" i="9"/>
  <c r="BP71" i="9" s="1"/>
  <c r="BR93" i="9"/>
  <c r="BQ93" i="9" s="1"/>
  <c r="AX93" i="9"/>
  <c r="BO93" i="9" s="1"/>
  <c r="BP93" i="9" s="1"/>
  <c r="BR96" i="9"/>
  <c r="AX96" i="9"/>
  <c r="BO96" i="9" s="1"/>
  <c r="BP96" i="9" s="1"/>
  <c r="BR99" i="9"/>
  <c r="AX99" i="9"/>
  <c r="BO99" i="9" s="1"/>
  <c r="BP99" i="9" s="1"/>
  <c r="BR102" i="9"/>
  <c r="BQ102" i="9" s="1"/>
  <c r="AX102" i="9"/>
  <c r="BO102" i="9" s="1"/>
  <c r="BP102" i="9" s="1"/>
  <c r="BR105" i="9"/>
  <c r="AX105" i="9"/>
  <c r="BO105" i="9" s="1"/>
  <c r="BP105" i="9" s="1"/>
  <c r="BO58" i="9"/>
  <c r="BP58" i="9" s="1"/>
  <c r="BO63" i="9"/>
  <c r="BP63" i="9" s="1"/>
  <c r="BO64" i="9"/>
  <c r="BP64" i="9" s="1"/>
  <c r="BO68" i="9"/>
  <c r="BP68" i="9" s="1"/>
  <c r="BO70" i="9"/>
  <c r="BP70" i="9" s="1"/>
  <c r="BO57" i="9"/>
  <c r="BP57" i="9" s="1"/>
  <c r="BO60" i="9"/>
  <c r="BP60" i="9" s="1"/>
  <c r="BO66" i="9"/>
  <c r="BP66" i="9" s="1"/>
  <c r="BR59" i="9"/>
  <c r="AX59" i="9"/>
  <c r="BO59" i="9" s="1"/>
  <c r="BP59" i="9" s="1"/>
  <c r="BR62" i="9"/>
  <c r="AX62" i="9"/>
  <c r="BO62" i="9" s="1"/>
  <c r="BP62" i="9" s="1"/>
  <c r="BR65" i="9"/>
  <c r="AX65" i="9"/>
  <c r="BO65" i="9" s="1"/>
  <c r="BP65" i="9" s="1"/>
  <c r="BR69" i="9"/>
  <c r="BQ69" i="9" s="1"/>
  <c r="AX69" i="9"/>
  <c r="BO69" i="9" s="1"/>
  <c r="BP69" i="9" s="1"/>
  <c r="BR72" i="9"/>
  <c r="AX72" i="9"/>
  <c r="BO72" i="9" s="1"/>
  <c r="BP72" i="9" s="1"/>
  <c r="AX16" i="7"/>
  <c r="BM15" i="7"/>
  <c r="BR58" i="9"/>
  <c r="BQ58" i="9" s="1"/>
  <c r="BR61" i="9"/>
  <c r="BQ61" i="9" s="1"/>
  <c r="BR64" i="9"/>
  <c r="BQ64" i="9" s="1"/>
  <c r="BR68" i="9"/>
  <c r="BQ68" i="9" s="1"/>
  <c r="BR71" i="9"/>
  <c r="BQ71" i="9" s="1"/>
  <c r="BR92" i="9"/>
  <c r="BQ92" i="9" s="1"/>
  <c r="BR95" i="9"/>
  <c r="BQ95" i="9" s="1"/>
  <c r="BR98" i="9"/>
  <c r="BQ98" i="9" s="1"/>
  <c r="BR101" i="9"/>
  <c r="BQ101" i="9" s="1"/>
  <c r="BR104" i="9"/>
  <c r="BQ104" i="9" s="1"/>
  <c r="BR57" i="9"/>
  <c r="BQ57" i="9" s="1"/>
  <c r="BR60" i="9"/>
  <c r="BQ60" i="9" s="1"/>
  <c r="BR63" i="9"/>
  <c r="BQ63" i="9" s="1"/>
  <c r="BR66" i="9"/>
  <c r="BQ66" i="9" s="1"/>
  <c r="BR70" i="9"/>
  <c r="BQ70" i="9" s="1"/>
  <c r="BR91" i="9"/>
  <c r="BQ91" i="9" s="1"/>
  <c r="BR94" i="9"/>
  <c r="BQ94" i="9" s="1"/>
  <c r="BR97" i="9"/>
  <c r="BQ97" i="9" s="1"/>
  <c r="BR100" i="9"/>
  <c r="BQ100" i="9" s="1"/>
  <c r="BR103" i="9"/>
  <c r="BQ103" i="9" s="1"/>
  <c r="J27" i="9"/>
  <c r="J14" i="9"/>
  <c r="J26" i="9"/>
  <c r="J23" i="9"/>
  <c r="J80" i="9"/>
  <c r="J73" i="9"/>
  <c r="J75" i="9"/>
  <c r="J28" i="9"/>
  <c r="AY75" i="9"/>
  <c r="AZ75" i="9" s="1"/>
  <c r="BC76" i="9"/>
  <c r="BD76" i="9" s="1"/>
  <c r="BQ59" i="9"/>
  <c r="BC78" i="9"/>
  <c r="BD78" i="9" s="1"/>
  <c r="AY79" i="9"/>
  <c r="AZ79" i="9" s="1"/>
  <c r="BC80" i="9"/>
  <c r="BD80" i="9" s="1"/>
  <c r="AY81" i="9"/>
  <c r="AZ81" i="9" s="1"/>
  <c r="BC82" i="9"/>
  <c r="BD82" i="9" s="1"/>
  <c r="AY86" i="9"/>
  <c r="AZ86" i="9" s="1"/>
  <c r="BC87" i="9"/>
  <c r="BD87" i="9" s="1"/>
  <c r="BA75" i="9"/>
  <c r="BB75" i="9" s="1"/>
  <c r="AW76" i="9"/>
  <c r="AX76" i="9" s="1"/>
  <c r="BA79" i="9"/>
  <c r="BB79" i="9" s="1"/>
  <c r="AW80" i="9"/>
  <c r="AX80" i="9" s="1"/>
  <c r="BA81" i="9"/>
  <c r="BB81" i="9" s="1"/>
  <c r="AW82" i="9"/>
  <c r="AX82" i="9" s="1"/>
  <c r="BA83" i="9"/>
  <c r="BB83" i="9" s="1"/>
  <c r="AW85" i="9"/>
  <c r="AX85" i="9" s="1"/>
  <c r="BA88" i="9"/>
  <c r="BB88" i="9" s="1"/>
  <c r="AW89" i="9"/>
  <c r="AX89" i="9" s="1"/>
  <c r="J15" i="9"/>
  <c r="J16" i="9"/>
  <c r="J31" i="9"/>
  <c r="AY73" i="9"/>
  <c r="AZ73" i="9" s="1"/>
  <c r="J74" i="9"/>
  <c r="BA74" i="9"/>
  <c r="BB74" i="9" s="1"/>
  <c r="AY76" i="9"/>
  <c r="AZ76" i="9" s="1"/>
  <c r="J77" i="9"/>
  <c r="BC77" i="9"/>
  <c r="BD77" i="9" s="1"/>
  <c r="AY78" i="9"/>
  <c r="AZ78" i="9" s="1"/>
  <c r="AY80" i="9"/>
  <c r="AZ80" i="9" s="1"/>
  <c r="BC81" i="9"/>
  <c r="BD81" i="9" s="1"/>
  <c r="AY82" i="9"/>
  <c r="AZ82" i="9" s="1"/>
  <c r="J83" i="9"/>
  <c r="BC83" i="9"/>
  <c r="BD83" i="9" s="1"/>
  <c r="AY85" i="9"/>
  <c r="AZ85" i="9" s="1"/>
  <c r="J86" i="9"/>
  <c r="AY87" i="9"/>
  <c r="AZ87" i="9" s="1"/>
  <c r="BC88" i="9"/>
  <c r="BD88" i="9" s="1"/>
  <c r="AY89" i="9"/>
  <c r="AZ89" i="9" s="1"/>
  <c r="J97" i="9"/>
  <c r="BC73" i="9"/>
  <c r="BD73" i="9" s="1"/>
  <c r="BQ56" i="9"/>
  <c r="AW74" i="9"/>
  <c r="AY77" i="9"/>
  <c r="AZ77" i="9" s="1"/>
  <c r="AY83" i="9"/>
  <c r="AZ83" i="9" s="1"/>
  <c r="AY88" i="9"/>
  <c r="AZ88" i="9" s="1"/>
  <c r="BQ96" i="9"/>
  <c r="BA77" i="9"/>
  <c r="BB77" i="9" s="1"/>
  <c r="AW78" i="9"/>
  <c r="AX78" i="9" s="1"/>
  <c r="BA86" i="9"/>
  <c r="BB86" i="9" s="1"/>
  <c r="J103" i="9"/>
  <c r="J13" i="9"/>
  <c r="J18" i="9"/>
  <c r="J19" i="9"/>
  <c r="J22" i="9"/>
  <c r="J30" i="9"/>
  <c r="BA73" i="9"/>
  <c r="BB73" i="9" s="1"/>
  <c r="BC74" i="9"/>
  <c r="BD74" i="9" s="1"/>
  <c r="AW75" i="9"/>
  <c r="AX75" i="9" s="1"/>
  <c r="BA76" i="9"/>
  <c r="BB76" i="9" s="1"/>
  <c r="BA78" i="9"/>
  <c r="BB78" i="9" s="1"/>
  <c r="AW79" i="9"/>
  <c r="AX79" i="9" s="1"/>
  <c r="BA80" i="9"/>
  <c r="BB80" i="9" s="1"/>
  <c r="BA82" i="9"/>
  <c r="BB82" i="9" s="1"/>
  <c r="BA85" i="9"/>
  <c r="BB85" i="9" s="1"/>
  <c r="AW86" i="9"/>
  <c r="AX86" i="9" s="1"/>
  <c r="BA87" i="9"/>
  <c r="BB87" i="9" s="1"/>
  <c r="BA89" i="9"/>
  <c r="BB89" i="9" s="1"/>
  <c r="BQ90" i="9"/>
  <c r="J92" i="9"/>
  <c r="BQ99" i="9"/>
  <c r="J107" i="9"/>
  <c r="J111" i="9"/>
  <c r="J115" i="9"/>
  <c r="J119" i="9"/>
  <c r="J123" i="9"/>
  <c r="J125" i="9"/>
  <c r="J6" i="9"/>
  <c r="J8" i="9"/>
  <c r="J10" i="9"/>
  <c r="J12" i="9"/>
  <c r="J21" i="9"/>
  <c r="J24" i="9"/>
  <c r="J58" i="9"/>
  <c r="J90" i="9"/>
  <c r="J100" i="9"/>
  <c r="J104" i="9"/>
  <c r="BQ105" i="9"/>
  <c r="J106" i="9"/>
  <c r="J110" i="9"/>
  <c r="J114" i="9"/>
  <c r="J118" i="9"/>
  <c r="J122" i="9"/>
  <c r="J17" i="9"/>
  <c r="J29" i="9"/>
  <c r="J56" i="9"/>
  <c r="J87" i="9"/>
  <c r="J93" i="9"/>
  <c r="J101" i="9"/>
  <c r="J109" i="9"/>
  <c r="J113" i="9"/>
  <c r="J117" i="9"/>
  <c r="J121" i="9"/>
  <c r="J7" i="9"/>
  <c r="J9" i="9"/>
  <c r="J11" i="9"/>
  <c r="J20" i="9"/>
  <c r="J25" i="9"/>
  <c r="J76" i="9"/>
  <c r="J79" i="9"/>
  <c r="J82" i="9"/>
  <c r="BQ65" i="9"/>
  <c r="J85" i="9"/>
  <c r="J94" i="9"/>
  <c r="J96" i="9"/>
  <c r="J99" i="9"/>
  <c r="J108" i="9"/>
  <c r="J112" i="9"/>
  <c r="J116" i="9"/>
  <c r="J120" i="9"/>
  <c r="J124" i="9"/>
  <c r="BC75" i="9"/>
  <c r="BD75" i="9" s="1"/>
  <c r="J64" i="9"/>
  <c r="AW81" i="9"/>
  <c r="J62" i="9"/>
  <c r="BC79" i="9"/>
  <c r="BD79" i="9" s="1"/>
  <c r="BQ62" i="9"/>
  <c r="N25" i="10" s="1"/>
  <c r="J53" i="9"/>
  <c r="J54" i="9"/>
  <c r="AW77" i="9"/>
  <c r="AX77" i="9" s="1"/>
  <c r="J32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AW73" i="9"/>
  <c r="AX73" i="9" s="1"/>
  <c r="J59" i="9"/>
  <c r="J63" i="9"/>
  <c r="AW87" i="9"/>
  <c r="J88" i="9"/>
  <c r="AW88" i="9"/>
  <c r="AX88" i="9" s="1"/>
  <c r="J89" i="9"/>
  <c r="J72" i="9"/>
  <c r="BC89" i="9"/>
  <c r="BD89" i="9" s="1"/>
  <c r="BQ72" i="9"/>
  <c r="D81" i="9"/>
  <c r="J81" i="9" s="1"/>
  <c r="J60" i="9"/>
  <c r="J69" i="9"/>
  <c r="BC86" i="9"/>
  <c r="BD86" i="9" s="1"/>
  <c r="AY74" i="9"/>
  <c r="AZ74" i="9" s="1"/>
  <c r="J57" i="9"/>
  <c r="J78" i="9"/>
  <c r="J61" i="9"/>
  <c r="J65" i="9"/>
  <c r="J66" i="9"/>
  <c r="AW83" i="9"/>
  <c r="AX83" i="9" s="1"/>
  <c r="J68" i="9"/>
  <c r="BC85" i="9"/>
  <c r="BD85" i="9" s="1"/>
  <c r="J70" i="9"/>
  <c r="J102" i="9"/>
  <c r="J105" i="9"/>
  <c r="J71" i="9"/>
  <c r="J95" i="9"/>
  <c r="J98" i="9"/>
  <c r="J91" i="9"/>
  <c r="BO73" i="9" l="1"/>
  <c r="BP73" i="9" s="1"/>
  <c r="N24" i="10"/>
  <c r="BO77" i="9"/>
  <c r="BP77" i="9" s="1"/>
  <c r="BO80" i="9"/>
  <c r="BP80" i="9" s="1"/>
  <c r="BO83" i="9"/>
  <c r="BP83" i="9" s="1"/>
  <c r="BO88" i="9"/>
  <c r="BP88" i="9" s="1"/>
  <c r="BO82" i="9"/>
  <c r="BP82" i="9" s="1"/>
  <c r="BO89" i="9"/>
  <c r="BP89" i="9" s="1"/>
  <c r="BO75" i="9"/>
  <c r="BP75" i="9" s="1"/>
  <c r="BR87" i="9"/>
  <c r="BQ87" i="9" s="1"/>
  <c r="AX87" i="9"/>
  <c r="BO87" i="9" s="1"/>
  <c r="BP87" i="9" s="1"/>
  <c r="BR81" i="9"/>
  <c r="BQ81" i="9" s="1"/>
  <c r="AX81" i="9"/>
  <c r="BO81" i="9" s="1"/>
  <c r="BP81" i="9" s="1"/>
  <c r="BO86" i="9"/>
  <c r="BP86" i="9" s="1"/>
  <c r="BO79" i="9"/>
  <c r="BP79" i="9" s="1"/>
  <c r="BO85" i="9"/>
  <c r="BP85" i="9" s="1"/>
  <c r="BO78" i="9"/>
  <c r="BP78" i="9" s="1"/>
  <c r="M32" i="10" s="1"/>
  <c r="BR74" i="9"/>
  <c r="BQ74" i="9" s="1"/>
  <c r="AX74" i="9"/>
  <c r="BO74" i="9" s="1"/>
  <c r="BP74" i="9" s="1"/>
  <c r="BO76" i="9"/>
  <c r="BP76" i="9" s="1"/>
  <c r="AX17" i="7"/>
  <c r="BM16" i="7"/>
  <c r="BR86" i="9"/>
  <c r="BR82" i="9"/>
  <c r="BQ82" i="9" s="1"/>
  <c r="BR83" i="9"/>
  <c r="BR88" i="9"/>
  <c r="BQ88" i="9" s="1"/>
  <c r="BR73" i="9"/>
  <c r="BQ73" i="9" s="1"/>
  <c r="BR77" i="9"/>
  <c r="BR75" i="9"/>
  <c r="BQ75" i="9" s="1"/>
  <c r="BR85" i="9"/>
  <c r="BQ85" i="9" s="1"/>
  <c r="BR76" i="9"/>
  <c r="BQ76" i="9" s="1"/>
  <c r="BR79" i="9"/>
  <c r="BQ79" i="9" s="1"/>
  <c r="BR78" i="9"/>
  <c r="BQ78" i="9" s="1"/>
  <c r="BR89" i="9"/>
  <c r="BQ89" i="9" s="1"/>
  <c r="BR80" i="9"/>
  <c r="BQ80" i="9" s="1"/>
  <c r="BQ77" i="9"/>
  <c r="BQ86" i="9"/>
  <c r="BQ83" i="9"/>
  <c r="AX18" i="7" l="1"/>
  <c r="BM17" i="7"/>
  <c r="BA32" i="1"/>
  <c r="AX19" i="7" l="1"/>
  <c r="BM19" i="7" s="1"/>
  <c r="BM18" i="7"/>
  <c r="AV9" i="1"/>
  <c r="AT9" i="1"/>
  <c r="AH9" i="1" l="1"/>
  <c r="AF9" i="1"/>
  <c r="AN9" i="1"/>
  <c r="AL9" i="1"/>
  <c r="AJ9" i="1"/>
  <c r="AP9" i="1"/>
  <c r="AY9" i="1" l="1"/>
  <c r="AZ9" i="1" s="1"/>
  <c r="AY14" i="1"/>
  <c r="AY19" i="1"/>
  <c r="AY23" i="1"/>
  <c r="AY13" i="1"/>
  <c r="AY18" i="1"/>
  <c r="AY22" i="1"/>
  <c r="AY25" i="1"/>
  <c r="AY21" i="1"/>
  <c r="AY17" i="1"/>
  <c r="AY11" i="1"/>
  <c r="AY24" i="1"/>
  <c r="AY20" i="1"/>
  <c r="AY16" i="1"/>
  <c r="AY10" i="1"/>
  <c r="BA28" i="1" l="1"/>
  <c r="AY76" i="1" l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0" i="1"/>
  <c r="AY33" i="1"/>
  <c r="Z25" i="1"/>
  <c r="Z24" i="1"/>
  <c r="Z23" i="1"/>
  <c r="Z22" i="1"/>
  <c r="Z21" i="1"/>
  <c r="Z20" i="1"/>
  <c r="Z14" i="1"/>
  <c r="Z13" i="1"/>
  <c r="Z11" i="1"/>
  <c r="Z10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5" i="1"/>
  <c r="Z34" i="1"/>
  <c r="Z33" i="1"/>
  <c r="Z32" i="1"/>
  <c r="Z31" i="1"/>
  <c r="Z30" i="1"/>
  <c r="Z29" i="1"/>
  <c r="Z28" i="1"/>
  <c r="AY29" i="1" l="1"/>
  <c r="AY35" i="1"/>
  <c r="AY31" i="1"/>
  <c r="AZ31" i="1" s="1"/>
  <c r="AY38" i="1"/>
  <c r="AY28" i="1"/>
  <c r="AY30" i="1"/>
  <c r="AY32" i="1"/>
  <c r="AY34" i="1"/>
  <c r="AY37" i="1"/>
  <c r="AY39" i="1"/>
  <c r="AY41" i="1"/>
  <c r="AZ47" i="1"/>
  <c r="AZ42" i="1"/>
  <c r="AZ60" i="1"/>
  <c r="BA10" i="1"/>
  <c r="BA11" i="1"/>
  <c r="BA13" i="1"/>
  <c r="BA14" i="1"/>
  <c r="BA16" i="1"/>
  <c r="BA17" i="1"/>
  <c r="BA18" i="1"/>
  <c r="BA19" i="1"/>
  <c r="BA20" i="1"/>
  <c r="BA21" i="1"/>
  <c r="BA22" i="1"/>
  <c r="BA23" i="1"/>
  <c r="BA24" i="1"/>
  <c r="BA25" i="1"/>
  <c r="BA29" i="1"/>
  <c r="BA30" i="1"/>
  <c r="BA31" i="1"/>
  <c r="BA33" i="1"/>
  <c r="BA34" i="1"/>
  <c r="BA35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D22" i="10" l="1"/>
  <c r="I76" i="1"/>
  <c r="G76" i="1"/>
  <c r="E76" i="1"/>
  <c r="I75" i="1"/>
  <c r="G75" i="1"/>
  <c r="E75" i="1"/>
  <c r="I74" i="1"/>
  <c r="G74" i="1"/>
  <c r="E74" i="1"/>
  <c r="I73" i="1"/>
  <c r="G73" i="1"/>
  <c r="E73" i="1"/>
  <c r="I72" i="1"/>
  <c r="G72" i="1"/>
  <c r="E72" i="1"/>
  <c r="I71" i="1"/>
  <c r="G71" i="1"/>
  <c r="E71" i="1"/>
  <c r="I70" i="1"/>
  <c r="G70" i="1"/>
  <c r="E70" i="1"/>
  <c r="I69" i="1"/>
  <c r="G69" i="1"/>
  <c r="E69" i="1"/>
  <c r="I68" i="1"/>
  <c r="G68" i="1"/>
  <c r="E68" i="1"/>
  <c r="I67" i="1"/>
  <c r="G67" i="1"/>
  <c r="E67" i="1"/>
  <c r="I66" i="1"/>
  <c r="G66" i="1"/>
  <c r="E66" i="1"/>
  <c r="I65" i="1"/>
  <c r="G65" i="1"/>
  <c r="E65" i="1"/>
  <c r="I64" i="1"/>
  <c r="G64" i="1"/>
  <c r="E64" i="1"/>
  <c r="I63" i="1"/>
  <c r="G63" i="1"/>
  <c r="E63" i="1"/>
  <c r="I62" i="1"/>
  <c r="G62" i="1"/>
  <c r="E62" i="1"/>
  <c r="I61" i="1"/>
  <c r="G61" i="1"/>
  <c r="E61" i="1"/>
  <c r="I60" i="1"/>
  <c r="G60" i="1"/>
  <c r="E60" i="1"/>
  <c r="I59" i="1"/>
  <c r="G59" i="1"/>
  <c r="E59" i="1"/>
  <c r="I58" i="1"/>
  <c r="G58" i="1"/>
  <c r="E58" i="1"/>
  <c r="I57" i="1"/>
  <c r="G57" i="1"/>
  <c r="E57" i="1"/>
  <c r="I56" i="1"/>
  <c r="G56" i="1"/>
  <c r="E56" i="1"/>
  <c r="I55" i="1"/>
  <c r="G55" i="1"/>
  <c r="E55" i="1"/>
  <c r="I54" i="1"/>
  <c r="G54" i="1"/>
  <c r="E54" i="1"/>
  <c r="I53" i="1"/>
  <c r="G53" i="1"/>
  <c r="E53" i="1"/>
  <c r="I10" i="1"/>
  <c r="I11" i="1"/>
  <c r="I13" i="1"/>
  <c r="I14" i="1"/>
  <c r="I16" i="1"/>
  <c r="I17" i="1"/>
  <c r="I18" i="1"/>
  <c r="I19" i="1"/>
  <c r="I20" i="1"/>
  <c r="I21" i="1"/>
  <c r="I22" i="1"/>
  <c r="I23" i="1"/>
  <c r="I24" i="1"/>
  <c r="I25" i="1"/>
  <c r="I28" i="1"/>
  <c r="I29" i="1"/>
  <c r="I30" i="1"/>
  <c r="I31" i="1"/>
  <c r="I32" i="1"/>
  <c r="I33" i="1"/>
  <c r="I34" i="1"/>
  <c r="I35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G10" i="1"/>
  <c r="G11" i="1"/>
  <c r="G13" i="1"/>
  <c r="G14" i="1"/>
  <c r="G16" i="1"/>
  <c r="G17" i="1"/>
  <c r="G18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E10" i="1"/>
  <c r="E11" i="1"/>
  <c r="E13" i="1"/>
  <c r="E14" i="1"/>
  <c r="E16" i="1"/>
  <c r="E17" i="1"/>
  <c r="E18" i="1"/>
  <c r="E19" i="1"/>
  <c r="E20" i="1"/>
  <c r="E21" i="1"/>
  <c r="E22" i="1"/>
  <c r="E23" i="1"/>
  <c r="E24" i="1"/>
  <c r="E25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I9" i="1"/>
  <c r="E9" i="1"/>
  <c r="G9" i="1" l="1"/>
  <c r="G8" i="1"/>
  <c r="J8" i="1" s="1"/>
  <c r="G7" i="1"/>
  <c r="J7" i="1" s="1"/>
  <c r="G6" i="1"/>
  <c r="J6" i="1" s="1"/>
  <c r="BA53" i="1"/>
  <c r="BA57" i="1"/>
  <c r="BA55" i="1"/>
  <c r="BA75" i="1"/>
  <c r="BA73" i="1"/>
  <c r="BA71" i="1"/>
  <c r="BA69" i="1"/>
  <c r="BA67" i="1"/>
  <c r="BA65" i="1"/>
  <c r="BA63" i="1"/>
  <c r="BA61" i="1"/>
  <c r="BA59" i="1"/>
  <c r="BA54" i="1"/>
  <c r="BA56" i="1"/>
  <c r="BA76" i="1"/>
  <c r="BA74" i="1"/>
  <c r="BA72" i="1"/>
  <c r="BA70" i="1"/>
  <c r="BA68" i="1"/>
  <c r="BA66" i="1"/>
  <c r="BA64" i="1"/>
  <c r="BA62" i="1"/>
  <c r="BA60" i="1"/>
  <c r="BA58" i="1"/>
  <c r="J54" i="1"/>
  <c r="J58" i="1"/>
  <c r="J62" i="1"/>
  <c r="J66" i="1"/>
  <c r="J70" i="1"/>
  <c r="J74" i="1"/>
  <c r="J55" i="1"/>
  <c r="J59" i="1"/>
  <c r="J63" i="1"/>
  <c r="J67" i="1"/>
  <c r="J71" i="1"/>
  <c r="J75" i="1"/>
  <c r="J53" i="1"/>
  <c r="J57" i="1"/>
  <c r="J61" i="1"/>
  <c r="J65" i="1"/>
  <c r="J69" i="1"/>
  <c r="J73" i="1"/>
  <c r="J56" i="1"/>
  <c r="J60" i="1"/>
  <c r="J64" i="1"/>
  <c r="J68" i="1"/>
  <c r="J72" i="1"/>
  <c r="J76" i="1"/>
  <c r="J47" i="1"/>
  <c r="J39" i="1"/>
  <c r="J34" i="1"/>
  <c r="J24" i="1"/>
  <c r="J16" i="1"/>
  <c r="J28" i="1"/>
  <c r="J50" i="1"/>
  <c r="J42" i="1"/>
  <c r="J33" i="1"/>
  <c r="J23" i="1"/>
  <c r="J14" i="1"/>
  <c r="J51" i="1"/>
  <c r="J43" i="1"/>
  <c r="J30" i="1"/>
  <c r="J20" i="1"/>
  <c r="J10" i="1"/>
  <c r="J49" i="1"/>
  <c r="J37" i="1"/>
  <c r="J22" i="1"/>
  <c r="J13" i="1"/>
  <c r="J45" i="1"/>
  <c r="J41" i="1"/>
  <c r="J32" i="1"/>
  <c r="J18" i="1"/>
  <c r="J52" i="1"/>
  <c r="J48" i="1"/>
  <c r="J44" i="1"/>
  <c r="J40" i="1"/>
  <c r="J35" i="1"/>
  <c r="J31" i="1"/>
  <c r="J25" i="1"/>
  <c r="J21" i="1"/>
  <c r="J17" i="1"/>
  <c r="J11" i="1"/>
  <c r="J46" i="1"/>
  <c r="J38" i="1"/>
  <c r="J29" i="1"/>
  <c r="J19" i="1"/>
  <c r="J9" i="1"/>
  <c r="P46" i="2"/>
  <c r="K46" i="2"/>
  <c r="AZ22" i="1" l="1"/>
  <c r="AZ25" i="1"/>
  <c r="AZ21" i="1"/>
  <c r="AZ37" i="1"/>
  <c r="AZ17" i="1"/>
  <c r="AZ48" i="1"/>
  <c r="AZ16" i="1"/>
  <c r="AZ30" i="1"/>
  <c r="AZ19" i="1"/>
  <c r="AZ33" i="1"/>
  <c r="AZ11" i="1"/>
  <c r="AZ39" i="1"/>
  <c r="AZ51" i="1"/>
  <c r="AZ50" i="1"/>
  <c r="AZ20" i="1"/>
  <c r="AZ23" i="1"/>
  <c r="AZ13" i="1"/>
  <c r="AZ18" i="1"/>
  <c r="AZ10" i="1"/>
  <c r="AZ24" i="1"/>
  <c r="AZ14" i="1"/>
  <c r="AZ34" i="1"/>
  <c r="AZ38" i="1"/>
  <c r="AZ44" i="1"/>
  <c r="AZ41" i="1"/>
  <c r="AZ56" i="1"/>
  <c r="AZ43" i="1"/>
  <c r="AZ67" i="1"/>
  <c r="AZ53" i="1"/>
  <c r="AZ72" i="1"/>
  <c r="AZ52" i="1"/>
  <c r="C32" i="10" s="1"/>
  <c r="AZ32" i="1"/>
  <c r="AZ49" i="1"/>
  <c r="AZ54" i="1"/>
  <c r="AZ40" i="1"/>
  <c r="AZ28" i="1"/>
  <c r="AZ45" i="1"/>
  <c r="AZ75" i="1"/>
  <c r="AZ59" i="1"/>
  <c r="AZ69" i="1"/>
  <c r="AZ64" i="1"/>
  <c r="AZ76" i="1"/>
  <c r="AZ29" i="1"/>
  <c r="AZ46" i="1"/>
  <c r="AZ35" i="1"/>
  <c r="AZ62" i="1"/>
  <c r="AZ68" i="1"/>
  <c r="AZ73" i="1"/>
  <c r="AZ57" i="1"/>
  <c r="AZ66" i="1"/>
  <c r="AZ71" i="1"/>
  <c r="AZ63" i="1"/>
  <c r="AZ55" i="1"/>
  <c r="AZ61" i="1"/>
  <c r="AZ74" i="1"/>
  <c r="AZ58" i="1"/>
  <c r="AZ70" i="1"/>
  <c r="AZ65" i="1"/>
  <c r="G46" i="2"/>
  <c r="T79" i="2" l="1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P45" i="2" l="1"/>
  <c r="S8" i="4" l="1"/>
  <c r="S14" i="4"/>
  <c r="S13" i="4"/>
  <c r="S12" i="4"/>
  <c r="S11" i="4"/>
  <c r="S10" i="4"/>
  <c r="S9" i="4"/>
  <c r="S7" i="4"/>
  <c r="S6" i="4"/>
  <c r="S5" i="4"/>
  <c r="S4" i="4"/>
  <c r="S3" i="4"/>
  <c r="S2" i="4"/>
  <c r="T25" i="2" l="1"/>
  <c r="T2" i="3" l="1"/>
  <c r="T14" i="3"/>
  <c r="T13" i="3"/>
  <c r="T12" i="3"/>
  <c r="T11" i="3"/>
  <c r="T10" i="3"/>
  <c r="T9" i="3"/>
  <c r="T8" i="3"/>
  <c r="T7" i="3"/>
  <c r="T6" i="3"/>
  <c r="T5" i="3"/>
  <c r="T4" i="3"/>
  <c r="T3" i="3"/>
  <c r="T7" i="2" l="1"/>
  <c r="T4" i="2"/>
  <c r="T5" i="2"/>
  <c r="T6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6" i="2"/>
  <c r="T27" i="2"/>
  <c r="T28" i="2"/>
  <c r="T29" i="2"/>
  <c r="T30" i="2"/>
  <c r="T31" i="2"/>
  <c r="T32" i="2"/>
  <c r="T33" i="2"/>
  <c r="T34" i="2"/>
  <c r="T35" i="2"/>
  <c r="T36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3" i="2"/>
  <c r="F38" i="2" l="1"/>
  <c r="T38" i="2" s="1"/>
  <c r="F39" i="2"/>
  <c r="T39" i="2" s="1"/>
  <c r="F40" i="2"/>
  <c r="T40" i="2" s="1"/>
  <c r="F41" i="2"/>
  <c r="T41" i="2" s="1"/>
  <c r="F42" i="2"/>
  <c r="T42" i="2" s="1"/>
  <c r="F43" i="2"/>
  <c r="T43" i="2" s="1"/>
  <c r="F44" i="2"/>
  <c r="T44" i="2" s="1"/>
  <c r="F45" i="2"/>
  <c r="T45" i="2" s="1"/>
  <c r="T46" i="2"/>
  <c r="F47" i="2"/>
  <c r="T47" i="2" s="1"/>
  <c r="F48" i="2"/>
  <c r="T48" i="2" s="1"/>
  <c r="F49" i="2"/>
  <c r="T49" i="2" s="1"/>
  <c r="F37" i="2"/>
  <c r="T37" i="2" s="1"/>
  <c r="BN7" i="7" l="1"/>
  <c r="BN9" i="7"/>
  <c r="BN10" i="7" l="1"/>
  <c r="BN12" i="7" l="1"/>
  <c r="BN13" i="7" l="1"/>
  <c r="BN14" i="7" l="1"/>
  <c r="BN15" i="7" l="1"/>
  <c r="BN16" i="7" l="1"/>
  <c r="H32" i="10" s="1"/>
  <c r="BN17" i="7" l="1"/>
  <c r="BN18" i="7" l="1"/>
  <c r="BN19" i="7" l="1"/>
</calcChain>
</file>

<file path=xl/sharedStrings.xml><?xml version="1.0" encoding="utf-8"?>
<sst xmlns="http://schemas.openxmlformats.org/spreadsheetml/2006/main" count="879" uniqueCount="176">
  <si>
    <t>TENSION</t>
  </si>
  <si>
    <t xml:space="preserve">TIPO </t>
  </si>
  <si>
    <t>KVA/LABOR</t>
  </si>
  <si>
    <t>1.1KV</t>
  </si>
  <si>
    <t>SCS</t>
  </si>
  <si>
    <t>KVA</t>
  </si>
  <si>
    <t>BOBINADO</t>
  </si>
  <si>
    <t>FIBRAS Y PAPELES</t>
  </si>
  <si>
    <t>LACADO</t>
  </si>
  <si>
    <t xml:space="preserve">ENSAMBLE </t>
  </si>
  <si>
    <t>TERMINADO</t>
  </si>
  <si>
    <t>TOTAL</t>
  </si>
  <si>
    <t>15/20/25/30</t>
  </si>
  <si>
    <t>50/60</t>
  </si>
  <si>
    <t>CORTE CULATAS</t>
  </si>
  <si>
    <t>PLEGADO CULATAS</t>
  </si>
  <si>
    <t>SOLDADO</t>
  </si>
  <si>
    <t>GRANALLADO</t>
  </si>
  <si>
    <t>PINTURA</t>
  </si>
  <si>
    <t>MARCADO</t>
  </si>
  <si>
    <t>N.A</t>
  </si>
  <si>
    <t>15KV</t>
  </si>
  <si>
    <t>CORTE DE PAPEL</t>
  </si>
  <si>
    <t>FIBRAS</t>
  </si>
  <si>
    <t>NUCLEOS CORTE</t>
  </si>
  <si>
    <t>ENSAMBLE</t>
  </si>
  <si>
    <t>PRUEBAS</t>
  </si>
  <si>
    <t>NUCLEO APILADO</t>
  </si>
  <si>
    <t>CORTE NUCLEOS</t>
  </si>
  <si>
    <t>FIBRAS PIENES</t>
  </si>
  <si>
    <t>36KV</t>
  </si>
  <si>
    <t>CNV</t>
  </si>
  <si>
    <t>35KV</t>
  </si>
  <si>
    <t>RDC</t>
  </si>
  <si>
    <t>MLL</t>
  </si>
  <si>
    <t>CORTE TANQUE</t>
  </si>
  <si>
    <t>PLEGADO TANQUE</t>
  </si>
  <si>
    <t>ENCUBE</t>
  </si>
  <si>
    <t>PRENSADO</t>
  </si>
  <si>
    <t xml:space="preserve">  </t>
  </si>
  <si>
    <t>RADIADORES</t>
  </si>
  <si>
    <t>N,A</t>
  </si>
  <si>
    <t>SOLDADO CUBICULOS</t>
  </si>
  <si>
    <t>TIEMPO</t>
  </si>
  <si>
    <t>COSTO HORA</t>
  </si>
  <si>
    <t>DISEÑO ELECTRICO</t>
  </si>
  <si>
    <t>DISEÑO MECÁNICO</t>
  </si>
  <si>
    <t>ESTRUCTURAS</t>
  </si>
  <si>
    <t>COSTO TOTAL SECCIÓN</t>
  </si>
  <si>
    <t>COSTO TOTAL PRODUCCIÓN</t>
  </si>
  <si>
    <t>DISEÑO</t>
  </si>
  <si>
    <t>PRODUCCIÓN METÁLICO</t>
  </si>
  <si>
    <t>PRODUCCIÓN TESLA</t>
  </si>
  <si>
    <t>SERIE DE TENSIÓN</t>
  </si>
  <si>
    <t>CLASE H</t>
  </si>
  <si>
    <t>SOLDADO CULATAS</t>
  </si>
  <si>
    <t>SOLDADO TANQUE</t>
  </si>
  <si>
    <t>MARCACIÓN</t>
  </si>
  <si>
    <t>ALISTAMIENTO MATERIAL</t>
  </si>
  <si>
    <t>ALISTAMIENTO DE MATERIAL</t>
  </si>
  <si>
    <t>AISLAMIENTOS</t>
  </si>
  <si>
    <t xml:space="preserve">TERMINADO </t>
  </si>
  <si>
    <t>PUESOS DE TRABAJO</t>
  </si>
  <si>
    <t>DISEÑO MECANICO</t>
  </si>
  <si>
    <t xml:space="preserve">ÁREA </t>
  </si>
  <si>
    <t>VALOR NOMINA/ HORA</t>
  </si>
  <si>
    <t>INGENIERIA</t>
  </si>
  <si>
    <t>PERSONA</t>
  </si>
  <si>
    <t>METALICO</t>
  </si>
  <si>
    <t>CORTE NUCLEO</t>
  </si>
  <si>
    <t>ARMADO NUCELO</t>
  </si>
  <si>
    <t>ALISTAMIENTO DE MATERIALES</t>
  </si>
  <si>
    <t>TESLA</t>
  </si>
  <si>
    <t>ALMACEN</t>
  </si>
  <si>
    <t>PEINES</t>
  </si>
  <si>
    <t>FIBRAS Y CUÑAS</t>
  </si>
  <si>
    <t xml:space="preserve">AISLAMIENTOS </t>
  </si>
  <si>
    <t>CLASE F</t>
  </si>
  <si>
    <t>COSTOS INDIRECTOS DE FABRICACIÓN</t>
  </si>
  <si>
    <t>2 VIAS</t>
  </si>
  <si>
    <t>3 VIAS</t>
  </si>
  <si>
    <t>4 VIAS</t>
  </si>
  <si>
    <t>5 VIAS</t>
  </si>
  <si>
    <t>aprox</t>
  </si>
  <si>
    <t>DPTO. FINANCIERO</t>
  </si>
  <si>
    <t>CORTE MUEBLE</t>
  </si>
  <si>
    <t>PLEGADO MUEBLE</t>
  </si>
  <si>
    <t>SOLDADO MUEBLE</t>
  </si>
  <si>
    <t>DISEÑO DE PLANOS</t>
  </si>
  <si>
    <t>DISEÑO CORTES</t>
  </si>
  <si>
    <t>CORTE CUBICULO</t>
  </si>
  <si>
    <t>PLEGADO CUBICULO</t>
  </si>
  <si>
    <t>SOLDADO CUBICULO</t>
  </si>
  <si>
    <t xml:space="preserve"> DISEÑO DE PLANOS</t>
  </si>
  <si>
    <t>LACADO BOBINAS</t>
  </si>
  <si>
    <t>TACAR BOBINAS</t>
  </si>
  <si>
    <t>FIBRAS ENSAMBLE</t>
  </si>
  <si>
    <t>LACADO BOBINAS ENSAMBLE</t>
  </si>
  <si>
    <t>GRANALLADO CULATAS</t>
  </si>
  <si>
    <t>PINTURA CULATAS</t>
  </si>
  <si>
    <t>GRANALLADO CUBICULO</t>
  </si>
  <si>
    <t>PINTURA CUBICULO</t>
  </si>
  <si>
    <t>GRANALLADO MUEBLE</t>
  </si>
  <si>
    <t>PINTURA MUEBLE</t>
  </si>
  <si>
    <t>GRANALLADO TANQUE</t>
  </si>
  <si>
    <t>PINTURA TANQUE</t>
  </si>
  <si>
    <t>CORTE BRIDA</t>
  </si>
  <si>
    <t>PLEGADO BRIDA</t>
  </si>
  <si>
    <t>ARMADO BRIDA</t>
  </si>
  <si>
    <t>ARMADO NUCLEO</t>
  </si>
  <si>
    <t>ARMADO DE CULATAS</t>
  </si>
  <si>
    <t xml:space="preserve"> </t>
  </si>
  <si>
    <t>CELOSIAS CUBICULO</t>
  </si>
  <si>
    <t>CIF</t>
  </si>
  <si>
    <t>HORAS TOTALES</t>
  </si>
  <si>
    <t>Aux. de Materiales</t>
  </si>
  <si>
    <t>TOTAL HORAS</t>
  </si>
  <si>
    <t>CONSULTA</t>
  </si>
  <si>
    <t>TIPO</t>
  </si>
  <si>
    <t>SERIE</t>
  </si>
  <si>
    <t>PLANOS</t>
  </si>
  <si>
    <t>NUCLEO</t>
  </si>
  <si>
    <t>PINTOR</t>
  </si>
  <si>
    <t>SECOS SIN CUBICULO</t>
  </si>
  <si>
    <t>SECOSCON CUBICULO</t>
  </si>
  <si>
    <t>CRITERIOS</t>
  </si>
  <si>
    <t>E-S 200A-1D-200A</t>
  </si>
  <si>
    <t>E-S 600A-1D-600A</t>
  </si>
  <si>
    <t>E-S 600A-1D-200A</t>
  </si>
  <si>
    <t>E-S 200A-2D-200A</t>
  </si>
  <si>
    <t>E-S 600A-2D-600A</t>
  </si>
  <si>
    <t>E-S 600A-1D1-600A 1D2-200A</t>
  </si>
  <si>
    <t>E-S 600A-2D-200A</t>
  </si>
  <si>
    <t>E-S 200A-3D-200A</t>
  </si>
  <si>
    <t>E-S 600A-3D-600A</t>
  </si>
  <si>
    <t>E-S 600A-3D-200A</t>
  </si>
  <si>
    <t>E-S 600A-2D1-600A 1D2-200A</t>
  </si>
  <si>
    <t>E-S 600A-1D1-600A 2D2-200A</t>
  </si>
  <si>
    <t>E-S 200A-4D-200A</t>
  </si>
  <si>
    <t>E-S 600A-4D-600A</t>
  </si>
  <si>
    <t>E-S 600A-4D-200A</t>
  </si>
  <si>
    <t>E-S 600A-1D1-600A 3D2-200A</t>
  </si>
  <si>
    <t>E-S 600A-2D1-600A 2D2-200A</t>
  </si>
  <si>
    <t>E-S 600A-3D1-600A 1D2-200A</t>
  </si>
  <si>
    <t>CJM</t>
  </si>
  <si>
    <t>E-S 200A</t>
  </si>
  <si>
    <t>E-S 600A</t>
  </si>
  <si>
    <t xml:space="preserve">E-S 600A             </t>
  </si>
  <si>
    <t>6 VIAS</t>
  </si>
  <si>
    <t>TRAFOS EN ACEITE</t>
  </si>
  <si>
    <t>FIBRAS Y AIS</t>
  </si>
  <si>
    <t>CORYPLE</t>
  </si>
  <si>
    <t>1.1KV CON CUBICULO IP20</t>
  </si>
  <si>
    <t>1.1 KV CON CUBICULO IP66</t>
  </si>
  <si>
    <t>15kv</t>
  </si>
  <si>
    <t>RDC-OC</t>
  </si>
  <si>
    <t>LOGISTICA</t>
  </si>
  <si>
    <t>HORAS</t>
  </si>
  <si>
    <t>$/HR</t>
  </si>
  <si>
    <t>MO</t>
  </si>
  <si>
    <t>GIF</t>
  </si>
  <si>
    <t>10 KVA MONOFASICO</t>
  </si>
  <si>
    <t>Wilmer Bernal</t>
  </si>
  <si>
    <t>10 KVA</t>
  </si>
  <si>
    <t>M.O.</t>
  </si>
  <si>
    <t>CLASE H-MONOFASICOS</t>
  </si>
  <si>
    <t>RDC-SUM</t>
  </si>
  <si>
    <t>Oscar Millan</t>
  </si>
  <si>
    <t>SUM</t>
  </si>
  <si>
    <t>PUESTO</t>
  </si>
  <si>
    <t>COSTO POR HORA CON CARGAR PRESTACIONAL</t>
  </si>
  <si>
    <t>FIBRAS Y AISLANTES</t>
  </si>
  <si>
    <t>SOLDADOR</t>
  </si>
  <si>
    <t>CORTE</t>
  </si>
  <si>
    <t>PLEGADO</t>
  </si>
  <si>
    <t>Tesla1234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</si>
</sst>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&quot;$&quot;\ * #,##0_);_(&quot;$&quot;\ * \(#,##0\);_(&quot;$&quot;\ * &quot;-&quot;_);_(@_)"/>
    <numFmt numFmtId="165" formatCode="_(&quot;$&quot;\ * #,##0.00_);_(&quot;$&quot;\ * \(#,##0.00\);_(&quot;$&quot;\ * &quot;-&quot;??_);_(@_)"/>
    <numFmt numFmtId="166" formatCode="_-* #,##0.00_-;\-* #,##0.00_-;_-* &quot;-&quot;??_-;_-@_-"/>
    <numFmt numFmtId="167" formatCode="_-* #,##0.00\ _€_-;\-* #,##0.00\ _€_-;_-* &quot;-&quot;??\ _€_-;_-@_-"/>
    <numFmt numFmtId="168" formatCode="0.0"/>
    <numFmt numFmtId="169" formatCode="&quot;$&quot;#,##0"/>
    <numFmt numFmtId="170" formatCode="&quot;$&quot;\ 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indexed="47"/>
      <name val="Calibri"/>
      <family val="2"/>
      <charset val="1"/>
    </font>
    <font>
      <b/>
      <sz val="11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CCD0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</borders>
  <cellStyleXfs count="17">
    <xf numFmtId="0" fontId="0" fillId="0" borderId="0"/>
    <xf numFmtId="165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15" fillId="0" borderId="0"/>
    <xf numFmtId="0" fontId="15" fillId="0" borderId="0"/>
    <xf numFmtId="0" fontId="16" fillId="0" borderId="0"/>
    <xf numFmtId="164" fontId="1" fillId="0" borderId="0" applyFont="0" applyFill="0" applyBorder="0" applyAlignment="0" applyProtection="0"/>
  </cellStyleXfs>
  <cellXfs count="738">
    <xf numFmtId="0" fontId="0" fillId="0" borderId="0" xfId="0"/>
    <xf numFmtId="0" fontId="0" fillId="0" borderId="0" xfId="0"/>
    <xf numFmtId="0" fontId="0" fillId="0" borderId="0" xfId="0"/>
    <xf numFmtId="0" fontId="0" fillId="0" borderId="1" xfId="0" applyFill="1" applyBorder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 applyAlignment="1">
      <alignment horizontal="center" wrapText="1"/>
    </xf>
    <xf numFmtId="0" fontId="0" fillId="2" borderId="7" xfId="0" applyFill="1" applyBorder="1"/>
    <xf numFmtId="0" fontId="0" fillId="2" borderId="7" xfId="0" applyFill="1" applyBorder="1" applyAlignment="1">
      <alignment wrapText="1"/>
    </xf>
    <xf numFmtId="0" fontId="0" fillId="2" borderId="8" xfId="0" applyFill="1" applyBorder="1"/>
    <xf numFmtId="2" fontId="0" fillId="11" borderId="10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2" borderId="17" xfId="0" applyFill="1" applyBorder="1"/>
    <xf numFmtId="2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1" xfId="0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27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7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28" xfId="0" applyBorder="1"/>
    <xf numFmtId="0" fontId="0" fillId="0" borderId="29" xfId="0" applyBorder="1"/>
    <xf numFmtId="2" fontId="0" fillId="0" borderId="7" xfId="0" applyNumberForma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7" xfId="0" applyBorder="1" applyAlignment="1">
      <alignment vertical="center"/>
    </xf>
    <xf numFmtId="0" fontId="0" fillId="0" borderId="18" xfId="0" applyBorder="1"/>
    <xf numFmtId="0" fontId="0" fillId="5" borderId="20" xfId="0" applyFill="1" applyBorder="1" applyAlignment="1">
      <alignment horizontal="center"/>
    </xf>
    <xf numFmtId="0" fontId="0" fillId="0" borderId="6" xfId="0" applyBorder="1" applyAlignment="1">
      <alignment vertical="center"/>
    </xf>
    <xf numFmtId="0" fontId="0" fillId="5" borderId="22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6" xfId="0" applyBorder="1"/>
    <xf numFmtId="0" fontId="0" fillId="6" borderId="23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8" fontId="5" fillId="0" borderId="0" xfId="0" applyNumberFormat="1" applyFont="1" applyAlignment="1">
      <alignment horizontal="center" vertical="center"/>
    </xf>
    <xf numFmtId="168" fontId="5" fillId="0" borderId="15" xfId="0" applyNumberFormat="1" applyFont="1" applyFill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168" fontId="5" fillId="0" borderId="16" xfId="0" applyNumberFormat="1" applyFont="1" applyBorder="1" applyAlignment="1">
      <alignment horizontal="center" vertical="center"/>
    </xf>
    <xf numFmtId="168" fontId="5" fillId="0" borderId="17" xfId="0" applyNumberFormat="1" applyFont="1" applyFill="1" applyBorder="1" applyAlignment="1">
      <alignment horizontal="center" vertical="center"/>
    </xf>
    <xf numFmtId="168" fontId="5" fillId="0" borderId="24" xfId="0" applyNumberFormat="1" applyFont="1" applyFill="1" applyBorder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3" fontId="12" fillId="0" borderId="0" xfId="0" applyNumberFormat="1" applyFont="1" applyAlignment="1">
      <alignment horizontal="right" vertical="center"/>
    </xf>
    <xf numFmtId="3" fontId="0" fillId="0" borderId="0" xfId="0" applyNumberFormat="1" applyAlignment="1">
      <alignment horizontal="center"/>
    </xf>
    <xf numFmtId="3" fontId="13" fillId="13" borderId="1" xfId="0" applyNumberFormat="1" applyFont="1" applyFill="1" applyBorder="1" applyAlignment="1">
      <alignment horizontal="center" vertical="center" wrapText="1"/>
    </xf>
    <xf numFmtId="169" fontId="9" fillId="0" borderId="4" xfId="0" applyNumberFormat="1" applyFont="1" applyFill="1" applyBorder="1" applyAlignment="1">
      <alignment horizontal="center" vertical="center"/>
    </xf>
    <xf numFmtId="169" fontId="12" fillId="0" borderId="23" xfId="0" applyNumberFormat="1" applyFont="1" applyFill="1" applyBorder="1" applyAlignment="1">
      <alignment horizontal="center" vertical="center"/>
    </xf>
    <xf numFmtId="3" fontId="13" fillId="14" borderId="1" xfId="0" applyNumberFormat="1" applyFont="1" applyFill="1" applyBorder="1" applyAlignment="1">
      <alignment horizontal="right" vertical="center" wrapText="1"/>
    </xf>
    <xf numFmtId="0" fontId="6" fillId="0" borderId="21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169" fontId="14" fillId="13" borderId="2" xfId="0" applyNumberFormat="1" applyFont="1" applyFill="1" applyBorder="1" applyAlignment="1">
      <alignment horizontal="center" vertical="center" wrapText="1"/>
    </xf>
    <xf numFmtId="169" fontId="14" fillId="14" borderId="3" xfId="0" applyNumberFormat="1" applyFont="1" applyFill="1" applyBorder="1" applyAlignment="1">
      <alignment horizontal="center" vertical="center" wrapText="1"/>
    </xf>
    <xf numFmtId="169" fontId="9" fillId="0" borderId="7" xfId="0" applyNumberFormat="1" applyFont="1" applyFill="1" applyBorder="1" applyAlignment="1">
      <alignment horizontal="center" vertical="center"/>
    </xf>
    <xf numFmtId="169" fontId="12" fillId="0" borderId="8" xfId="0" applyNumberFormat="1" applyFont="1" applyFill="1" applyBorder="1" applyAlignment="1">
      <alignment horizontal="center" vertical="center"/>
    </xf>
    <xf numFmtId="169" fontId="9" fillId="0" borderId="6" xfId="0" applyNumberFormat="1" applyFont="1" applyFill="1" applyBorder="1" applyAlignment="1">
      <alignment horizontal="center" vertical="center"/>
    </xf>
    <xf numFmtId="169" fontId="9" fillId="0" borderId="1" xfId="0" applyNumberFormat="1" applyFont="1" applyFill="1" applyBorder="1" applyAlignment="1">
      <alignment horizontal="center" vertical="center"/>
    </xf>
    <xf numFmtId="169" fontId="9" fillId="0" borderId="13" xfId="0" applyNumberFormat="1" applyFont="1" applyFill="1" applyBorder="1" applyAlignment="1">
      <alignment horizontal="center" vertical="center"/>
    </xf>
    <xf numFmtId="0" fontId="5" fillId="0" borderId="1" xfId="0" applyFont="1" applyBorder="1"/>
    <xf numFmtId="169" fontId="12" fillId="0" borderId="20" xfId="0" applyNumberFormat="1" applyFont="1" applyFill="1" applyBorder="1" applyAlignment="1">
      <alignment horizontal="center" vertical="center"/>
    </xf>
    <xf numFmtId="169" fontId="12" fillId="0" borderId="40" xfId="0" applyNumberFormat="1" applyFont="1" applyFill="1" applyBorder="1" applyAlignment="1">
      <alignment horizontal="center" vertical="center"/>
    </xf>
    <xf numFmtId="168" fontId="9" fillId="0" borderId="1" xfId="0" applyNumberFormat="1" applyFont="1" applyFill="1" applyBorder="1" applyAlignment="1">
      <alignment horizontal="center" vertical="center"/>
    </xf>
    <xf numFmtId="168" fontId="9" fillId="0" borderId="7" xfId="0" applyNumberFormat="1" applyFont="1" applyFill="1" applyBorder="1" applyAlignment="1">
      <alignment horizontal="center" vertical="center"/>
    </xf>
    <xf numFmtId="168" fontId="9" fillId="0" borderId="13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8" fontId="5" fillId="0" borderId="7" xfId="0" applyNumberFormat="1" applyFont="1" applyFill="1" applyBorder="1" applyAlignment="1">
      <alignment horizontal="center" vertical="center"/>
    </xf>
    <xf numFmtId="168" fontId="5" fillId="0" borderId="13" xfId="0" applyNumberFormat="1" applyFont="1" applyBorder="1" applyAlignment="1">
      <alignment horizontal="center" vertical="center"/>
    </xf>
    <xf numFmtId="168" fontId="5" fillId="0" borderId="13" xfId="0" applyNumberFormat="1" applyFont="1" applyFill="1" applyBorder="1" applyAlignment="1">
      <alignment horizontal="center" vertical="center"/>
    </xf>
    <xf numFmtId="169" fontId="12" fillId="0" borderId="10" xfId="0" applyNumberFormat="1" applyFont="1" applyFill="1" applyBorder="1" applyAlignment="1">
      <alignment horizontal="center" vertical="center"/>
    </xf>
    <xf numFmtId="0" fontId="0" fillId="10" borderId="1" xfId="0" applyFill="1" applyBorder="1"/>
    <xf numFmtId="169" fontId="8" fillId="16" borderId="1" xfId="1" applyNumberFormat="1" applyFont="1" applyFill="1" applyBorder="1"/>
    <xf numFmtId="169" fontId="5" fillId="0" borderId="1" xfId="0" applyNumberFormat="1" applyFont="1" applyBorder="1"/>
    <xf numFmtId="169" fontId="0" fillId="0" borderId="2" xfId="0" applyNumberFormat="1" applyFill="1" applyBorder="1"/>
    <xf numFmtId="169" fontId="0" fillId="0" borderId="0" xfId="0" applyNumberFormat="1"/>
    <xf numFmtId="2" fontId="5" fillId="0" borderId="0" xfId="0" applyNumberFormat="1" applyFont="1" applyAlignment="1">
      <alignment horizontal="right" vertical="center"/>
    </xf>
    <xf numFmtId="2" fontId="5" fillId="0" borderId="0" xfId="0" applyNumberFormat="1" applyFont="1"/>
    <xf numFmtId="2" fontId="0" fillId="0" borderId="0" xfId="0" applyNumberFormat="1"/>
    <xf numFmtId="0" fontId="5" fillId="0" borderId="0" xfId="0" applyFont="1"/>
    <xf numFmtId="0" fontId="17" fillId="2" borderId="1" xfId="0" applyFont="1" applyFill="1" applyBorder="1"/>
    <xf numFmtId="0" fontId="2" fillId="2" borderId="1" xfId="0" applyFont="1" applyFill="1" applyBorder="1"/>
    <xf numFmtId="169" fontId="14" fillId="14" borderId="13" xfId="0" applyNumberFormat="1" applyFont="1" applyFill="1" applyBorder="1" applyAlignment="1">
      <alignment horizontal="center" vertical="center" wrapText="1"/>
    </xf>
    <xf numFmtId="3" fontId="13" fillId="14" borderId="10" xfId="0" applyNumberFormat="1" applyFont="1" applyFill="1" applyBorder="1" applyAlignment="1">
      <alignment horizontal="right" vertical="center" wrapText="1"/>
    </xf>
    <xf numFmtId="169" fontId="14" fillId="14" borderId="14" xfId="0" applyNumberFormat="1" applyFont="1" applyFill="1" applyBorder="1" applyAlignment="1">
      <alignment horizontal="center" vertical="center" wrapText="1"/>
    </xf>
    <xf numFmtId="0" fontId="10" fillId="14" borderId="52" xfId="0" applyFont="1" applyFill="1" applyBorder="1" applyAlignment="1">
      <alignment horizontal="center" vertical="center" wrapText="1"/>
    </xf>
    <xf numFmtId="0" fontId="10" fillId="12" borderId="48" xfId="0" applyFont="1" applyFill="1" applyBorder="1" applyAlignment="1">
      <alignment horizontal="center" vertical="center" wrapText="1"/>
    </xf>
    <xf numFmtId="3" fontId="13" fillId="14" borderId="33" xfId="0" applyNumberFormat="1" applyFont="1" applyFill="1" applyBorder="1" applyAlignment="1">
      <alignment horizontal="right" vertical="center" wrapText="1"/>
    </xf>
    <xf numFmtId="169" fontId="14" fillId="14" borderId="49" xfId="0" applyNumberFormat="1" applyFont="1" applyFill="1" applyBorder="1" applyAlignment="1">
      <alignment horizontal="center" vertical="center" wrapText="1"/>
    </xf>
    <xf numFmtId="169" fontId="12" fillId="0" borderId="22" xfId="0" applyNumberFormat="1" applyFont="1" applyFill="1" applyBorder="1" applyAlignment="1">
      <alignment horizontal="center" vertical="center"/>
    </xf>
    <xf numFmtId="3" fontId="13" fillId="12" borderId="10" xfId="0" applyNumberFormat="1" applyFont="1" applyFill="1" applyBorder="1" applyAlignment="1">
      <alignment horizontal="right" vertical="center" wrapText="1"/>
    </xf>
    <xf numFmtId="169" fontId="14" fillId="12" borderId="14" xfId="0" applyNumberFormat="1" applyFont="1" applyFill="1" applyBorder="1" applyAlignment="1">
      <alignment horizontal="center" vertical="center" wrapText="1"/>
    </xf>
    <xf numFmtId="3" fontId="13" fillId="12" borderId="27" xfId="0" applyNumberFormat="1" applyFont="1" applyFill="1" applyBorder="1" applyAlignment="1">
      <alignment horizontal="right" vertical="center" wrapText="1"/>
    </xf>
    <xf numFmtId="169" fontId="14" fillId="12" borderId="43" xfId="0" applyNumberFormat="1" applyFont="1" applyFill="1" applyBorder="1" applyAlignment="1">
      <alignment horizontal="center" vertical="center" wrapText="1"/>
    </xf>
    <xf numFmtId="0" fontId="6" fillId="0" borderId="52" xfId="0" applyFont="1" applyFill="1" applyBorder="1" applyAlignment="1">
      <alignment horizontal="center" vertical="center"/>
    </xf>
    <xf numFmtId="0" fontId="6" fillId="0" borderId="58" xfId="0" applyFont="1" applyFill="1" applyBorder="1" applyAlignment="1">
      <alignment horizontal="center" vertical="center"/>
    </xf>
    <xf numFmtId="0" fontId="6" fillId="0" borderId="58" xfId="0" applyFont="1" applyBorder="1" applyAlignment="1">
      <alignment horizontal="center"/>
    </xf>
    <xf numFmtId="0" fontId="6" fillId="0" borderId="59" xfId="0" applyFont="1" applyBorder="1" applyAlignment="1">
      <alignment horizontal="center"/>
    </xf>
    <xf numFmtId="169" fontId="14" fillId="12" borderId="38" xfId="0" applyNumberFormat="1" applyFont="1" applyFill="1" applyBorder="1" applyAlignment="1">
      <alignment horizontal="center" vertical="center" wrapText="1"/>
    </xf>
    <xf numFmtId="169" fontId="12" fillId="0" borderId="21" xfId="0" applyNumberFormat="1" applyFont="1" applyFill="1" applyBorder="1" applyAlignment="1">
      <alignment horizontal="center" vertical="center"/>
    </xf>
    <xf numFmtId="0" fontId="10" fillId="0" borderId="58" xfId="0" applyFont="1" applyFill="1" applyBorder="1" applyAlignment="1">
      <alignment horizontal="center" vertical="center" wrapText="1"/>
    </xf>
    <xf numFmtId="0" fontId="10" fillId="0" borderId="59" xfId="0" applyFont="1" applyFill="1" applyBorder="1" applyAlignment="1">
      <alignment horizontal="center" vertical="center" wrapText="1"/>
    </xf>
    <xf numFmtId="168" fontId="9" fillId="0" borderId="36" xfId="0" applyNumberFormat="1" applyFont="1" applyFill="1" applyBorder="1" applyAlignment="1">
      <alignment horizontal="center" vertical="center"/>
    </xf>
    <xf numFmtId="168" fontId="9" fillId="0" borderId="27" xfId="0" applyNumberFormat="1" applyFont="1" applyFill="1" applyBorder="1" applyAlignment="1">
      <alignment horizontal="center" vertical="center"/>
    </xf>
    <xf numFmtId="168" fontId="9" fillId="0" borderId="37" xfId="0" applyNumberFormat="1" applyFont="1" applyFill="1" applyBorder="1" applyAlignment="1">
      <alignment horizontal="center" vertical="center"/>
    </xf>
    <xf numFmtId="0" fontId="6" fillId="0" borderId="53" xfId="0" applyFont="1" applyFill="1" applyBorder="1" applyAlignment="1">
      <alignment horizontal="center" vertical="center"/>
    </xf>
    <xf numFmtId="0" fontId="6" fillId="0" borderId="58" xfId="0" applyFont="1" applyFill="1" applyBorder="1" applyAlignment="1">
      <alignment horizontal="center"/>
    </xf>
    <xf numFmtId="0" fontId="6" fillId="0" borderId="59" xfId="0" applyFont="1" applyFill="1" applyBorder="1" applyAlignment="1">
      <alignment horizontal="center"/>
    </xf>
    <xf numFmtId="168" fontId="5" fillId="0" borderId="36" xfId="0" applyNumberFormat="1" applyFont="1" applyFill="1" applyBorder="1" applyAlignment="1">
      <alignment horizontal="center" vertical="center"/>
    </xf>
    <xf numFmtId="168" fontId="5" fillId="0" borderId="27" xfId="0" applyNumberFormat="1" applyFont="1" applyFill="1" applyBorder="1" applyAlignment="1">
      <alignment horizontal="center" vertical="center"/>
    </xf>
    <xf numFmtId="168" fontId="5" fillId="0" borderId="37" xfId="0" applyNumberFormat="1" applyFont="1" applyFill="1" applyBorder="1" applyAlignment="1">
      <alignment horizontal="center" vertical="center"/>
    </xf>
    <xf numFmtId="168" fontId="5" fillId="0" borderId="27" xfId="0" applyNumberFormat="1" applyFont="1" applyBorder="1" applyAlignment="1">
      <alignment horizontal="center" vertical="center"/>
    </xf>
    <xf numFmtId="168" fontId="5" fillId="0" borderId="37" xfId="0" applyNumberFormat="1" applyFont="1" applyBorder="1" applyAlignment="1">
      <alignment horizontal="center" vertical="center"/>
    </xf>
    <xf numFmtId="169" fontId="14" fillId="12" borderId="25" xfId="0" applyNumberFormat="1" applyFont="1" applyFill="1" applyBorder="1" applyAlignment="1">
      <alignment horizontal="center" vertical="center" wrapText="1"/>
    </xf>
    <xf numFmtId="0" fontId="6" fillId="0" borderId="23" xfId="0" applyFont="1" applyFill="1" applyBorder="1" applyAlignment="1">
      <alignment horizontal="center"/>
    </xf>
    <xf numFmtId="168" fontId="5" fillId="0" borderId="19" xfId="0" applyNumberFormat="1" applyFont="1" applyFill="1" applyBorder="1" applyAlignment="1">
      <alignment horizontal="center" vertical="center"/>
    </xf>
    <xf numFmtId="0" fontId="6" fillId="0" borderId="68" xfId="0" applyFont="1" applyFill="1" applyBorder="1" applyAlignment="1">
      <alignment horizontal="center"/>
    </xf>
    <xf numFmtId="168" fontId="5" fillId="0" borderId="69" xfId="0" applyNumberFormat="1" applyFont="1" applyFill="1" applyBorder="1" applyAlignment="1">
      <alignment horizontal="center" vertical="center"/>
    </xf>
    <xf numFmtId="169" fontId="9" fillId="0" borderId="67" xfId="0" applyNumberFormat="1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77" xfId="0" applyFont="1" applyFill="1" applyBorder="1" applyAlignment="1">
      <alignment horizontal="center" vertical="center"/>
    </xf>
    <xf numFmtId="168" fontId="5" fillId="0" borderId="78" xfId="0" applyNumberFormat="1" applyFont="1" applyFill="1" applyBorder="1" applyAlignment="1">
      <alignment horizontal="center" vertical="center"/>
    </xf>
    <xf numFmtId="169" fontId="9" fillId="0" borderId="79" xfId="0" applyNumberFormat="1" applyFont="1" applyFill="1" applyBorder="1" applyAlignment="1">
      <alignment horizontal="center" vertical="center"/>
    </xf>
    <xf numFmtId="0" fontId="6" fillId="0" borderId="77" xfId="0" applyFont="1" applyFill="1" applyBorder="1" applyAlignment="1">
      <alignment horizontal="center"/>
    </xf>
    <xf numFmtId="0" fontId="6" fillId="0" borderId="82" xfId="0" applyFont="1" applyBorder="1" applyAlignment="1">
      <alignment horizontal="center"/>
    </xf>
    <xf numFmtId="168" fontId="5" fillId="0" borderId="69" xfId="0" applyNumberFormat="1" applyFont="1" applyBorder="1" applyAlignment="1">
      <alignment horizontal="center" vertical="center"/>
    </xf>
    <xf numFmtId="169" fontId="7" fillId="15" borderId="38" xfId="0" applyNumberFormat="1" applyFont="1" applyFill="1" applyBorder="1" applyAlignment="1">
      <alignment horizontal="right"/>
    </xf>
    <xf numFmtId="169" fontId="8" fillId="16" borderId="2" xfId="1" applyNumberFormat="1" applyFont="1" applyFill="1" applyBorder="1"/>
    <xf numFmtId="169" fontId="7" fillId="15" borderId="81" xfId="0" applyNumberFormat="1" applyFont="1" applyFill="1" applyBorder="1" applyAlignment="1">
      <alignment horizontal="right"/>
    </xf>
    <xf numFmtId="169" fontId="8" fillId="16" borderId="67" xfId="1" applyNumberFormat="1" applyFont="1" applyFill="1" applyBorder="1"/>
    <xf numFmtId="169" fontId="8" fillId="16" borderId="3" xfId="1" applyNumberFormat="1" applyFont="1" applyFill="1" applyBorder="1"/>
    <xf numFmtId="169" fontId="7" fillId="15" borderId="1" xfId="0" applyNumberFormat="1" applyFont="1" applyFill="1" applyBorder="1" applyAlignment="1">
      <alignment horizontal="right"/>
    </xf>
    <xf numFmtId="169" fontId="7" fillId="15" borderId="42" xfId="0" applyNumberFormat="1" applyFont="1" applyFill="1" applyBorder="1" applyAlignment="1">
      <alignment horizontal="right"/>
    </xf>
    <xf numFmtId="169" fontId="7" fillId="15" borderId="84" xfId="0" applyNumberFormat="1" applyFont="1" applyFill="1" applyBorder="1" applyAlignment="1">
      <alignment horizontal="right"/>
    </xf>
    <xf numFmtId="169" fontId="8" fillId="16" borderId="76" xfId="1" applyNumberFormat="1" applyFont="1" applyFill="1" applyBorder="1"/>
    <xf numFmtId="3" fontId="13" fillId="14" borderId="10" xfId="0" applyNumberFormat="1" applyFont="1" applyFill="1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center"/>
    </xf>
    <xf numFmtId="3" fontId="18" fillId="14" borderId="1" xfId="0" applyNumberFormat="1" applyFont="1" applyFill="1" applyBorder="1" applyAlignment="1">
      <alignment horizontal="center" vertical="center" wrapText="1"/>
    </xf>
    <xf numFmtId="3" fontId="18" fillId="14" borderId="10" xfId="0" applyNumberFormat="1" applyFont="1" applyFill="1" applyBorder="1" applyAlignment="1">
      <alignment horizontal="center" vertical="center" wrapText="1"/>
    </xf>
    <xf numFmtId="169" fontId="14" fillId="14" borderId="18" xfId="0" applyNumberFormat="1" applyFont="1" applyFill="1" applyBorder="1" applyAlignment="1">
      <alignment horizontal="center" vertical="center" wrapText="1"/>
    </xf>
    <xf numFmtId="169" fontId="12" fillId="0" borderId="72" xfId="0" applyNumberFormat="1" applyFont="1" applyFill="1" applyBorder="1" applyAlignment="1">
      <alignment horizontal="center" vertical="center"/>
    </xf>
    <xf numFmtId="169" fontId="12" fillId="0" borderId="80" xfId="0" applyNumberFormat="1" applyFont="1" applyFill="1" applyBorder="1" applyAlignment="1">
      <alignment horizontal="center" vertical="center"/>
    </xf>
    <xf numFmtId="3" fontId="13" fillId="14" borderId="21" xfId="0" applyNumberFormat="1" applyFont="1" applyFill="1" applyBorder="1" applyAlignment="1">
      <alignment horizontal="center" vertical="center" wrapText="1"/>
    </xf>
    <xf numFmtId="169" fontId="14" fillId="14" borderId="22" xfId="0" applyNumberFormat="1" applyFont="1" applyFill="1" applyBorder="1" applyAlignment="1">
      <alignment horizontal="center" vertical="center" wrapText="1"/>
    </xf>
    <xf numFmtId="0" fontId="10" fillId="14" borderId="51" xfId="0" applyFont="1" applyFill="1" applyBorder="1" applyAlignment="1">
      <alignment vertical="center"/>
    </xf>
    <xf numFmtId="0" fontId="10" fillId="14" borderId="44" xfId="0" applyFont="1" applyFill="1" applyBorder="1" applyAlignment="1">
      <alignment vertical="center"/>
    </xf>
    <xf numFmtId="0" fontId="10" fillId="14" borderId="45" xfId="0" applyFont="1" applyFill="1" applyBorder="1" applyAlignment="1">
      <alignment vertical="center"/>
    </xf>
    <xf numFmtId="0" fontId="10" fillId="14" borderId="41" xfId="0" applyFont="1" applyFill="1" applyBorder="1" applyAlignment="1">
      <alignment vertical="center"/>
    </xf>
    <xf numFmtId="0" fontId="10" fillId="14" borderId="50" xfId="0" applyFont="1" applyFill="1" applyBorder="1" applyAlignment="1">
      <alignment vertical="center" wrapText="1"/>
    </xf>
    <xf numFmtId="0" fontId="10" fillId="14" borderId="46" xfId="0" applyFont="1" applyFill="1" applyBorder="1" applyAlignment="1">
      <alignment vertical="center" wrapText="1"/>
    </xf>
    <xf numFmtId="0" fontId="10" fillId="12" borderId="62" xfId="0" applyFont="1" applyFill="1" applyBorder="1" applyAlignment="1">
      <alignment vertical="center"/>
    </xf>
    <xf numFmtId="0" fontId="10" fillId="12" borderId="63" xfId="0" applyFont="1" applyFill="1" applyBorder="1" applyAlignment="1">
      <alignment vertical="center"/>
    </xf>
    <xf numFmtId="0" fontId="10" fillId="12" borderId="64" xfId="0" applyFont="1" applyFill="1" applyBorder="1" applyAlignment="1">
      <alignment vertical="center"/>
    </xf>
    <xf numFmtId="3" fontId="5" fillId="0" borderId="0" xfId="0" applyNumberFormat="1" applyFont="1" applyAlignment="1">
      <alignment horizontal="right" vertical="center"/>
    </xf>
    <xf numFmtId="0" fontId="20" fillId="0" borderId="0" xfId="0" applyFont="1" applyAlignment="1">
      <alignment horizontal="right"/>
    </xf>
    <xf numFmtId="0" fontId="10" fillId="0" borderId="93" xfId="0" applyFont="1" applyFill="1" applyBorder="1" applyAlignment="1">
      <alignment horizontal="center" vertical="center" wrapText="1"/>
    </xf>
    <xf numFmtId="168" fontId="5" fillId="0" borderId="4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168" fontId="5" fillId="0" borderId="16" xfId="0" applyNumberFormat="1" applyFont="1" applyFill="1" applyBorder="1" applyAlignment="1">
      <alignment horizontal="center" vertical="center"/>
    </xf>
    <xf numFmtId="168" fontId="5" fillId="0" borderId="19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17" xfId="0" applyNumberFormat="1" applyFont="1" applyBorder="1" applyAlignment="1">
      <alignment horizontal="center" vertical="center"/>
    </xf>
    <xf numFmtId="168" fontId="5" fillId="0" borderId="7" xfId="0" applyNumberFormat="1" applyFont="1" applyBorder="1" applyAlignment="1">
      <alignment horizontal="center" vertical="center"/>
    </xf>
    <xf numFmtId="3" fontId="5" fillId="0" borderId="0" xfId="0" applyNumberFormat="1" applyFont="1" applyAlignment="1">
      <alignment horizontal="center"/>
    </xf>
    <xf numFmtId="168" fontId="11" fillId="12" borderId="54" xfId="0" applyNumberFormat="1" applyFont="1" applyFill="1" applyBorder="1" applyAlignment="1">
      <alignment vertical="center"/>
    </xf>
    <xf numFmtId="168" fontId="11" fillId="12" borderId="60" xfId="0" applyNumberFormat="1" applyFont="1" applyFill="1" applyBorder="1" applyAlignment="1">
      <alignment horizontal="center" vertical="center"/>
    </xf>
    <xf numFmtId="3" fontId="13" fillId="12" borderId="26" xfId="0" applyNumberFormat="1" applyFont="1" applyFill="1" applyBorder="1" applyAlignment="1">
      <alignment horizontal="right" vertical="center" wrapText="1"/>
    </xf>
    <xf numFmtId="169" fontId="14" fillId="12" borderId="26" xfId="0" applyNumberFormat="1" applyFont="1" applyFill="1" applyBorder="1" applyAlignment="1">
      <alignment horizontal="center" vertical="center" wrapText="1"/>
    </xf>
    <xf numFmtId="3" fontId="13" fillId="12" borderId="23" xfId="0" applyNumberFormat="1" applyFont="1" applyFill="1" applyBorder="1" applyAlignment="1">
      <alignment horizontal="right" vertical="center" wrapText="1"/>
    </xf>
    <xf numFmtId="168" fontId="5" fillId="0" borderId="23" xfId="0" applyNumberFormat="1" applyFont="1" applyFill="1" applyBorder="1" applyAlignment="1">
      <alignment horizontal="center" vertical="center"/>
    </xf>
    <xf numFmtId="168" fontId="5" fillId="0" borderId="21" xfId="0" applyNumberFormat="1" applyFont="1" applyFill="1" applyBorder="1" applyAlignment="1">
      <alignment horizontal="center" vertical="center"/>
    </xf>
    <xf numFmtId="168" fontId="5" fillId="0" borderId="22" xfId="0" applyNumberFormat="1" applyFont="1" applyBorder="1" applyAlignment="1">
      <alignment horizontal="center" vertical="center"/>
    </xf>
    <xf numFmtId="168" fontId="5" fillId="0" borderId="29" xfId="0" applyNumberFormat="1" applyFont="1" applyFill="1" applyBorder="1" applyAlignment="1">
      <alignment horizontal="center" vertical="center"/>
    </xf>
    <xf numFmtId="0" fontId="10" fillId="0" borderId="53" xfId="0" applyFont="1" applyFill="1" applyBorder="1" applyAlignment="1">
      <alignment horizontal="center" vertical="center" wrapText="1"/>
    </xf>
    <xf numFmtId="0" fontId="10" fillId="0" borderId="52" xfId="0" applyFont="1" applyFill="1" applyBorder="1" applyAlignment="1">
      <alignment horizontal="center" vertical="center" wrapText="1"/>
    </xf>
    <xf numFmtId="169" fontId="12" fillId="17" borderId="7" xfId="0" applyNumberFormat="1" applyFont="1" applyFill="1" applyBorder="1" applyAlignment="1">
      <alignment horizontal="center" vertical="center"/>
    </xf>
    <xf numFmtId="169" fontId="12" fillId="17" borderId="1" xfId="0" applyNumberFormat="1" applyFont="1" applyFill="1" applyBorder="1" applyAlignment="1">
      <alignment horizontal="center" vertical="center"/>
    </xf>
    <xf numFmtId="169" fontId="12" fillId="17" borderId="20" xfId="0" applyNumberFormat="1" applyFont="1" applyFill="1" applyBorder="1" applyAlignment="1">
      <alignment horizontal="center" vertical="center"/>
    </xf>
    <xf numFmtId="169" fontId="12" fillId="17" borderId="23" xfId="0" applyNumberFormat="1" applyFont="1" applyFill="1" applyBorder="1" applyAlignment="1">
      <alignment horizontal="center" vertical="center"/>
    </xf>
    <xf numFmtId="169" fontId="12" fillId="17" borderId="81" xfId="0" applyNumberFormat="1" applyFont="1" applyFill="1" applyBorder="1" applyAlignment="1">
      <alignment horizontal="center" vertical="center"/>
    </xf>
    <xf numFmtId="169" fontId="12" fillId="17" borderId="28" xfId="0" applyNumberFormat="1" applyFont="1" applyFill="1" applyBorder="1" applyAlignment="1">
      <alignment horizontal="center" vertical="center"/>
    </xf>
    <xf numFmtId="169" fontId="12" fillId="17" borderId="70" xfId="0" applyNumberFormat="1" applyFont="1" applyFill="1" applyBorder="1" applyAlignment="1">
      <alignment horizontal="center" vertical="center"/>
    </xf>
    <xf numFmtId="169" fontId="12" fillId="17" borderId="77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 wrapText="1"/>
    </xf>
    <xf numFmtId="0" fontId="10" fillId="0" borderId="14" xfId="0" applyFont="1" applyFill="1" applyBorder="1" applyAlignment="1">
      <alignment horizontal="center" vertical="center" wrapText="1"/>
    </xf>
    <xf numFmtId="169" fontId="7" fillId="15" borderId="27" xfId="0" applyNumberFormat="1" applyFont="1" applyFill="1" applyBorder="1" applyAlignment="1">
      <alignment horizontal="right"/>
    </xf>
    <xf numFmtId="3" fontId="13" fillId="12" borderId="48" xfId="0" applyNumberFormat="1" applyFont="1" applyFill="1" applyBorder="1" applyAlignment="1">
      <alignment horizontal="right" vertical="center" wrapText="1"/>
    </xf>
    <xf numFmtId="169" fontId="14" fillId="12" borderId="0" xfId="0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/>
    </xf>
    <xf numFmtId="0" fontId="8" fillId="2" borderId="1" xfId="0" applyFont="1" applyFill="1" applyBorder="1"/>
    <xf numFmtId="2" fontId="12" fillId="0" borderId="50" xfId="0" applyNumberFormat="1" applyFont="1" applyFill="1" applyBorder="1" applyAlignment="1" applyProtection="1">
      <alignment horizontal="center" vertical="center"/>
      <protection locked="0"/>
    </xf>
    <xf numFmtId="2" fontId="12" fillId="0" borderId="56" xfId="0" applyNumberFormat="1" applyFont="1" applyFill="1" applyBorder="1" applyAlignment="1" applyProtection="1">
      <alignment horizontal="center" vertical="center"/>
      <protection locked="0"/>
    </xf>
    <xf numFmtId="2" fontId="12" fillId="0" borderId="15" xfId="0" applyNumberFormat="1" applyFont="1" applyFill="1" applyBorder="1" applyAlignment="1" applyProtection="1">
      <alignment horizontal="center" vertical="center"/>
      <protection locked="0"/>
    </xf>
    <xf numFmtId="2" fontId="12" fillId="0" borderId="94" xfId="0" applyNumberFormat="1" applyFont="1" applyFill="1" applyBorder="1" applyAlignment="1" applyProtection="1">
      <alignment horizontal="center" vertical="center"/>
      <protection locked="0"/>
    </xf>
    <xf numFmtId="2" fontId="12" fillId="0" borderId="85" xfId="0" applyNumberFormat="1" applyFont="1" applyFill="1" applyBorder="1" applyAlignment="1" applyProtection="1">
      <alignment horizontal="center" vertical="center"/>
      <protection locked="0"/>
    </xf>
    <xf numFmtId="2" fontId="12" fillId="0" borderId="86" xfId="0" applyNumberFormat="1" applyFont="1" applyFill="1" applyBorder="1" applyAlignment="1" applyProtection="1">
      <alignment horizontal="center" vertical="center"/>
      <protection locked="0"/>
    </xf>
    <xf numFmtId="2" fontId="12" fillId="0" borderId="87" xfId="0" applyNumberFormat="1" applyFont="1" applyFill="1" applyBorder="1" applyAlignment="1" applyProtection="1">
      <alignment horizontal="center" vertical="center"/>
      <protection locked="0"/>
    </xf>
    <xf numFmtId="2" fontId="12" fillId="0" borderId="78" xfId="0" applyNumberFormat="1" applyFont="1" applyFill="1" applyBorder="1" applyAlignment="1" applyProtection="1">
      <alignment horizontal="center" vertical="center"/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2" fontId="5" fillId="0" borderId="71" xfId="0" applyNumberFormat="1" applyFont="1" applyFill="1" applyBorder="1" applyAlignment="1" applyProtection="1">
      <alignment horizontal="center"/>
      <protection locked="0"/>
    </xf>
    <xf numFmtId="2" fontId="5" fillId="0" borderId="79" xfId="0" applyNumberFormat="1" applyFont="1" applyFill="1" applyBorder="1" applyAlignment="1" applyProtection="1">
      <alignment horizontal="center"/>
      <protection locked="0"/>
    </xf>
    <xf numFmtId="2" fontId="5" fillId="0" borderId="4" xfId="0" applyNumberFormat="1" applyFont="1" applyFill="1" applyBorder="1" applyAlignment="1" applyProtection="1">
      <alignment horizontal="center"/>
      <protection locked="0"/>
    </xf>
    <xf numFmtId="2" fontId="5" fillId="0" borderId="4" xfId="0" applyNumberFormat="1" applyFont="1" applyFill="1" applyBorder="1" applyAlignment="1" applyProtection="1">
      <alignment horizontal="center" vertical="center"/>
      <protection locked="0"/>
    </xf>
    <xf numFmtId="2" fontId="5" fillId="0" borderId="1" xfId="0" applyNumberFormat="1" applyFont="1" applyFill="1" applyBorder="1" applyAlignment="1" applyProtection="1">
      <alignment horizontal="center" vertical="center"/>
      <protection locked="0"/>
    </xf>
    <xf numFmtId="2" fontId="5" fillId="0" borderId="7" xfId="0" applyNumberFormat="1" applyFont="1" applyFill="1" applyBorder="1" applyAlignment="1" applyProtection="1">
      <alignment horizontal="center"/>
      <protection locked="0"/>
    </xf>
    <xf numFmtId="2" fontId="5" fillId="2" borderId="6" xfId="0" applyNumberFormat="1" applyFont="1" applyFill="1" applyBorder="1" applyAlignment="1" applyProtection="1">
      <alignment horizontal="center" vertical="center"/>
      <protection locked="0"/>
    </xf>
    <xf numFmtId="2" fontId="5" fillId="0" borderId="15" xfId="0" applyNumberFormat="1" applyFont="1" applyFill="1" applyBorder="1" applyAlignment="1" applyProtection="1">
      <alignment horizontal="center"/>
      <protection locked="0"/>
    </xf>
    <xf numFmtId="2" fontId="5" fillId="0" borderId="24" xfId="0" applyNumberFormat="1" applyFont="1" applyFill="1" applyBorder="1" applyAlignment="1" applyProtection="1">
      <alignment horizontal="center"/>
      <protection locked="0"/>
    </xf>
    <xf numFmtId="2" fontId="5" fillId="0" borderId="69" xfId="0" applyNumberFormat="1" applyFont="1" applyFill="1" applyBorder="1" applyAlignment="1" applyProtection="1">
      <alignment horizontal="center"/>
      <protection locked="0"/>
    </xf>
    <xf numFmtId="2" fontId="5" fillId="0" borderId="9" xfId="0" applyNumberFormat="1" applyFont="1" applyFill="1" applyBorder="1" applyAlignment="1" applyProtection="1">
      <alignment horizontal="center" vertical="center"/>
      <protection locked="0"/>
    </xf>
    <xf numFmtId="2" fontId="5" fillId="0" borderId="15" xfId="0" applyNumberFormat="1" applyFont="1" applyFill="1" applyBorder="1" applyAlignment="1" applyProtection="1">
      <alignment horizontal="center" vertical="center"/>
      <protection locked="0"/>
    </xf>
    <xf numFmtId="2" fontId="5" fillId="0" borderId="66" xfId="0" applyNumberFormat="1" applyFont="1" applyFill="1" applyBorder="1" applyAlignment="1" applyProtection="1">
      <alignment horizontal="center" vertical="center"/>
      <protection locked="0"/>
    </xf>
    <xf numFmtId="2" fontId="5" fillId="0" borderId="73" xfId="0" applyNumberFormat="1" applyFont="1" applyFill="1" applyBorder="1" applyAlignment="1" applyProtection="1">
      <alignment horizontal="center"/>
      <protection locked="0"/>
    </xf>
    <xf numFmtId="2" fontId="5" fillId="0" borderId="73" xfId="0" applyNumberFormat="1" applyFont="1" applyFill="1" applyBorder="1" applyAlignment="1" applyProtection="1">
      <alignment horizontal="center" vertical="center"/>
      <protection locked="0"/>
    </xf>
    <xf numFmtId="2" fontId="5" fillId="0" borderId="31" xfId="0" applyNumberFormat="1" applyFont="1" applyFill="1" applyBorder="1" applyAlignment="1" applyProtection="1">
      <alignment horizontal="center"/>
      <protection locked="0"/>
    </xf>
    <xf numFmtId="2" fontId="5" fillId="0" borderId="67" xfId="0" applyNumberFormat="1" applyFont="1" applyFill="1" applyBorder="1" applyAlignment="1" applyProtection="1">
      <alignment horizontal="center"/>
      <protection locked="0"/>
    </xf>
    <xf numFmtId="2" fontId="5" fillId="0" borderId="36" xfId="0" applyNumberFormat="1" applyFont="1" applyFill="1" applyBorder="1" applyAlignment="1" applyProtection="1">
      <alignment horizontal="center" vertical="center"/>
      <protection locked="0"/>
    </xf>
    <xf numFmtId="2" fontId="5" fillId="0" borderId="27" xfId="0" applyNumberFormat="1" applyFont="1" applyFill="1" applyBorder="1" applyAlignment="1" applyProtection="1">
      <alignment horizontal="center" vertical="center"/>
      <protection locked="0"/>
    </xf>
    <xf numFmtId="2" fontId="5" fillId="0" borderId="27" xfId="0" applyNumberFormat="1" applyFont="1" applyFill="1" applyBorder="1" applyAlignment="1" applyProtection="1">
      <alignment horizontal="center"/>
      <protection locked="0"/>
    </xf>
    <xf numFmtId="2" fontId="5" fillId="0" borderId="35" xfId="0" applyNumberFormat="1" applyFont="1" applyFill="1" applyBorder="1" applyAlignment="1" applyProtection="1">
      <alignment horizontal="center" vertical="center"/>
      <protection locked="0"/>
    </xf>
    <xf numFmtId="2" fontId="5" fillId="0" borderId="29" xfId="0" applyNumberFormat="1" applyFont="1" applyFill="1" applyBorder="1" applyAlignment="1" applyProtection="1">
      <alignment horizontal="center"/>
      <protection locked="0"/>
    </xf>
    <xf numFmtId="2" fontId="5" fillId="0" borderId="74" xfId="0" applyNumberFormat="1" applyFont="1" applyFill="1" applyBorder="1" applyAlignment="1" applyProtection="1">
      <alignment horizontal="center"/>
      <protection locked="0"/>
    </xf>
    <xf numFmtId="2" fontId="5" fillId="0" borderId="79" xfId="0" applyNumberFormat="1" applyFont="1" applyFill="1" applyBorder="1" applyAlignment="1" applyProtection="1">
      <alignment horizontal="center" vertical="center"/>
      <protection locked="0"/>
    </xf>
    <xf numFmtId="2" fontId="5" fillId="0" borderId="71" xfId="0" applyNumberFormat="1" applyFont="1" applyFill="1" applyBorder="1" applyAlignment="1" applyProtection="1">
      <alignment horizontal="center" vertical="center"/>
      <protection locked="0"/>
    </xf>
    <xf numFmtId="2" fontId="5" fillId="0" borderId="35" xfId="0" applyNumberFormat="1" applyFont="1" applyFill="1" applyBorder="1" applyAlignment="1" applyProtection="1">
      <alignment horizontal="center"/>
      <protection locked="0"/>
    </xf>
    <xf numFmtId="2" fontId="0" fillId="0" borderId="1" xfId="0" applyNumberFormat="1" applyBorder="1"/>
    <xf numFmtId="2" fontId="5" fillId="0" borderId="7" xfId="0" applyNumberFormat="1" applyFont="1" applyFill="1" applyBorder="1" applyAlignment="1" applyProtection="1">
      <alignment horizontal="center" vertical="center"/>
      <protection locked="0"/>
    </xf>
    <xf numFmtId="170" fontId="9" fillId="0" borderId="7" xfId="0" applyNumberFormat="1" applyFont="1" applyFill="1" applyBorder="1" applyAlignment="1" applyProtection="1">
      <alignment horizontal="center" vertical="center"/>
      <protection locked="0"/>
    </xf>
    <xf numFmtId="169" fontId="9" fillId="0" borderId="7" xfId="0" applyNumberFormat="1" applyFont="1" applyFill="1" applyBorder="1" applyAlignment="1" applyProtection="1">
      <alignment horizontal="center" vertical="center"/>
      <protection locked="0"/>
    </xf>
    <xf numFmtId="169" fontId="9" fillId="0" borderId="6" xfId="0" applyNumberFormat="1" applyFont="1" applyFill="1" applyBorder="1" applyAlignment="1" applyProtection="1">
      <alignment horizontal="center" vertical="center"/>
      <protection locked="0"/>
    </xf>
    <xf numFmtId="169" fontId="12" fillId="0" borderId="28" xfId="0" applyNumberFormat="1" applyFont="1" applyFill="1" applyBorder="1" applyAlignment="1" applyProtection="1">
      <alignment horizontal="center" vertical="center"/>
      <protection locked="0"/>
    </xf>
    <xf numFmtId="2" fontId="5" fillId="0" borderId="17" xfId="0" applyNumberFormat="1" applyFont="1" applyFill="1" applyBorder="1" applyAlignment="1" applyProtection="1">
      <alignment horizontal="center" vertical="center"/>
      <protection locked="0"/>
    </xf>
    <xf numFmtId="2" fontId="5" fillId="0" borderId="83" xfId="0" applyNumberFormat="1" applyFont="1" applyFill="1" applyBorder="1" applyAlignment="1" applyProtection="1">
      <alignment horizontal="center" vertical="center"/>
      <protection locked="0"/>
    </xf>
    <xf numFmtId="169" fontId="9" fillId="0" borderId="42" xfId="0" applyNumberFormat="1" applyFont="1" applyFill="1" applyBorder="1" applyAlignment="1" applyProtection="1">
      <alignment horizontal="center" vertical="center"/>
      <protection locked="0"/>
    </xf>
    <xf numFmtId="2" fontId="5" fillId="0" borderId="47" xfId="0" applyNumberFormat="1" applyFont="1" applyFill="1" applyBorder="1" applyAlignment="1" applyProtection="1">
      <alignment horizontal="center" vertical="center"/>
      <protection locked="0"/>
    </xf>
    <xf numFmtId="169" fontId="9" fillId="0" borderId="83" xfId="0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Fill="1" applyBorder="1" applyAlignment="1" applyProtection="1">
      <alignment horizontal="center" vertical="center"/>
      <protection locked="0"/>
    </xf>
    <xf numFmtId="2" fontId="5" fillId="0" borderId="19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0" fontId="6" fillId="2" borderId="52" xfId="0" applyFont="1" applyFill="1" applyBorder="1" applyAlignment="1">
      <alignment horizontal="center" vertical="center"/>
    </xf>
    <xf numFmtId="0" fontId="6" fillId="2" borderId="58" xfId="0" applyFont="1" applyFill="1" applyBorder="1" applyAlignment="1">
      <alignment horizontal="center"/>
    </xf>
    <xf numFmtId="169" fontId="8" fillId="16" borderId="21" xfId="1" applyNumberFormat="1" applyFont="1" applyFill="1" applyBorder="1"/>
    <xf numFmtId="169" fontId="8" fillId="16" borderId="68" xfId="1" applyNumberFormat="1" applyFont="1" applyFill="1" applyBorder="1"/>
    <xf numFmtId="169" fontId="8" fillId="16" borderId="23" xfId="1" applyNumberFormat="1" applyFont="1" applyFill="1" applyBorder="1"/>
    <xf numFmtId="169" fontId="8" fillId="16" borderId="22" xfId="1" applyNumberFormat="1" applyFont="1" applyFill="1" applyBorder="1"/>
    <xf numFmtId="169" fontId="8" fillId="16" borderId="20" xfId="1" applyNumberFormat="1" applyFont="1" applyFill="1" applyBorder="1"/>
    <xf numFmtId="169" fontId="0" fillId="0" borderId="7" xfId="0" applyNumberFormat="1" applyFont="1" applyFill="1" applyBorder="1" applyAlignment="1" applyProtection="1">
      <alignment horizontal="center" vertical="center"/>
      <protection locked="0"/>
    </xf>
    <xf numFmtId="2" fontId="5" fillId="2" borderId="7" xfId="0" applyNumberFormat="1" applyFont="1" applyFill="1" applyBorder="1" applyAlignment="1" applyProtection="1">
      <alignment horizontal="center" vertical="center"/>
      <protection locked="0"/>
    </xf>
    <xf numFmtId="169" fontId="12" fillId="0" borderId="8" xfId="0" applyNumberFormat="1" applyFont="1" applyFill="1" applyBorder="1" applyAlignment="1" applyProtection="1">
      <alignment horizontal="center" vertical="center"/>
      <protection locked="0"/>
    </xf>
    <xf numFmtId="2" fontId="5" fillId="2" borderId="1" xfId="0" applyNumberFormat="1" applyFont="1" applyFill="1" applyBorder="1" applyAlignment="1" applyProtection="1">
      <alignment horizontal="center" vertical="center"/>
      <protection locked="0"/>
    </xf>
    <xf numFmtId="2" fontId="5" fillId="2" borderId="4" xfId="0" applyNumberFormat="1" applyFont="1" applyFill="1" applyBorder="1" applyAlignment="1" applyProtection="1">
      <alignment horizontal="center" vertical="center"/>
      <protection locked="0"/>
    </xf>
    <xf numFmtId="2" fontId="5" fillId="0" borderId="16" xfId="0" applyNumberFormat="1" applyFont="1" applyFill="1" applyBorder="1" applyAlignment="1" applyProtection="1">
      <alignment horizontal="center" vertical="center"/>
      <protection locked="0"/>
    </xf>
    <xf numFmtId="2" fontId="5" fillId="0" borderId="13" xfId="0" applyNumberFormat="1" applyFont="1" applyFill="1" applyBorder="1" applyAlignment="1" applyProtection="1">
      <alignment horizontal="center" vertical="center"/>
      <protection locked="0"/>
    </xf>
    <xf numFmtId="2" fontId="5" fillId="0" borderId="13" xfId="0" applyNumberFormat="1" applyFont="1" applyFill="1" applyBorder="1" applyAlignment="1" applyProtection="1">
      <alignment horizontal="center"/>
      <protection locked="0"/>
    </xf>
    <xf numFmtId="2" fontId="5" fillId="2" borderId="13" xfId="0" applyNumberFormat="1" applyFont="1" applyFill="1" applyBorder="1" applyAlignment="1" applyProtection="1">
      <alignment horizontal="center" vertical="center"/>
      <protection locked="0"/>
    </xf>
    <xf numFmtId="2" fontId="5" fillId="0" borderId="16" xfId="0" applyNumberFormat="1" applyFont="1" applyFill="1" applyBorder="1" applyAlignment="1" applyProtection="1">
      <alignment horizontal="center"/>
      <protection locked="0"/>
    </xf>
    <xf numFmtId="2" fontId="5" fillId="0" borderId="7" xfId="0" applyNumberFormat="1" applyFont="1" applyBorder="1" applyAlignment="1" applyProtection="1">
      <alignment horizontal="center"/>
      <protection locked="0"/>
    </xf>
    <xf numFmtId="2" fontId="5" fillId="0" borderId="17" xfId="0" applyNumberFormat="1" applyFont="1" applyFill="1" applyBorder="1" applyAlignment="1" applyProtection="1">
      <alignment horizontal="center"/>
      <protection locked="0"/>
    </xf>
    <xf numFmtId="2" fontId="5" fillId="0" borderId="1" xfId="0" applyNumberFormat="1" applyFont="1" applyBorder="1" applyAlignment="1" applyProtection="1">
      <alignment horizontal="center"/>
      <protection locked="0"/>
    </xf>
    <xf numFmtId="2" fontId="5" fillId="0" borderId="37" xfId="0" applyNumberFormat="1" applyFont="1" applyFill="1" applyBorder="1" applyAlignment="1" applyProtection="1">
      <alignment horizontal="center"/>
      <protection locked="0"/>
    </xf>
    <xf numFmtId="2" fontId="5" fillId="0" borderId="13" xfId="0" applyNumberFormat="1" applyFont="1" applyBorder="1" applyAlignment="1" applyProtection="1">
      <alignment horizontal="center"/>
      <protection locked="0"/>
    </xf>
    <xf numFmtId="2" fontId="5" fillId="0" borderId="3" xfId="0" applyNumberFormat="1" applyFont="1" applyBorder="1" applyAlignment="1" applyProtection="1">
      <alignment horizontal="center"/>
      <protection locked="0"/>
    </xf>
    <xf numFmtId="2" fontId="5" fillId="0" borderId="3" xfId="0" applyNumberFormat="1" applyFont="1" applyFill="1" applyBorder="1" applyAlignment="1" applyProtection="1">
      <alignment horizontal="center"/>
      <protection locked="0"/>
    </xf>
    <xf numFmtId="2" fontId="5" fillId="0" borderId="20" xfId="0" applyNumberFormat="1" applyFont="1" applyFill="1" applyBorder="1" applyAlignment="1" applyProtection="1">
      <alignment horizontal="center" vertical="center"/>
      <protection locked="0"/>
    </xf>
    <xf numFmtId="2" fontId="5" fillId="2" borderId="7" xfId="0" applyNumberFormat="1" applyFont="1" applyFill="1" applyBorder="1" applyAlignment="1" applyProtection="1">
      <alignment horizontal="center"/>
      <protection locked="0"/>
    </xf>
    <xf numFmtId="2" fontId="5" fillId="0" borderId="22" xfId="0" applyNumberFormat="1" applyFont="1" applyFill="1" applyBorder="1" applyAlignment="1" applyProtection="1">
      <alignment horizontal="center" vertical="center"/>
      <protection locked="0"/>
    </xf>
    <xf numFmtId="2" fontId="5" fillId="2" borderId="13" xfId="0" applyNumberFormat="1" applyFont="1" applyFill="1" applyBorder="1" applyAlignment="1" applyProtection="1">
      <alignment horizontal="center"/>
      <protection locked="0"/>
    </xf>
    <xf numFmtId="2" fontId="5" fillId="0" borderId="7" xfId="0" applyNumberFormat="1" applyFont="1" applyBorder="1" applyAlignment="1" applyProtection="1">
      <alignment horizontal="center" vertical="center"/>
      <protection locked="0"/>
    </xf>
    <xf numFmtId="2" fontId="5" fillId="2" borderId="1" xfId="0" applyNumberFormat="1" applyFont="1" applyFill="1" applyBorder="1" applyAlignment="1" applyProtection="1">
      <alignment horizontal="center"/>
      <protection locked="0"/>
    </xf>
    <xf numFmtId="2" fontId="5" fillId="0" borderId="19" xfId="0" applyNumberFormat="1" applyFont="1" applyFill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/>
      <protection locked="0"/>
    </xf>
    <xf numFmtId="2" fontId="5" fillId="0" borderId="29" xfId="0" applyNumberFormat="1" applyFont="1" applyBorder="1" applyAlignment="1" applyProtection="1">
      <alignment horizontal="center"/>
      <protection locked="0"/>
    </xf>
    <xf numFmtId="2" fontId="5" fillId="0" borderId="27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60" xfId="0" applyFont="1" applyFill="1" applyBorder="1" applyAlignment="1">
      <alignment vertical="center"/>
    </xf>
    <xf numFmtId="0" fontId="7" fillId="0" borderId="61" xfId="0" applyFont="1" applyFill="1" applyBorder="1" applyAlignment="1">
      <alignment vertical="center"/>
    </xf>
    <xf numFmtId="169" fontId="12" fillId="17" borderId="32" xfId="0" applyNumberFormat="1" applyFont="1" applyFill="1" applyBorder="1" applyAlignment="1">
      <alignment horizontal="center" vertical="center"/>
    </xf>
    <xf numFmtId="169" fontId="12" fillId="17" borderId="48" xfId="0" applyNumberFormat="1" applyFont="1" applyFill="1" applyBorder="1" applyAlignment="1">
      <alignment horizontal="center" vertical="center"/>
    </xf>
    <xf numFmtId="169" fontId="12" fillId="17" borderId="96" xfId="0" applyNumberFormat="1" applyFont="1" applyFill="1" applyBorder="1" applyAlignment="1">
      <alignment horizontal="center" vertical="center"/>
    </xf>
    <xf numFmtId="0" fontId="0" fillId="18" borderId="1" xfId="0" applyFill="1" applyBorder="1" applyAlignment="1">
      <alignment vertical="center"/>
    </xf>
    <xf numFmtId="0" fontId="0" fillId="18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8" fillId="19" borderId="1" xfId="0" applyFont="1" applyFill="1" applyBorder="1" applyAlignment="1" applyProtection="1">
      <alignment horizontal="center"/>
      <protection locked="0"/>
    </xf>
    <xf numFmtId="169" fontId="12" fillId="17" borderId="4" xfId="0" applyNumberFormat="1" applyFont="1" applyFill="1" applyBorder="1" applyAlignment="1">
      <alignment horizontal="center" vertical="center"/>
    </xf>
    <xf numFmtId="3" fontId="13" fillId="19" borderId="10" xfId="0" applyNumberFormat="1" applyFont="1" applyFill="1" applyBorder="1" applyAlignment="1">
      <alignment horizontal="right" vertical="center" wrapText="1"/>
    </xf>
    <xf numFmtId="169" fontId="14" fillId="19" borderId="14" xfId="0" applyNumberFormat="1" applyFont="1" applyFill="1" applyBorder="1" applyAlignment="1">
      <alignment horizontal="center" vertical="center" wrapText="1"/>
    </xf>
    <xf numFmtId="3" fontId="13" fillId="20" borderId="10" xfId="0" applyNumberFormat="1" applyFont="1" applyFill="1" applyBorder="1" applyAlignment="1">
      <alignment horizontal="right" vertical="center" wrapText="1"/>
    </xf>
    <xf numFmtId="3" fontId="13" fillId="20" borderId="33" xfId="0" applyNumberFormat="1" applyFont="1" applyFill="1" applyBorder="1" applyAlignment="1">
      <alignment horizontal="right" vertical="center" wrapText="1"/>
    </xf>
    <xf numFmtId="169" fontId="14" fillId="20" borderId="14" xfId="0" applyNumberFormat="1" applyFont="1" applyFill="1" applyBorder="1" applyAlignment="1">
      <alignment horizontal="center" vertical="center" wrapText="1"/>
    </xf>
    <xf numFmtId="169" fontId="14" fillId="20" borderId="49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 applyProtection="1">
      <alignment horizontal="center"/>
    </xf>
    <xf numFmtId="2" fontId="0" fillId="13" borderId="4" xfId="0" applyNumberFormat="1" applyFill="1" applyBorder="1" applyAlignment="1">
      <alignment horizontal="center"/>
    </xf>
    <xf numFmtId="169" fontId="12" fillId="0" borderId="32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 applyProtection="1">
      <alignment horizontal="center"/>
      <protection locked="0"/>
    </xf>
    <xf numFmtId="0" fontId="2" fillId="0" borderId="5" xfId="0" applyFont="1" applyFill="1" applyBorder="1" applyAlignment="1">
      <alignment vertical="center" wrapText="1"/>
    </xf>
    <xf numFmtId="3" fontId="9" fillId="0" borderId="0" xfId="0" applyNumberFormat="1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0" fontId="24" fillId="9" borderId="0" xfId="0" applyFont="1" applyFill="1" applyAlignment="1"/>
    <xf numFmtId="0" fontId="27" fillId="9" borderId="0" xfId="0" applyFont="1" applyFill="1" applyAlignment="1"/>
    <xf numFmtId="164" fontId="0" fillId="6" borderId="1" xfId="0" applyNumberFormat="1" applyFill="1" applyBorder="1" applyAlignment="1">
      <alignment horizontal="center"/>
    </xf>
    <xf numFmtId="0" fontId="5" fillId="19" borderId="1" xfId="0" applyFont="1" applyFill="1" applyBorder="1" applyAlignment="1" applyProtection="1">
      <alignment horizontal="center"/>
      <protection locked="0"/>
    </xf>
    <xf numFmtId="0" fontId="8" fillId="18" borderId="1" xfId="0" applyFont="1" applyFill="1" applyBorder="1" applyAlignment="1">
      <alignment vertical="center"/>
    </xf>
    <xf numFmtId="0" fontId="8" fillId="18" borderId="27" xfId="0" applyFont="1" applyFill="1" applyBorder="1" applyAlignment="1">
      <alignment vertical="center"/>
    </xf>
    <xf numFmtId="0" fontId="0" fillId="18" borderId="27" xfId="0" applyFill="1" applyBorder="1" applyAlignment="1">
      <alignment vertical="center"/>
    </xf>
    <xf numFmtId="0" fontId="0" fillId="4" borderId="27" xfId="0" applyFill="1" applyBorder="1"/>
    <xf numFmtId="0" fontId="14" fillId="0" borderId="58" xfId="0" applyFont="1" applyFill="1" applyBorder="1" applyAlignment="1">
      <alignment horizontal="center" vertical="center"/>
    </xf>
    <xf numFmtId="22" fontId="0" fillId="0" borderId="0" xfId="0" applyNumberFormat="1" applyAlignment="1" applyProtection="1">
      <alignment vertical="center"/>
      <protection locked="0"/>
    </xf>
    <xf numFmtId="2" fontId="12" fillId="19" borderId="4" xfId="0" applyNumberFormat="1" applyFont="1" applyFill="1" applyBorder="1" applyAlignment="1" applyProtection="1">
      <alignment horizontal="center" vertical="center"/>
      <protection locked="0"/>
    </xf>
    <xf numFmtId="169" fontId="9" fillId="19" borderId="4" xfId="0" applyNumberFormat="1" applyFont="1" applyFill="1" applyBorder="1" applyAlignment="1" applyProtection="1">
      <alignment horizontal="center" vertical="center"/>
      <protection locked="0"/>
    </xf>
    <xf numFmtId="2" fontId="5" fillId="19" borderId="7" xfId="0" applyNumberFormat="1" applyFont="1" applyFill="1" applyBorder="1" applyAlignment="1" applyProtection="1">
      <alignment horizontal="center" vertical="center"/>
      <protection locked="0"/>
    </xf>
    <xf numFmtId="169" fontId="9" fillId="19" borderId="7" xfId="0" applyNumberFormat="1" applyFont="1" applyFill="1" applyBorder="1" applyAlignment="1" applyProtection="1">
      <alignment horizontal="center" vertical="center"/>
      <protection locked="0"/>
    </xf>
    <xf numFmtId="2" fontId="5" fillId="20" borderId="7" xfId="0" applyNumberFormat="1" applyFont="1" applyFill="1" applyBorder="1" applyAlignment="1" applyProtection="1">
      <alignment horizontal="center" vertical="center"/>
      <protection locked="0"/>
    </xf>
    <xf numFmtId="169" fontId="9" fillId="20" borderId="4" xfId="0" applyNumberFormat="1" applyFont="1" applyFill="1" applyBorder="1" applyAlignment="1" applyProtection="1">
      <alignment horizontal="center" vertical="center"/>
      <protection locked="0"/>
    </xf>
    <xf numFmtId="169" fontId="9" fillId="20" borderId="7" xfId="0" applyNumberFormat="1" applyFont="1" applyFill="1" applyBorder="1" applyAlignment="1" applyProtection="1">
      <alignment horizontal="center" vertical="center"/>
      <protection locked="0"/>
    </xf>
    <xf numFmtId="2" fontId="5" fillId="20" borderId="2" xfId="0" applyNumberFormat="1" applyFont="1" applyFill="1" applyBorder="1" applyAlignment="1" applyProtection="1">
      <alignment horizontal="center" vertical="center"/>
      <protection locked="0"/>
    </xf>
    <xf numFmtId="2" fontId="5" fillId="20" borderId="2" xfId="0" applyNumberFormat="1" applyFont="1" applyFill="1" applyBorder="1" applyAlignment="1" applyProtection="1">
      <alignment horizontal="center"/>
      <protection locked="0"/>
    </xf>
    <xf numFmtId="2" fontId="5" fillId="20" borderId="4" xfId="0" applyNumberFormat="1" applyFont="1" applyFill="1" applyBorder="1" applyAlignment="1" applyProtection="1">
      <alignment horizontal="center"/>
      <protection locked="0"/>
    </xf>
    <xf numFmtId="2" fontId="5" fillId="2" borderId="60" xfId="0" applyNumberFormat="1" applyFont="1" applyFill="1" applyBorder="1" applyAlignment="1" applyProtection="1">
      <alignment horizontal="center" vertical="center"/>
      <protection locked="0"/>
    </xf>
    <xf numFmtId="169" fontId="9" fillId="0" borderId="43" xfId="0" applyNumberFormat="1" applyFont="1" applyFill="1" applyBorder="1" applyAlignment="1" applyProtection="1">
      <alignment horizontal="center" vertical="center"/>
      <protection locked="0"/>
    </xf>
    <xf numFmtId="169" fontId="12" fillId="0" borderId="25" xfId="0" applyNumberFormat="1" applyFont="1" applyFill="1" applyBorder="1" applyAlignment="1" applyProtection="1">
      <alignment horizontal="center" vertical="center"/>
      <protection locked="0"/>
    </xf>
    <xf numFmtId="169" fontId="9" fillId="0" borderId="46" xfId="0" applyNumberFormat="1" applyFont="1" applyFill="1" applyBorder="1" applyAlignment="1" applyProtection="1">
      <alignment horizontal="center" vertical="center"/>
      <protection locked="0"/>
    </xf>
    <xf numFmtId="2" fontId="5" fillId="2" borderId="52" xfId="0" applyNumberFormat="1" applyFont="1" applyFill="1" applyBorder="1" applyAlignment="1" applyProtection="1">
      <alignment horizontal="center" vertical="center"/>
      <protection locked="0"/>
    </xf>
    <xf numFmtId="169" fontId="9" fillId="0" borderId="17" xfId="0" applyNumberFormat="1" applyFont="1" applyFill="1" applyBorder="1" applyAlignment="1" applyProtection="1">
      <alignment horizontal="center" vertical="center"/>
      <protection locked="0"/>
    </xf>
    <xf numFmtId="169" fontId="12" fillId="0" borderId="41" xfId="0" applyNumberFormat="1" applyFont="1" applyFill="1" applyBorder="1" applyAlignment="1" applyProtection="1">
      <alignment horizontal="center" vertical="center"/>
      <protection locked="0"/>
    </xf>
    <xf numFmtId="169" fontId="7" fillId="15" borderId="20" xfId="0" applyNumberFormat="1" applyFont="1" applyFill="1" applyBorder="1" applyAlignment="1" applyProtection="1">
      <alignment horizontal="right"/>
      <protection locked="0"/>
    </xf>
    <xf numFmtId="2" fontId="12" fillId="19" borderId="1" xfId="0" applyNumberFormat="1" applyFont="1" applyFill="1" applyBorder="1" applyAlignment="1" applyProtection="1">
      <alignment horizontal="center" vertical="center"/>
      <protection locked="0"/>
    </xf>
    <xf numFmtId="2" fontId="5" fillId="19" borderId="1" xfId="0" applyNumberFormat="1" applyFont="1" applyFill="1" applyBorder="1" applyAlignment="1" applyProtection="1">
      <alignment horizontal="center" vertical="center"/>
      <protection locked="0"/>
    </xf>
    <xf numFmtId="2" fontId="5" fillId="20" borderId="1" xfId="0" applyNumberFormat="1" applyFont="1" applyFill="1" applyBorder="1" applyAlignment="1" applyProtection="1">
      <alignment horizontal="center" vertical="center"/>
      <protection locked="0"/>
    </xf>
    <xf numFmtId="2" fontId="5" fillId="20" borderId="3" xfId="0" applyNumberFormat="1" applyFont="1" applyFill="1" applyBorder="1" applyAlignment="1" applyProtection="1">
      <alignment horizontal="center" vertical="center"/>
      <protection locked="0"/>
    </xf>
    <xf numFmtId="2" fontId="5" fillId="20" borderId="3" xfId="0" applyNumberFormat="1" applyFont="1" applyFill="1" applyBorder="1" applyAlignment="1" applyProtection="1">
      <alignment horizontal="center"/>
      <protection locked="0"/>
    </xf>
    <xf numFmtId="2" fontId="5" fillId="20" borderId="1" xfId="0" applyNumberFormat="1" applyFont="1" applyFill="1" applyBorder="1" applyAlignment="1" applyProtection="1">
      <alignment horizontal="center"/>
      <protection locked="0"/>
    </xf>
    <xf numFmtId="169" fontId="9" fillId="0" borderId="1" xfId="0" applyNumberFormat="1" applyFont="1" applyFill="1" applyBorder="1" applyAlignment="1" applyProtection="1">
      <alignment horizontal="center" vertical="center"/>
      <protection locked="0"/>
    </xf>
    <xf numFmtId="169" fontId="9" fillId="0" borderId="92" xfId="0" applyNumberFormat="1" applyFont="1" applyFill="1" applyBorder="1" applyAlignment="1" applyProtection="1">
      <alignment horizontal="center" vertical="center"/>
      <protection locked="0"/>
    </xf>
    <xf numFmtId="2" fontId="5" fillId="2" borderId="58" xfId="0" applyNumberFormat="1" applyFont="1" applyFill="1" applyBorder="1" applyAlignment="1" applyProtection="1">
      <alignment horizontal="center" vertical="center"/>
      <protection locked="0"/>
    </xf>
    <xf numFmtId="169" fontId="9" fillId="0" borderId="15" xfId="0" applyNumberFormat="1" applyFont="1" applyFill="1" applyBorder="1" applyAlignment="1" applyProtection="1">
      <alignment horizontal="center" vertical="center"/>
      <protection locked="0"/>
    </xf>
    <xf numFmtId="2" fontId="5" fillId="19" borderId="2" xfId="0" applyNumberFormat="1" applyFont="1" applyFill="1" applyBorder="1" applyAlignment="1" applyProtection="1">
      <alignment horizontal="center" vertical="center"/>
      <protection locked="0"/>
    </xf>
    <xf numFmtId="2" fontId="5" fillId="19" borderId="1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Protection="1"/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Alignment="1"/>
    <xf numFmtId="0" fontId="0" fillId="9" borderId="0" xfId="0" applyFill="1" applyBorder="1" applyAlignment="1"/>
    <xf numFmtId="2" fontId="0" fillId="13" borderId="1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168" fontId="0" fillId="4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center"/>
    </xf>
    <xf numFmtId="168" fontId="0" fillId="18" borderId="1" xfId="0" applyNumberForma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wrapText="1"/>
    </xf>
    <xf numFmtId="168" fontId="5" fillId="0" borderId="24" xfId="0" applyNumberFormat="1" applyFont="1" applyBorder="1" applyAlignment="1">
      <alignment horizontal="center" vertical="center"/>
    </xf>
    <xf numFmtId="169" fontId="9" fillId="0" borderId="3" xfId="0" applyNumberFormat="1" applyFont="1" applyFill="1" applyBorder="1" applyAlignment="1">
      <alignment horizontal="center" vertical="center"/>
    </xf>
    <xf numFmtId="168" fontId="5" fillId="0" borderId="3" xfId="0" applyNumberFormat="1" applyFont="1" applyFill="1" applyBorder="1" applyAlignment="1">
      <alignment horizontal="center" vertical="center"/>
    </xf>
    <xf numFmtId="168" fontId="5" fillId="0" borderId="3" xfId="0" applyNumberFormat="1" applyFont="1" applyBorder="1" applyAlignment="1">
      <alignment horizontal="center" vertical="center"/>
    </xf>
    <xf numFmtId="169" fontId="12" fillId="0" borderId="30" xfId="0" applyNumberFormat="1" applyFont="1" applyFill="1" applyBorder="1" applyAlignment="1">
      <alignment horizontal="center" vertical="center"/>
    </xf>
    <xf numFmtId="169" fontId="12" fillId="0" borderId="65" xfId="0" applyNumberFormat="1" applyFont="1" applyFill="1" applyBorder="1" applyAlignment="1">
      <alignment horizontal="center" vertical="center"/>
    </xf>
    <xf numFmtId="2" fontId="5" fillId="0" borderId="24" xfId="0" applyNumberFormat="1" applyFont="1" applyFill="1" applyBorder="1" applyAlignment="1" applyProtection="1">
      <alignment horizontal="center" vertical="center"/>
      <protection locked="0"/>
    </xf>
    <xf numFmtId="169" fontId="0" fillId="0" borderId="6" xfId="0" applyNumberFormat="1" applyFont="1" applyFill="1" applyBorder="1" applyAlignment="1" applyProtection="1">
      <alignment horizontal="center" vertical="center"/>
      <protection locked="0"/>
    </xf>
    <xf numFmtId="2" fontId="5" fillId="0" borderId="3" xfId="0" applyNumberFormat="1" applyFont="1" applyFill="1" applyBorder="1" applyAlignment="1" applyProtection="1">
      <alignment horizontal="center" vertical="center"/>
      <protection locked="0"/>
    </xf>
    <xf numFmtId="2" fontId="5" fillId="0" borderId="31" xfId="0" applyNumberFormat="1" applyFont="1" applyBorder="1" applyAlignment="1" applyProtection="1">
      <alignment horizontal="center"/>
      <protection locked="0"/>
    </xf>
    <xf numFmtId="2" fontId="5" fillId="2" borderId="3" xfId="0" applyNumberFormat="1" applyFont="1" applyFill="1" applyBorder="1" applyAlignment="1" applyProtection="1">
      <alignment horizontal="center" vertical="center"/>
      <protection locked="0"/>
    </xf>
    <xf numFmtId="169" fontId="12" fillId="0" borderId="98" xfId="0" applyNumberFormat="1" applyFont="1" applyFill="1" applyBorder="1" applyAlignment="1" applyProtection="1">
      <alignment horizontal="center" vertical="center"/>
      <protection locked="0"/>
    </xf>
    <xf numFmtId="2" fontId="5" fillId="2" borderId="3" xfId="0" applyNumberFormat="1" applyFont="1" applyFill="1" applyBorder="1" applyAlignment="1" applyProtection="1">
      <alignment horizontal="center"/>
      <protection locked="0"/>
    </xf>
    <xf numFmtId="169" fontId="12" fillId="0" borderId="98" xfId="0" applyNumberFormat="1" applyFont="1" applyFill="1" applyBorder="1" applyAlignment="1">
      <alignment horizontal="center" vertical="center"/>
    </xf>
    <xf numFmtId="169" fontId="7" fillId="15" borderId="31" xfId="0" applyNumberFormat="1" applyFont="1" applyFill="1" applyBorder="1" applyAlignment="1">
      <alignment horizontal="right"/>
    </xf>
    <xf numFmtId="169" fontId="8" fillId="16" borderId="30" xfId="1" applyNumberFormat="1" applyFont="1" applyFill="1" applyBorder="1"/>
    <xf numFmtId="2" fontId="0" fillId="0" borderId="3" xfId="0" applyNumberFormat="1" applyBorder="1" applyAlignment="1">
      <alignment horizontal="center"/>
    </xf>
    <xf numFmtId="169" fontId="12" fillId="0" borderId="1" xfId="0" applyNumberFormat="1" applyFont="1" applyFill="1" applyBorder="1" applyAlignment="1">
      <alignment horizontal="center" vertical="center"/>
    </xf>
    <xf numFmtId="169" fontId="0" fillId="0" borderId="1" xfId="0" applyNumberFormat="1" applyFont="1" applyFill="1" applyBorder="1" applyAlignment="1" applyProtection="1">
      <alignment horizontal="center" vertical="center"/>
      <protection locked="0"/>
    </xf>
    <xf numFmtId="169" fontId="12" fillId="0" borderId="1" xfId="0" applyNumberFormat="1" applyFont="1" applyFill="1" applyBorder="1" applyAlignment="1" applyProtection="1">
      <alignment horizontal="center" vertical="center"/>
      <protection locked="0"/>
    </xf>
    <xf numFmtId="169" fontId="7" fillId="15" borderId="1" xfId="0" applyNumberFormat="1" applyFont="1" applyFill="1" applyBorder="1" applyAlignment="1">
      <alignment horizontal="center"/>
    </xf>
    <xf numFmtId="169" fontId="8" fillId="16" borderId="1" xfId="1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168" fontId="5" fillId="0" borderId="31" xfId="0" applyNumberFormat="1" applyFont="1" applyBorder="1" applyAlignment="1">
      <alignment horizontal="center" vertical="center"/>
    </xf>
    <xf numFmtId="169" fontId="12" fillId="17" borderId="3" xfId="0" applyNumberFormat="1" applyFont="1" applyFill="1" applyBorder="1" applyAlignment="1">
      <alignment horizontal="center" vertical="center"/>
    </xf>
    <xf numFmtId="169" fontId="12" fillId="17" borderId="2" xfId="0" applyNumberFormat="1" applyFont="1" applyFill="1" applyBorder="1" applyAlignment="1">
      <alignment horizontal="center" vertical="center"/>
    </xf>
    <xf numFmtId="2" fontId="12" fillId="19" borderId="3" xfId="0" applyNumberFormat="1" applyFont="1" applyFill="1" applyBorder="1" applyAlignment="1" applyProtection="1">
      <alignment horizontal="center" vertical="center"/>
      <protection locked="0"/>
    </xf>
    <xf numFmtId="169" fontId="9" fillId="19" borderId="2" xfId="0" applyNumberFormat="1" applyFont="1" applyFill="1" applyBorder="1" applyAlignment="1" applyProtection="1">
      <alignment horizontal="center" vertical="center"/>
      <protection locked="0"/>
    </xf>
    <xf numFmtId="2" fontId="5" fillId="19" borderId="3" xfId="0" applyNumberFormat="1" applyFont="1" applyFill="1" applyBorder="1" applyAlignment="1" applyProtection="1">
      <alignment horizontal="center"/>
      <protection locked="0"/>
    </xf>
    <xf numFmtId="2" fontId="5" fillId="19" borderId="3" xfId="0" applyNumberFormat="1" applyFont="1" applyFill="1" applyBorder="1" applyAlignment="1" applyProtection="1">
      <alignment horizontal="center" vertical="center"/>
      <protection locked="0"/>
    </xf>
    <xf numFmtId="169" fontId="9" fillId="19" borderId="6" xfId="0" applyNumberFormat="1" applyFont="1" applyFill="1" applyBorder="1" applyAlignment="1" applyProtection="1">
      <alignment horizontal="center" vertical="center"/>
      <protection locked="0"/>
    </xf>
    <xf numFmtId="169" fontId="9" fillId="20" borderId="2" xfId="0" applyNumberFormat="1" applyFont="1" applyFill="1" applyBorder="1" applyAlignment="1" applyProtection="1">
      <alignment horizontal="center" vertical="center"/>
      <protection locked="0"/>
    </xf>
    <xf numFmtId="169" fontId="9" fillId="20" borderId="6" xfId="0" applyNumberFormat="1" applyFont="1" applyFill="1" applyBorder="1" applyAlignment="1" applyProtection="1">
      <alignment horizontal="center" vertical="center"/>
      <protection locked="0"/>
    </xf>
    <xf numFmtId="169" fontId="9" fillId="0" borderId="35" xfId="0" applyNumberFormat="1" applyFont="1" applyFill="1" applyBorder="1" applyAlignment="1" applyProtection="1">
      <alignment horizontal="center" vertical="center"/>
      <protection locked="0"/>
    </xf>
    <xf numFmtId="169" fontId="12" fillId="0" borderId="39" xfId="0" applyNumberFormat="1" applyFont="1" applyFill="1" applyBorder="1" applyAlignment="1" applyProtection="1">
      <alignment horizontal="center" vertical="center"/>
      <protection locked="0"/>
    </xf>
    <xf numFmtId="169" fontId="9" fillId="0" borderId="3" xfId="0" applyNumberFormat="1" applyFont="1" applyFill="1" applyBorder="1" applyAlignment="1" applyProtection="1">
      <alignment horizontal="center" vertical="center"/>
      <protection locked="0"/>
    </xf>
    <xf numFmtId="169" fontId="9" fillId="0" borderId="99" xfId="0" applyNumberFormat="1" applyFont="1" applyFill="1" applyBorder="1" applyAlignment="1" applyProtection="1">
      <alignment horizontal="center" vertical="center"/>
      <protection locked="0"/>
    </xf>
    <xf numFmtId="2" fontId="5" fillId="2" borderId="53" xfId="0" applyNumberFormat="1" applyFont="1" applyFill="1" applyBorder="1" applyAlignment="1" applyProtection="1">
      <alignment horizontal="center" vertical="center"/>
      <protection locked="0"/>
    </xf>
    <xf numFmtId="169" fontId="9" fillId="0" borderId="24" xfId="0" applyNumberFormat="1" applyFont="1" applyFill="1" applyBorder="1" applyAlignment="1" applyProtection="1">
      <alignment horizontal="center" vertical="center"/>
      <protection locked="0"/>
    </xf>
    <xf numFmtId="169" fontId="7" fillId="15" borderId="42" xfId="0" applyNumberFormat="1" applyFont="1" applyFill="1" applyBorder="1" applyAlignment="1" applyProtection="1">
      <alignment horizontal="right"/>
      <protection locked="0"/>
    </xf>
    <xf numFmtId="0" fontId="0" fillId="21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  <xf numFmtId="0" fontId="0" fillId="21" borderId="1" xfId="0" applyFill="1" applyBorder="1" applyAlignment="1" applyProtection="1">
      <alignment horizontal="center" vertical="center"/>
      <protection locked="0"/>
    </xf>
    <xf numFmtId="0" fontId="0" fillId="24" borderId="1" xfId="0" applyFill="1" applyBorder="1" applyAlignment="1" applyProtection="1">
      <alignment horizontal="center" vertical="center"/>
      <protection locked="0"/>
    </xf>
    <xf numFmtId="0" fontId="0" fillId="25" borderId="1" xfId="0" applyFill="1" applyBorder="1" applyAlignment="1" applyProtection="1">
      <alignment horizontal="center"/>
      <protection locked="0"/>
    </xf>
    <xf numFmtId="0" fontId="0" fillId="9" borderId="34" xfId="0" applyFill="1" applyBorder="1" applyAlignment="1"/>
    <xf numFmtId="0" fontId="0" fillId="0" borderId="3" xfId="0" applyBorder="1" applyAlignment="1">
      <alignment horizontal="center" vertical="center"/>
    </xf>
    <xf numFmtId="166" fontId="0" fillId="0" borderId="0" xfId="6" applyFont="1"/>
    <xf numFmtId="0" fontId="6" fillId="0" borderId="30" xfId="0" applyFont="1" applyFill="1" applyBorder="1" applyAlignment="1">
      <alignment horizontal="center"/>
    </xf>
    <xf numFmtId="169" fontId="9" fillId="0" borderId="2" xfId="0" applyNumberFormat="1" applyFont="1" applyFill="1" applyBorder="1" applyAlignment="1">
      <alignment horizontal="center" vertical="center"/>
    </xf>
    <xf numFmtId="169" fontId="12" fillId="17" borderId="38" xfId="0" applyNumberFormat="1" applyFont="1" applyFill="1" applyBorder="1" applyAlignment="1">
      <alignment horizontal="center" vertical="center"/>
    </xf>
    <xf numFmtId="169" fontId="12" fillId="17" borderId="100" xfId="0" applyNumberFormat="1" applyFont="1" applyFill="1" applyBorder="1" applyAlignment="1">
      <alignment horizontal="center" vertical="center"/>
    </xf>
    <xf numFmtId="2" fontId="12" fillId="0" borderId="24" xfId="0" applyNumberFormat="1" applyFont="1" applyFill="1" applyBorder="1" applyAlignment="1" applyProtection="1">
      <alignment horizontal="center" vertical="center"/>
      <protection locked="0"/>
    </xf>
    <xf numFmtId="170" fontId="9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35" xfId="0" applyNumberFormat="1" applyFont="1" applyFill="1" applyBorder="1" applyAlignment="1" applyProtection="1">
      <alignment horizontal="center" vertical="center"/>
      <protection locked="0"/>
    </xf>
    <xf numFmtId="169" fontId="12" fillId="0" borderId="18" xfId="0" applyNumberFormat="1" applyFont="1" applyFill="1" applyBorder="1" applyAlignment="1">
      <alignment horizontal="center" vertical="center"/>
    </xf>
    <xf numFmtId="2" fontId="0" fillId="0" borderId="3" xfId="0" applyNumberFormat="1" applyBorder="1"/>
    <xf numFmtId="0" fontId="6" fillId="0" borderId="1" xfId="0" applyFont="1" applyFill="1" applyBorder="1" applyAlignment="1">
      <alignment horizontal="center"/>
    </xf>
    <xf numFmtId="3" fontId="12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3" fontId="12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right"/>
    </xf>
    <xf numFmtId="1" fontId="12" fillId="0" borderId="1" xfId="0" applyNumberFormat="1" applyFont="1" applyFill="1" applyBorder="1" applyAlignment="1">
      <alignment horizontal="center" vertical="center"/>
    </xf>
    <xf numFmtId="3" fontId="12" fillId="0" borderId="4" xfId="0" applyNumberFormat="1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12" fillId="0" borderId="4" xfId="0" applyNumberFormat="1" applyFont="1" applyBorder="1" applyAlignment="1">
      <alignment horizontal="right" vertical="center"/>
    </xf>
    <xf numFmtId="0" fontId="7" fillId="0" borderId="4" xfId="0" applyFont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2" fontId="12" fillId="0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/>
      <protection locked="0"/>
    </xf>
    <xf numFmtId="168" fontId="5" fillId="0" borderId="1" xfId="0" applyNumberFormat="1" applyFont="1" applyBorder="1" applyAlignment="1" applyProtection="1">
      <alignment horizontal="center" vertical="center"/>
      <protection locked="0"/>
    </xf>
    <xf numFmtId="3" fontId="12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3" fontId="12" fillId="0" borderId="1" xfId="0" applyNumberFormat="1" applyFont="1" applyBorder="1" applyAlignment="1" applyProtection="1">
      <alignment horizontal="right" vertical="center"/>
      <protection locked="0"/>
    </xf>
    <xf numFmtId="0" fontId="0" fillId="0" borderId="1" xfId="0" applyBorder="1" applyProtection="1">
      <protection locked="0"/>
    </xf>
    <xf numFmtId="1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12" fillId="0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3" fontId="12" fillId="0" borderId="4" xfId="0" applyNumberFormat="1" applyFont="1" applyBorder="1" applyAlignment="1" applyProtection="1">
      <alignment horizontal="right" vertical="center"/>
      <protection locked="0"/>
    </xf>
    <xf numFmtId="0" fontId="7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169" fontId="0" fillId="0" borderId="3" xfId="0" applyNumberFormat="1" applyFont="1" applyFill="1" applyBorder="1" applyAlignment="1" applyProtection="1">
      <alignment horizontal="center" vertical="center"/>
      <protection locked="0"/>
    </xf>
    <xf numFmtId="169" fontId="12" fillId="0" borderId="3" xfId="0" applyNumberFormat="1" applyFont="1" applyFill="1" applyBorder="1" applyAlignment="1" applyProtection="1">
      <alignment horizontal="center" vertical="center"/>
      <protection locked="0"/>
    </xf>
    <xf numFmtId="169" fontId="12" fillId="0" borderId="3" xfId="0" applyNumberFormat="1" applyFont="1" applyFill="1" applyBorder="1" applyAlignment="1">
      <alignment horizontal="center" vertical="center"/>
    </xf>
    <xf numFmtId="169" fontId="7" fillId="15" borderId="3" xfId="0" applyNumberFormat="1" applyFont="1" applyFill="1" applyBorder="1" applyAlignment="1">
      <alignment horizontal="center"/>
    </xf>
    <xf numFmtId="169" fontId="8" fillId="16" borderId="3" xfId="1" applyNumberFormat="1" applyFont="1" applyFill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0" fontId="5" fillId="0" borderId="1" xfId="0" applyFont="1" applyBorder="1" applyProtection="1">
      <protection locked="0"/>
    </xf>
    <xf numFmtId="3" fontId="5" fillId="0" borderId="1" xfId="0" applyNumberFormat="1" applyFont="1" applyBorder="1" applyAlignment="1" applyProtection="1">
      <alignment horizontal="right" vertical="center"/>
      <protection locked="0"/>
    </xf>
    <xf numFmtId="2" fontId="5" fillId="0" borderId="1" xfId="0" applyNumberFormat="1" applyFont="1" applyBorder="1" applyAlignment="1" applyProtection="1">
      <alignment horizontal="right" vertical="center"/>
      <protection locked="0"/>
    </xf>
    <xf numFmtId="0" fontId="7" fillId="0" borderId="1" xfId="0" applyFont="1" applyBorder="1" applyAlignment="1" applyProtection="1">
      <alignment horizontal="right"/>
      <protection locked="0"/>
    </xf>
    <xf numFmtId="0" fontId="28" fillId="0" borderId="26" xfId="0" applyFont="1" applyBorder="1" applyAlignment="1">
      <alignment vertical="center"/>
    </xf>
    <xf numFmtId="0" fontId="28" fillId="0" borderId="64" xfId="0" applyFont="1" applyBorder="1" applyAlignment="1">
      <alignment vertical="center"/>
    </xf>
    <xf numFmtId="0" fontId="28" fillId="0" borderId="54" xfId="0" applyFont="1" applyBorder="1" applyAlignment="1">
      <alignment vertical="center"/>
    </xf>
    <xf numFmtId="165" fontId="28" fillId="0" borderId="97" xfId="1" applyFont="1" applyBorder="1" applyAlignment="1">
      <alignment vertical="center"/>
    </xf>
    <xf numFmtId="165" fontId="0" fillId="0" borderId="0" xfId="1" applyFont="1"/>
    <xf numFmtId="169" fontId="12" fillId="0" borderId="38" xfId="0" applyNumberFormat="1" applyFont="1" applyFill="1" applyBorder="1" applyAlignment="1">
      <alignment horizontal="center" vertical="center"/>
    </xf>
    <xf numFmtId="0" fontId="6" fillId="0" borderId="61" xfId="0" applyFont="1" applyFill="1" applyBorder="1" applyAlignment="1">
      <alignment horizontal="center"/>
    </xf>
    <xf numFmtId="168" fontId="5" fillId="0" borderId="35" xfId="0" applyNumberFormat="1" applyFont="1" applyFill="1" applyBorder="1" applyAlignment="1">
      <alignment horizontal="center" vertical="center"/>
    </xf>
    <xf numFmtId="168" fontId="5" fillId="0" borderId="2" xfId="0" applyNumberFormat="1" applyFont="1" applyFill="1" applyBorder="1" applyAlignment="1">
      <alignment horizontal="center" vertical="center"/>
    </xf>
    <xf numFmtId="168" fontId="5" fillId="0" borderId="2" xfId="0" applyNumberFormat="1" applyFont="1" applyBorder="1" applyAlignment="1">
      <alignment horizontal="center" vertical="center"/>
    </xf>
    <xf numFmtId="169" fontId="7" fillId="15" borderId="15" xfId="0" applyNumberFormat="1" applyFont="1" applyFill="1" applyBorder="1" applyAlignment="1">
      <alignment horizontal="right"/>
    </xf>
    <xf numFmtId="0" fontId="6" fillId="2" borderId="1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0" fillId="18" borderId="1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48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64" fontId="5" fillId="2" borderId="55" xfId="16" applyFont="1" applyFill="1" applyBorder="1" applyAlignment="1">
      <alignment horizontal="center"/>
    </xf>
    <xf numFmtId="164" fontId="5" fillId="2" borderId="47" xfId="16" applyFont="1" applyFill="1" applyBorder="1" applyAlignment="1">
      <alignment horizontal="center"/>
    </xf>
    <xf numFmtId="164" fontId="5" fillId="2" borderId="57" xfId="16" applyFont="1" applyFill="1" applyBorder="1" applyAlignment="1">
      <alignment horizontal="center"/>
    </xf>
    <xf numFmtId="164" fontId="5" fillId="2" borderId="97" xfId="16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6" fillId="23" borderId="3" xfId="0" applyFont="1" applyFill="1" applyBorder="1" applyAlignment="1">
      <alignment horizontal="center" vertical="center" wrapText="1"/>
    </xf>
    <xf numFmtId="0" fontId="26" fillId="23" borderId="2" xfId="0" applyFont="1" applyFill="1" applyBorder="1" applyAlignment="1">
      <alignment horizontal="center" vertical="center" wrapText="1"/>
    </xf>
    <xf numFmtId="0" fontId="26" fillId="23" borderId="4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top" wrapText="1"/>
    </xf>
    <xf numFmtId="0" fontId="2" fillId="22" borderId="1" xfId="0" applyFont="1" applyFill="1" applyBorder="1" applyAlignment="1">
      <alignment horizontal="center" vertical="center" wrapText="1"/>
    </xf>
    <xf numFmtId="0" fontId="10" fillId="20" borderId="50" xfId="0" applyFont="1" applyFill="1" applyBorder="1" applyAlignment="1">
      <alignment horizontal="center" vertical="center" wrapText="1"/>
    </xf>
    <xf numFmtId="0" fontId="10" fillId="20" borderId="46" xfId="0" applyFont="1" applyFill="1" applyBorder="1" applyAlignment="1">
      <alignment horizontal="center" vertical="center" wrapText="1"/>
    </xf>
    <xf numFmtId="168" fontId="11" fillId="20" borderId="58" xfId="0" applyNumberFormat="1" applyFont="1" applyFill="1" applyBorder="1" applyAlignment="1">
      <alignment horizontal="center" vertical="center"/>
    </xf>
    <xf numFmtId="168" fontId="11" fillId="20" borderId="59" xfId="0" applyNumberFormat="1" applyFont="1" applyFill="1" applyBorder="1" applyAlignment="1">
      <alignment horizontal="center" vertical="center"/>
    </xf>
    <xf numFmtId="0" fontId="10" fillId="14" borderId="50" xfId="0" applyFont="1" applyFill="1" applyBorder="1" applyAlignment="1">
      <alignment horizontal="center" vertical="center" wrapText="1"/>
    </xf>
    <xf numFmtId="0" fontId="10" fillId="14" borderId="46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0" fillId="14" borderId="24" xfId="0" applyFont="1" applyFill="1" applyBorder="1" applyAlignment="1">
      <alignment horizontal="center" vertical="center"/>
    </xf>
    <xf numFmtId="0" fontId="10" fillId="14" borderId="11" xfId="0" applyFont="1" applyFill="1" applyBorder="1" applyAlignment="1">
      <alignment horizontal="center" vertical="center"/>
    </xf>
    <xf numFmtId="3" fontId="10" fillId="19" borderId="50" xfId="0" applyNumberFormat="1" applyFont="1" applyFill="1" applyBorder="1" applyAlignment="1">
      <alignment horizontal="center" vertical="center" wrapText="1"/>
    </xf>
    <xf numFmtId="3" fontId="10" fillId="19" borderId="46" xfId="0" applyNumberFormat="1" applyFont="1" applyFill="1" applyBorder="1" applyAlignment="1">
      <alignment horizontal="center" vertical="center" wrapText="1"/>
    </xf>
    <xf numFmtId="0" fontId="10" fillId="12" borderId="50" xfId="0" applyFont="1" applyFill="1" applyBorder="1" applyAlignment="1">
      <alignment horizontal="center" vertical="center" wrapText="1"/>
    </xf>
    <xf numFmtId="0" fontId="10" fillId="12" borderId="36" xfId="0" applyFont="1" applyFill="1" applyBorder="1" applyAlignment="1">
      <alignment horizontal="center" vertical="center" wrapText="1"/>
    </xf>
    <xf numFmtId="0" fontId="10" fillId="19" borderId="50" xfId="0" applyFont="1" applyFill="1" applyBorder="1" applyAlignment="1">
      <alignment horizontal="center" vertical="center" wrapText="1"/>
    </xf>
    <xf numFmtId="0" fontId="10" fillId="19" borderId="46" xfId="0" applyFont="1" applyFill="1" applyBorder="1" applyAlignment="1">
      <alignment horizontal="center" vertical="center" wrapText="1"/>
    </xf>
    <xf numFmtId="0" fontId="10" fillId="14" borderId="50" xfId="0" applyFont="1" applyFill="1" applyBorder="1" applyAlignment="1">
      <alignment horizontal="center" vertical="center"/>
    </xf>
    <xf numFmtId="0" fontId="10" fillId="14" borderId="46" xfId="0" applyFont="1" applyFill="1" applyBorder="1" applyAlignment="1">
      <alignment horizontal="center" vertical="center"/>
    </xf>
    <xf numFmtId="168" fontId="11" fillId="20" borderId="15" xfId="0" applyNumberFormat="1" applyFont="1" applyFill="1" applyBorder="1" applyAlignment="1">
      <alignment horizontal="center" vertical="center"/>
    </xf>
    <xf numFmtId="168" fontId="11" fillId="20" borderId="16" xfId="0" applyNumberFormat="1" applyFont="1" applyFill="1" applyBorder="1" applyAlignment="1">
      <alignment horizontal="center" vertical="center"/>
    </xf>
    <xf numFmtId="168" fontId="11" fillId="13" borderId="31" xfId="0" applyNumberFormat="1" applyFont="1" applyFill="1" applyBorder="1" applyAlignment="1">
      <alignment horizontal="center" vertical="center"/>
    </xf>
    <xf numFmtId="168" fontId="11" fillId="13" borderId="35" xfId="0" applyNumberFormat="1" applyFont="1" applyFill="1" applyBorder="1" applyAlignment="1">
      <alignment horizontal="center" vertical="center"/>
    </xf>
    <xf numFmtId="168" fontId="11" fillId="19" borderId="58" xfId="0" applyNumberFormat="1" applyFont="1" applyFill="1" applyBorder="1" applyAlignment="1">
      <alignment horizontal="center" vertical="center"/>
    </xf>
    <xf numFmtId="168" fontId="11" fillId="19" borderId="59" xfId="0" applyNumberFormat="1" applyFont="1" applyFill="1" applyBorder="1" applyAlignment="1">
      <alignment horizontal="center" vertical="center"/>
    </xf>
    <xf numFmtId="168" fontId="11" fillId="12" borderId="58" xfId="0" applyNumberFormat="1" applyFont="1" applyFill="1" applyBorder="1" applyAlignment="1">
      <alignment horizontal="center" vertical="center"/>
    </xf>
    <xf numFmtId="168" fontId="11" fillId="12" borderId="59" xfId="0" applyNumberFormat="1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0" fillId="14" borderId="54" xfId="0" applyFont="1" applyFill="1" applyBorder="1" applyAlignment="1">
      <alignment horizontal="center" vertical="center"/>
    </xf>
    <xf numFmtId="0" fontId="10" fillId="12" borderId="3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center"/>
    </xf>
    <xf numFmtId="0" fontId="10" fillId="14" borderId="43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10" fillId="13" borderId="36" xfId="0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168" fontId="11" fillId="19" borderId="53" xfId="0" applyNumberFormat="1" applyFont="1" applyFill="1" applyBorder="1" applyAlignment="1">
      <alignment horizontal="center" vertical="center"/>
    </xf>
    <xf numFmtId="168" fontId="11" fillId="19" borderId="54" xfId="0" applyNumberFormat="1" applyFont="1" applyFill="1" applyBorder="1" applyAlignment="1">
      <alignment horizontal="center" vertical="center"/>
    </xf>
    <xf numFmtId="168" fontId="11" fillId="19" borderId="24" xfId="0" applyNumberFormat="1" applyFont="1" applyFill="1" applyBorder="1" applyAlignment="1">
      <alignment horizontal="center" vertical="center"/>
    </xf>
    <xf numFmtId="168" fontId="11" fillId="19" borderId="11" xfId="0" applyNumberFormat="1" applyFont="1" applyFill="1" applyBorder="1" applyAlignment="1">
      <alignment horizontal="center" vertical="center"/>
    </xf>
    <xf numFmtId="168" fontId="11" fillId="19" borderId="15" xfId="0" applyNumberFormat="1" applyFont="1" applyFill="1" applyBorder="1" applyAlignment="1">
      <alignment horizontal="center" vertical="center"/>
    </xf>
    <xf numFmtId="168" fontId="11" fillId="19" borderId="16" xfId="0" applyNumberFormat="1" applyFont="1" applyFill="1" applyBorder="1" applyAlignment="1">
      <alignment horizontal="center" vertical="center"/>
    </xf>
    <xf numFmtId="0" fontId="10" fillId="13" borderId="27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3" fontId="10" fillId="13" borderId="18" xfId="0" applyNumberFormat="1" applyFont="1" applyFill="1" applyBorder="1" applyAlignment="1">
      <alignment horizontal="center" vertical="center" wrapText="1"/>
    </xf>
    <xf numFmtId="3" fontId="10" fillId="13" borderId="39" xfId="0" applyNumberFormat="1" applyFont="1" applyFill="1" applyBorder="1" applyAlignment="1">
      <alignment horizontal="center" vertical="center" wrapText="1"/>
    </xf>
    <xf numFmtId="0" fontId="7" fillId="15" borderId="33" xfId="0" applyFont="1" applyFill="1" applyBorder="1" applyAlignment="1">
      <alignment horizontal="center" vertical="center" wrapText="1"/>
    </xf>
    <xf numFmtId="0" fontId="7" fillId="15" borderId="34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0" fillId="13" borderId="60" xfId="0" applyFont="1" applyFill="1" applyBorder="1" applyAlignment="1">
      <alignment horizontal="center" vertical="center"/>
    </xf>
    <xf numFmtId="0" fontId="10" fillId="13" borderId="61" xfId="0" applyFont="1" applyFill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 wrapText="1"/>
    </xf>
    <xf numFmtId="0" fontId="7" fillId="0" borderId="38" xfId="0" applyFont="1" applyFill="1" applyBorder="1" applyAlignment="1">
      <alignment horizontal="center" vertical="center" wrapText="1"/>
    </xf>
    <xf numFmtId="0" fontId="10" fillId="19" borderId="17" xfId="0" applyFont="1" applyFill="1" applyBorder="1" applyAlignment="1">
      <alignment horizontal="center" vertical="center" wrapText="1"/>
    </xf>
    <xf numFmtId="0" fontId="10" fillId="19" borderId="8" xfId="0" applyFont="1" applyFill="1" applyBorder="1" applyAlignment="1">
      <alignment horizontal="center" vertical="center" wrapText="1"/>
    </xf>
    <xf numFmtId="0" fontId="10" fillId="14" borderId="36" xfId="0" applyFont="1" applyFill="1" applyBorder="1" applyAlignment="1">
      <alignment horizontal="center" vertical="center" wrapText="1"/>
    </xf>
    <xf numFmtId="0" fontId="10" fillId="14" borderId="39" xfId="0" applyFont="1" applyFill="1" applyBorder="1" applyAlignment="1">
      <alignment horizontal="center" vertical="center" wrapText="1"/>
    </xf>
    <xf numFmtId="0" fontId="10" fillId="14" borderId="25" xfId="0" applyFont="1" applyFill="1" applyBorder="1" applyAlignment="1">
      <alignment horizontal="center" vertical="center" wrapText="1"/>
    </xf>
    <xf numFmtId="0" fontId="7" fillId="15" borderId="24" xfId="0" applyFont="1" applyFill="1" applyBorder="1" applyAlignment="1">
      <alignment horizontal="center" vertical="center" wrapText="1"/>
    </xf>
    <xf numFmtId="0" fontId="7" fillId="15" borderId="9" xfId="0" applyFont="1" applyFill="1" applyBorder="1" applyAlignment="1">
      <alignment horizontal="center" vertical="center" wrapText="1"/>
    </xf>
    <xf numFmtId="0" fontId="7" fillId="15" borderId="11" xfId="0" applyFont="1" applyFill="1" applyBorder="1" applyAlignment="1">
      <alignment horizontal="center" vertical="center" wrapText="1"/>
    </xf>
    <xf numFmtId="0" fontId="21" fillId="12" borderId="17" xfId="0" applyFont="1" applyFill="1" applyBorder="1" applyAlignment="1">
      <alignment horizontal="center" vertical="center"/>
    </xf>
    <xf numFmtId="0" fontId="21" fillId="12" borderId="8" xfId="0" applyFont="1" applyFill="1" applyBorder="1" applyAlignment="1">
      <alignment horizontal="center" vertical="center"/>
    </xf>
    <xf numFmtId="0" fontId="21" fillId="14" borderId="50" xfId="0" applyFont="1" applyFill="1" applyBorder="1" applyAlignment="1">
      <alignment horizontal="center" vertical="center" wrapText="1" shrinkToFit="1"/>
    </xf>
    <xf numFmtId="0" fontId="21" fillId="14" borderId="46" xfId="0" applyFont="1" applyFill="1" applyBorder="1" applyAlignment="1">
      <alignment horizontal="center" vertical="center" wrapText="1" shrinkToFit="1"/>
    </xf>
    <xf numFmtId="0" fontId="21" fillId="12" borderId="62" xfId="0" applyFont="1" applyFill="1" applyBorder="1" applyAlignment="1">
      <alignment horizontal="center" vertical="center" wrapText="1"/>
    </xf>
    <xf numFmtId="0" fontId="21" fillId="12" borderId="63" xfId="0" applyFont="1" applyFill="1" applyBorder="1" applyAlignment="1">
      <alignment horizontal="center" vertical="center" wrapText="1"/>
    </xf>
    <xf numFmtId="0" fontId="10" fillId="12" borderId="60" xfId="0" applyFont="1" applyFill="1" applyBorder="1" applyAlignment="1">
      <alignment horizontal="center" vertical="center" wrapText="1"/>
    </xf>
    <xf numFmtId="0" fontId="10" fillId="12" borderId="61" xfId="0" applyFont="1" applyFill="1" applyBorder="1" applyAlignment="1">
      <alignment horizontal="center" vertical="center" wrapText="1"/>
    </xf>
    <xf numFmtId="0" fontId="10" fillId="12" borderId="54" xfId="0" applyFont="1" applyFill="1" applyBorder="1" applyAlignment="1">
      <alignment horizontal="center" vertical="center" wrapText="1"/>
    </xf>
    <xf numFmtId="0" fontId="7" fillId="16" borderId="3" xfId="0" applyFont="1" applyFill="1" applyBorder="1" applyAlignment="1">
      <alignment horizontal="center" vertical="center" wrapText="1"/>
    </xf>
    <xf numFmtId="0" fontId="7" fillId="16" borderId="2" xfId="0" applyFont="1" applyFill="1" applyBorder="1" applyAlignment="1">
      <alignment horizontal="center" vertical="center" wrapText="1"/>
    </xf>
    <xf numFmtId="0" fontId="7" fillId="16" borderId="12" xfId="0" applyFont="1" applyFill="1" applyBorder="1" applyAlignment="1">
      <alignment horizontal="center" vertical="center" wrapText="1"/>
    </xf>
    <xf numFmtId="0" fontId="10" fillId="14" borderId="56" xfId="0" applyFont="1" applyFill="1" applyBorder="1" applyAlignment="1">
      <alignment horizontal="center" vertical="center"/>
    </xf>
    <xf numFmtId="0" fontId="10" fillId="14" borderId="0" xfId="0" applyFont="1" applyFill="1" applyBorder="1" applyAlignment="1">
      <alignment horizontal="center" vertical="center"/>
    </xf>
    <xf numFmtId="0" fontId="10" fillId="14" borderId="88" xfId="0" applyFont="1" applyFill="1" applyBorder="1" applyAlignment="1">
      <alignment horizontal="center" vertical="center"/>
    </xf>
    <xf numFmtId="0" fontId="10" fillId="14" borderId="89" xfId="0" applyFont="1" applyFill="1" applyBorder="1" applyAlignment="1">
      <alignment horizontal="center" vertical="center" wrapText="1"/>
    </xf>
    <xf numFmtId="0" fontId="10" fillId="14" borderId="90" xfId="0" applyFont="1" applyFill="1" applyBorder="1" applyAlignment="1">
      <alignment horizontal="center" vertical="center" wrapText="1"/>
    </xf>
    <xf numFmtId="0" fontId="10" fillId="14" borderId="91" xfId="0" applyFont="1" applyFill="1" applyBorder="1" applyAlignment="1">
      <alignment horizontal="center" vertical="center" wrapText="1"/>
    </xf>
    <xf numFmtId="0" fontId="10" fillId="14" borderId="32" xfId="0" applyFont="1" applyFill="1" applyBorder="1" applyAlignment="1">
      <alignment horizontal="center" vertical="center" wrapText="1"/>
    </xf>
    <xf numFmtId="0" fontId="10" fillId="13" borderId="54" xfId="0" applyFont="1" applyFill="1" applyBorder="1" applyAlignment="1">
      <alignment horizontal="center" vertical="center"/>
    </xf>
    <xf numFmtId="3" fontId="21" fillId="12" borderId="55" xfId="0" applyNumberFormat="1" applyFont="1" applyFill="1" applyBorder="1" applyAlignment="1">
      <alignment horizontal="center" vertical="center" wrapText="1"/>
    </xf>
    <xf numFmtId="3" fontId="21" fillId="12" borderId="47" xfId="0" applyNumberFormat="1" applyFont="1" applyFill="1" applyBorder="1" applyAlignment="1">
      <alignment horizontal="center" vertical="center" wrapText="1"/>
    </xf>
    <xf numFmtId="0" fontId="21" fillId="12" borderId="62" xfId="0" applyFont="1" applyFill="1" applyBorder="1" applyAlignment="1">
      <alignment horizontal="center" vertical="center"/>
    </xf>
    <xf numFmtId="0" fontId="21" fillId="12" borderId="64" xfId="0" applyFont="1" applyFill="1" applyBorder="1" applyAlignment="1">
      <alignment horizontal="center" vertical="center"/>
    </xf>
    <xf numFmtId="0" fontId="7" fillId="0" borderId="88" xfId="0" applyFont="1" applyFill="1" applyBorder="1" applyAlignment="1">
      <alignment horizontal="center" vertical="center"/>
    </xf>
    <xf numFmtId="0" fontId="7" fillId="0" borderId="95" xfId="0" applyFont="1" applyFill="1" applyBorder="1" applyAlignment="1">
      <alignment horizontal="center" vertical="center"/>
    </xf>
    <xf numFmtId="0" fontId="7" fillId="0" borderId="78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horizontal="center" vertical="center"/>
    </xf>
    <xf numFmtId="0" fontId="7" fillId="0" borderId="79" xfId="0" applyFont="1" applyFill="1" applyBorder="1" applyAlignment="1">
      <alignment horizontal="center" vertical="center"/>
    </xf>
    <xf numFmtId="0" fontId="7" fillId="0" borderId="75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66" xfId="0" applyFont="1" applyFill="1" applyBorder="1" applyAlignment="1">
      <alignment horizontal="center" vertical="center"/>
    </xf>
    <xf numFmtId="0" fontId="7" fillId="0" borderId="76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67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71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69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01" xfId="0" applyFont="1" applyFill="1" applyBorder="1" applyAlignment="1">
      <alignment horizontal="center" vertical="center"/>
    </xf>
    <xf numFmtId="0" fontId="7" fillId="0" borderId="102" xfId="0" applyFont="1" applyFill="1" applyBorder="1" applyAlignment="1">
      <alignment horizontal="center" vertical="center"/>
    </xf>
    <xf numFmtId="0" fontId="7" fillId="0" borderId="35" xfId="0" applyFont="1" applyFill="1" applyBorder="1" applyAlignment="1">
      <alignment horizontal="center" vertical="center"/>
    </xf>
    <xf numFmtId="0" fontId="7" fillId="0" borderId="73" xfId="0" applyFont="1" applyFill="1" applyBorder="1" applyAlignment="1">
      <alignment horizontal="center" vertical="center"/>
    </xf>
    <xf numFmtId="0" fontId="21" fillId="12" borderId="17" xfId="0" applyFont="1" applyFill="1" applyBorder="1" applyAlignment="1">
      <alignment horizontal="center" vertical="center" wrapText="1"/>
    </xf>
    <xf numFmtId="0" fontId="21" fillId="12" borderId="8" xfId="0" applyFont="1" applyFill="1" applyBorder="1" applyAlignment="1">
      <alignment horizontal="center" vertical="center" wrapText="1"/>
    </xf>
    <xf numFmtId="168" fontId="11" fillId="12" borderId="15" xfId="0" applyNumberFormat="1" applyFont="1" applyFill="1" applyBorder="1" applyAlignment="1">
      <alignment horizontal="center" vertical="center"/>
    </xf>
    <xf numFmtId="168" fontId="11" fillId="12" borderId="16" xfId="0" applyNumberFormat="1" applyFont="1" applyFill="1" applyBorder="1" applyAlignment="1">
      <alignment horizontal="center" vertical="center"/>
    </xf>
    <xf numFmtId="0" fontId="10" fillId="12" borderId="62" xfId="0" applyFont="1" applyFill="1" applyBorder="1" applyAlignment="1">
      <alignment horizontal="center" vertical="center"/>
    </xf>
    <xf numFmtId="0" fontId="10" fillId="12" borderId="63" xfId="0" applyFont="1" applyFill="1" applyBorder="1" applyAlignment="1">
      <alignment horizontal="center" vertical="center"/>
    </xf>
    <xf numFmtId="168" fontId="11" fillId="12" borderId="55" xfId="0" applyNumberFormat="1" applyFont="1" applyFill="1" applyBorder="1" applyAlignment="1">
      <alignment horizontal="center" vertical="center"/>
    </xf>
    <xf numFmtId="168" fontId="11" fillId="12" borderId="57" xfId="0" applyNumberFormat="1" applyFont="1" applyFill="1" applyBorder="1" applyAlignment="1">
      <alignment horizontal="center" vertical="center"/>
    </xf>
    <xf numFmtId="168" fontId="11" fillId="12" borderId="19" xfId="0" applyNumberFormat="1" applyFont="1" applyFill="1" applyBorder="1" applyAlignment="1">
      <alignment horizontal="center" vertical="center"/>
    </xf>
    <xf numFmtId="0" fontId="21" fillId="12" borderId="55" xfId="0" applyFont="1" applyFill="1" applyBorder="1" applyAlignment="1">
      <alignment horizontal="center" vertical="center" wrapText="1"/>
    </xf>
    <xf numFmtId="0" fontId="21" fillId="12" borderId="47" xfId="0" applyFont="1" applyFill="1" applyBorder="1" applyAlignment="1">
      <alignment horizontal="center" vertical="center" wrapText="1"/>
    </xf>
    <xf numFmtId="168" fontId="11" fillId="12" borderId="61" xfId="0" applyNumberFormat="1" applyFont="1" applyFill="1" applyBorder="1" applyAlignment="1">
      <alignment horizontal="center" vertical="center"/>
    </xf>
    <xf numFmtId="168" fontId="11" fillId="12" borderId="54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wrapText="1"/>
    </xf>
    <xf numFmtId="0" fontId="2" fillId="9" borderId="3" xfId="0" applyFont="1" applyFill="1" applyBorder="1" applyAlignment="1">
      <alignment horizontal="center" wrapText="1"/>
    </xf>
    <xf numFmtId="0" fontId="2" fillId="9" borderId="1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168" fontId="23" fillId="12" borderId="50" xfId="0" applyNumberFormat="1" applyFont="1" applyFill="1" applyBorder="1" applyAlignment="1">
      <alignment horizontal="center" vertical="center" wrapText="1"/>
    </xf>
    <xf numFmtId="168" fontId="23" fillId="12" borderId="46" xfId="0" applyNumberFormat="1" applyFont="1" applyFill="1" applyBorder="1" applyAlignment="1">
      <alignment horizontal="center" vertical="center" wrapText="1"/>
    </xf>
    <xf numFmtId="0" fontId="7" fillId="15" borderId="60" xfId="0" applyFont="1" applyFill="1" applyBorder="1" applyAlignment="1">
      <alignment horizontal="center" vertical="center"/>
    </xf>
    <xf numFmtId="0" fontId="7" fillId="15" borderId="61" xfId="0" applyFont="1" applyFill="1" applyBorder="1" applyAlignment="1">
      <alignment horizontal="center" vertical="center"/>
    </xf>
    <xf numFmtId="0" fontId="7" fillId="15" borderId="5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8" fontId="19" fillId="12" borderId="15" xfId="0" applyNumberFormat="1" applyFont="1" applyFill="1" applyBorder="1" applyAlignment="1">
      <alignment horizontal="center" vertical="center"/>
    </xf>
    <xf numFmtId="168" fontId="19" fillId="12" borderId="16" xfId="0" applyNumberFormat="1" applyFont="1" applyFill="1" applyBorder="1" applyAlignment="1">
      <alignment horizontal="center" vertical="center"/>
    </xf>
    <xf numFmtId="0" fontId="10" fillId="13" borderId="20" xfId="0" applyFont="1" applyFill="1" applyBorder="1" applyAlignment="1">
      <alignment horizontal="center" vertical="center"/>
    </xf>
    <xf numFmtId="0" fontId="10" fillId="12" borderId="55" xfId="0" applyFont="1" applyFill="1" applyBorder="1" applyAlignment="1">
      <alignment horizontal="center" vertical="center"/>
    </xf>
    <xf numFmtId="0" fontId="10" fillId="12" borderId="65" xfId="0" applyFont="1" applyFill="1" applyBorder="1" applyAlignment="1">
      <alignment horizontal="center" vertical="center"/>
    </xf>
    <xf numFmtId="0" fontId="22" fillId="12" borderId="50" xfId="0" applyFont="1" applyFill="1" applyBorder="1" applyAlignment="1">
      <alignment horizontal="center" vertical="center" wrapText="1"/>
    </xf>
    <xf numFmtId="0" fontId="22" fillId="12" borderId="46" xfId="0" applyFont="1" applyFill="1" applyBorder="1" applyAlignment="1">
      <alignment horizontal="center" vertical="center" wrapText="1"/>
    </xf>
    <xf numFmtId="0" fontId="10" fillId="12" borderId="18" xfId="0" applyFont="1" applyFill="1" applyBorder="1" applyAlignment="1">
      <alignment horizontal="center" vertical="center" wrapText="1"/>
    </xf>
    <xf numFmtId="0" fontId="7" fillId="0" borderId="52" xfId="0" applyFont="1" applyFill="1" applyBorder="1" applyAlignment="1">
      <alignment horizontal="center" vertical="center"/>
    </xf>
    <xf numFmtId="0" fontId="7" fillId="0" borderId="58" xfId="0" applyFont="1" applyFill="1" applyBorder="1" applyAlignment="1">
      <alignment horizontal="center" vertical="center"/>
    </xf>
    <xf numFmtId="0" fontId="7" fillId="0" borderId="59" xfId="0" applyFont="1" applyFill="1" applyBorder="1" applyAlignment="1">
      <alignment horizontal="center" vertical="center"/>
    </xf>
    <xf numFmtId="0" fontId="7" fillId="0" borderId="60" xfId="0" applyFont="1" applyFill="1" applyBorder="1" applyAlignment="1">
      <alignment horizontal="center" vertical="center"/>
    </xf>
    <xf numFmtId="0" fontId="7" fillId="0" borderId="61" xfId="0" applyFont="1" applyFill="1" applyBorder="1" applyAlignment="1">
      <alignment horizontal="center" vertical="center"/>
    </xf>
    <xf numFmtId="0" fontId="7" fillId="0" borderId="54" xfId="0" applyFont="1" applyFill="1" applyBorder="1" applyAlignment="1">
      <alignment horizontal="center" vertical="center"/>
    </xf>
    <xf numFmtId="0" fontId="22" fillId="14" borderId="50" xfId="0" applyFont="1" applyFill="1" applyBorder="1" applyAlignment="1">
      <alignment horizontal="center" vertical="center" wrapText="1"/>
    </xf>
    <xf numFmtId="0" fontId="22" fillId="14" borderId="46" xfId="0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0" fontId="22" fillId="12" borderId="17" xfId="0" applyFont="1" applyFill="1" applyBorder="1" applyAlignment="1">
      <alignment horizontal="center" vertical="center" wrapText="1"/>
    </xf>
    <xf numFmtId="0" fontId="22" fillId="12" borderId="8" xfId="0" applyFont="1" applyFill="1" applyBorder="1" applyAlignment="1">
      <alignment horizontal="center" vertical="center" wrapText="1"/>
    </xf>
    <xf numFmtId="0" fontId="19" fillId="14" borderId="31" xfId="0" applyFont="1" applyFill="1" applyBorder="1" applyAlignment="1">
      <alignment horizontal="center" vertical="center"/>
    </xf>
    <xf numFmtId="0" fontId="19" fillId="14" borderId="35" xfId="0" applyFont="1" applyFill="1" applyBorder="1" applyAlignment="1">
      <alignment horizontal="center" vertical="center"/>
    </xf>
    <xf numFmtId="168" fontId="19" fillId="12" borderId="58" xfId="0" applyNumberFormat="1" applyFont="1" applyFill="1" applyBorder="1" applyAlignment="1">
      <alignment horizontal="center" vertical="center"/>
    </xf>
    <xf numFmtId="168" fontId="19" fillId="12" borderId="59" xfId="0" applyNumberFormat="1" applyFont="1" applyFill="1" applyBorder="1" applyAlignment="1">
      <alignment horizontal="center" vertical="center"/>
    </xf>
    <xf numFmtId="0" fontId="22" fillId="12" borderId="32" xfId="0" applyFont="1" applyFill="1" applyBorder="1" applyAlignment="1">
      <alignment horizontal="center" vertical="center" wrapText="1"/>
    </xf>
    <xf numFmtId="0" fontId="7" fillId="16" borderId="23" xfId="0" applyFont="1" applyFill="1" applyBorder="1" applyAlignment="1">
      <alignment horizontal="center" vertical="center" wrapText="1"/>
    </xf>
    <xf numFmtId="0" fontId="7" fillId="16" borderId="21" xfId="0" applyFont="1" applyFill="1" applyBorder="1" applyAlignment="1">
      <alignment horizontal="center" vertical="center" wrapText="1"/>
    </xf>
    <xf numFmtId="0" fontId="7" fillId="16" borderId="30" xfId="0" applyFont="1" applyFill="1" applyBorder="1" applyAlignment="1">
      <alignment horizontal="center" vertical="center" wrapText="1"/>
    </xf>
    <xf numFmtId="3" fontId="10" fillId="13" borderId="30" xfId="0" applyNumberFormat="1" applyFont="1" applyFill="1" applyBorder="1" applyAlignment="1">
      <alignment horizontal="center" vertical="center" wrapText="1"/>
    </xf>
    <xf numFmtId="3" fontId="10" fillId="13" borderId="38" xfId="0" applyNumberFormat="1" applyFont="1" applyFill="1" applyBorder="1" applyAlignment="1">
      <alignment horizontal="center" vertical="center" wrapText="1"/>
    </xf>
    <xf numFmtId="0" fontId="10" fillId="14" borderId="5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0" fillId="14" borderId="7" xfId="0" applyFont="1" applyFill="1" applyBorder="1" applyAlignment="1">
      <alignment horizontal="center" vertical="center"/>
    </xf>
    <xf numFmtId="0" fontId="10" fillId="14" borderId="8" xfId="0" applyFont="1" applyFill="1" applyBorder="1" applyAlignment="1">
      <alignment horizontal="center" vertical="center"/>
    </xf>
    <xf numFmtId="168" fontId="19" fillId="12" borderId="1" xfId="0" applyNumberFormat="1" applyFont="1" applyFill="1" applyBorder="1" applyAlignment="1">
      <alignment horizontal="center" vertical="center"/>
    </xf>
    <xf numFmtId="168" fontId="19" fillId="12" borderId="13" xfId="0" applyNumberFormat="1" applyFont="1" applyFill="1" applyBorder="1" applyAlignment="1">
      <alignment horizontal="center" vertical="center"/>
    </xf>
    <xf numFmtId="0" fontId="10" fillId="14" borderId="9" xfId="0" applyFont="1" applyFill="1" applyBorder="1" applyAlignment="1">
      <alignment horizontal="center" vertical="center"/>
    </xf>
    <xf numFmtId="0" fontId="10" fillId="14" borderId="18" xfId="0" applyFont="1" applyFill="1" applyBorder="1" applyAlignment="1">
      <alignment horizontal="center" vertical="center" wrapText="1"/>
    </xf>
    <xf numFmtId="0" fontId="10" fillId="13" borderId="47" xfId="0" applyFont="1" applyFill="1" applyBorder="1" applyAlignment="1">
      <alignment horizontal="center" vertical="center"/>
    </xf>
    <xf numFmtId="0" fontId="10" fillId="13" borderId="88" xfId="0" applyFont="1" applyFill="1" applyBorder="1" applyAlignment="1">
      <alignment horizontal="center" vertical="center"/>
    </xf>
    <xf numFmtId="0" fontId="10" fillId="13" borderId="9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7">
    <cellStyle name="Excel Built-in Normal" xfId="2"/>
    <cellStyle name="Excel Built-in Normal 2" xfId="4"/>
    <cellStyle name="Excel Built-in Normal 2 2" xfId="3"/>
    <cellStyle name="Excel Built-in Normal 3" xfId="15"/>
    <cellStyle name="Millares 2" xfId="5"/>
    <cellStyle name="Millares 2 2" xfId="6"/>
    <cellStyle name="Millares 3" xfId="7"/>
    <cellStyle name="Millares 4" xfId="8"/>
    <cellStyle name="Millares 4 2" xfId="9"/>
    <cellStyle name="Moneda" xfId="1" builtinId="4"/>
    <cellStyle name="Moneda [0]" xfId="16" builtinId="7"/>
    <cellStyle name="Normal" xfId="0" builtinId="0"/>
    <cellStyle name="Normal 2" xfId="10"/>
    <cellStyle name="Normal 2 2" xfId="11"/>
    <cellStyle name="Normal 2 3" xfId="13"/>
    <cellStyle name="Normal 3" xfId="12"/>
    <cellStyle name="Normal 4 3" xfId="14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CCCCFF"/>
      <color rgb="FF66FF99"/>
      <color rgb="FFFCCD0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133350</xdr:rowOff>
    </xdr:from>
    <xdr:to>
      <xdr:col>1</xdr:col>
      <xdr:colOff>657225</xdr:colOff>
      <xdr:row>7</xdr:row>
      <xdr:rowOff>17896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33350"/>
          <a:ext cx="1333500" cy="1218046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114301</xdr:colOff>
      <xdr:row>1</xdr:row>
      <xdr:rowOff>9525</xdr:rowOff>
    </xdr:from>
    <xdr:to>
      <xdr:col>6</xdr:col>
      <xdr:colOff>692108</xdr:colOff>
      <xdr:row>7</xdr:row>
      <xdr:rowOff>9524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9976" y="200025"/>
          <a:ext cx="1339807" cy="1142999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114300</xdr:colOff>
      <xdr:row>0</xdr:row>
      <xdr:rowOff>161925</xdr:rowOff>
    </xdr:from>
    <xdr:to>
      <xdr:col>11</xdr:col>
      <xdr:colOff>687247</xdr:colOff>
      <xdr:row>7</xdr:row>
      <xdr:rowOff>66675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34350" y="161925"/>
          <a:ext cx="1334947" cy="1238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C96"/>
  <sheetViews>
    <sheetView tabSelected="1" zoomScale="85" zoomScaleNormal="85" workbookViewId="0">
      <pane xSplit="14" ySplit="33" topLeftCell="O34" activePane="bottomRight" state="frozen"/>
      <selection pane="topRight" activeCell="O1" sqref="O1"/>
      <selection pane="bottomLeft" activeCell="A34" sqref="A34"/>
      <selection pane="bottomRight" activeCell="D6" sqref="D6"/>
    </sheetView>
  </sheetViews>
  <sheetFormatPr baseColWidth="10" defaultRowHeight="15" x14ac:dyDescent="0.25"/>
  <cols>
    <col min="1" max="2" width="11.42578125" style="26"/>
    <col min="3" max="3" width="15.7109375" customWidth="1"/>
    <col min="4" max="4" width="12.7109375" bestFit="1" customWidth="1"/>
    <col min="5" max="5" width="2.42578125" customWidth="1"/>
    <col min="8" max="8" width="15.85546875" customWidth="1"/>
    <col min="9" max="9" width="27" customWidth="1"/>
    <col min="10" max="10" width="2.140625" customWidth="1"/>
    <col min="13" max="13" width="14.140625" bestFit="1" customWidth="1"/>
    <col min="14" max="14" width="29.42578125" customWidth="1"/>
    <col min="15" max="15" width="25.85546875" bestFit="1" customWidth="1"/>
    <col min="29" max="29" width="43.85546875" bestFit="1" customWidth="1"/>
  </cols>
  <sheetData>
    <row r="1" spans="1:29" x14ac:dyDescent="0.25">
      <c r="A1" s="505"/>
      <c r="B1" s="505"/>
      <c r="C1" s="505"/>
      <c r="D1" s="505"/>
      <c r="E1" s="506" t="str">
        <f>D4&amp;D5&amp;D6</f>
        <v>150CLASE H1.1KV</v>
      </c>
      <c r="F1" s="508"/>
      <c r="G1" s="508"/>
      <c r="H1" s="508"/>
      <c r="I1" s="508"/>
      <c r="J1" s="522" t="str">
        <f>I4&amp;I5</f>
        <v>301.1KV CON CUBICULO IP20</v>
      </c>
      <c r="K1" s="508"/>
      <c r="L1" s="508"/>
      <c r="M1" s="508"/>
      <c r="N1" s="508"/>
      <c r="O1" s="343" t="str">
        <f>N4&amp;N5&amp;N6</f>
        <v>225RDC15KV</v>
      </c>
      <c r="P1" s="508"/>
      <c r="Q1" s="508"/>
      <c r="R1" s="508"/>
      <c r="S1" s="508"/>
      <c r="T1" s="508"/>
      <c r="U1" s="508"/>
      <c r="V1" s="508"/>
      <c r="W1" s="508"/>
      <c r="X1" s="508"/>
      <c r="Y1" s="508"/>
      <c r="Z1" s="508"/>
      <c r="AA1" s="508"/>
      <c r="AC1">
        <v>5</v>
      </c>
    </row>
    <row r="2" spans="1:29" x14ac:dyDescent="0.25">
      <c r="A2" s="505"/>
      <c r="B2" s="505"/>
      <c r="C2" s="505"/>
      <c r="D2" s="505"/>
      <c r="E2" s="506"/>
      <c r="F2" s="508"/>
      <c r="G2" s="508"/>
      <c r="H2" s="508"/>
      <c r="I2" s="508"/>
      <c r="J2" s="522"/>
      <c r="K2" s="508"/>
      <c r="L2" s="508"/>
      <c r="M2" s="508"/>
      <c r="N2" s="508"/>
      <c r="O2" s="342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08"/>
      <c r="AC2">
        <v>10</v>
      </c>
    </row>
    <row r="3" spans="1:29" x14ac:dyDescent="0.25">
      <c r="A3" s="505"/>
      <c r="B3" s="505"/>
      <c r="C3" s="505"/>
      <c r="D3" s="505"/>
      <c r="E3" s="506"/>
      <c r="F3" s="508"/>
      <c r="G3" s="508"/>
      <c r="H3" s="509"/>
      <c r="I3" s="509"/>
      <c r="J3" s="522"/>
      <c r="K3" s="508"/>
      <c r="L3" s="508"/>
      <c r="M3" s="509"/>
      <c r="N3" s="509"/>
      <c r="O3" s="342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08"/>
      <c r="AC3">
        <v>15</v>
      </c>
    </row>
    <row r="4" spans="1:29" x14ac:dyDescent="0.25">
      <c r="A4" s="505"/>
      <c r="B4" s="505"/>
      <c r="C4" s="321" t="s">
        <v>5</v>
      </c>
      <c r="D4" s="324">
        <v>150</v>
      </c>
      <c r="E4" s="506"/>
      <c r="F4" s="508"/>
      <c r="G4" s="508"/>
      <c r="H4" s="41" t="s">
        <v>5</v>
      </c>
      <c r="I4" s="335">
        <v>30</v>
      </c>
      <c r="J4" s="522"/>
      <c r="K4" s="508"/>
      <c r="L4" s="508"/>
      <c r="M4" s="41" t="s">
        <v>5</v>
      </c>
      <c r="N4" s="335">
        <v>225</v>
      </c>
      <c r="O4" s="342"/>
      <c r="P4" s="508"/>
      <c r="Q4" s="508"/>
      <c r="R4" s="508"/>
      <c r="S4" s="508"/>
      <c r="T4" s="508"/>
      <c r="U4" s="508"/>
      <c r="V4" s="508"/>
      <c r="W4" s="508"/>
      <c r="X4" s="508"/>
      <c r="Y4" s="508"/>
      <c r="Z4" s="508"/>
      <c r="AA4" s="508"/>
      <c r="AC4">
        <v>20</v>
      </c>
    </row>
    <row r="5" spans="1:29" x14ac:dyDescent="0.25">
      <c r="A5" s="505"/>
      <c r="B5" s="505"/>
      <c r="C5" s="321" t="s">
        <v>118</v>
      </c>
      <c r="D5" s="345" t="s">
        <v>54</v>
      </c>
      <c r="E5" s="506"/>
      <c r="F5" s="508"/>
      <c r="G5" s="508"/>
      <c r="H5" s="41" t="s">
        <v>118</v>
      </c>
      <c r="I5" s="41" t="str">
        <f>+'SECOS CON CUBICULO'!A5</f>
        <v>1.1KV CON CUBICULO IP20</v>
      </c>
      <c r="J5" s="522"/>
      <c r="K5" s="508"/>
      <c r="L5" s="508"/>
      <c r="M5" s="41" t="s">
        <v>118</v>
      </c>
      <c r="N5" s="335" t="s">
        <v>33</v>
      </c>
      <c r="O5" s="342"/>
      <c r="P5" s="508"/>
      <c r="Q5" s="508"/>
      <c r="R5" s="508"/>
      <c r="S5" s="508"/>
      <c r="T5" s="508"/>
      <c r="U5" s="508"/>
      <c r="V5" s="508"/>
      <c r="W5" s="508"/>
      <c r="X5" s="508"/>
      <c r="Y5" s="508"/>
      <c r="Z5" s="508"/>
      <c r="AA5" s="508"/>
      <c r="AC5">
        <v>25</v>
      </c>
    </row>
    <row r="6" spans="1:29" x14ac:dyDescent="0.25">
      <c r="A6" s="505"/>
      <c r="B6" s="505"/>
      <c r="C6" s="321" t="s">
        <v>119</v>
      </c>
      <c r="D6" s="324" t="s">
        <v>3</v>
      </c>
      <c r="E6" s="506"/>
      <c r="F6" s="508"/>
      <c r="G6" s="508"/>
      <c r="H6" s="41" t="s">
        <v>119</v>
      </c>
      <c r="I6" s="332" t="s">
        <v>3</v>
      </c>
      <c r="J6" s="522"/>
      <c r="K6" s="508"/>
      <c r="L6" s="508"/>
      <c r="M6" s="41" t="s">
        <v>119</v>
      </c>
      <c r="N6" s="335" t="s">
        <v>21</v>
      </c>
      <c r="O6" s="342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C6">
        <v>30</v>
      </c>
    </row>
    <row r="7" spans="1:29" x14ac:dyDescent="0.25">
      <c r="A7" s="505"/>
      <c r="B7" s="505"/>
      <c r="C7" s="505"/>
      <c r="D7" s="505"/>
      <c r="E7" s="506"/>
      <c r="F7" s="508"/>
      <c r="G7" s="508"/>
      <c r="H7" s="515"/>
      <c r="I7" s="515"/>
      <c r="J7" s="522"/>
      <c r="K7" s="508"/>
      <c r="L7" s="508"/>
      <c r="M7" s="515"/>
      <c r="N7" s="515"/>
      <c r="O7" s="342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C7">
        <v>45</v>
      </c>
    </row>
    <row r="8" spans="1:29" x14ac:dyDescent="0.25">
      <c r="A8" s="505"/>
      <c r="B8" s="505"/>
      <c r="C8" s="505"/>
      <c r="D8" s="505"/>
      <c r="E8" s="506"/>
      <c r="F8" s="509"/>
      <c r="G8" s="509"/>
      <c r="H8" s="509"/>
      <c r="I8" s="509"/>
      <c r="J8" s="522"/>
      <c r="K8" s="505"/>
      <c r="L8" s="505"/>
      <c r="M8" s="509"/>
      <c r="N8" s="509"/>
      <c r="O8" s="342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C8">
        <v>50</v>
      </c>
    </row>
    <row r="9" spans="1:29" ht="15" customHeight="1" x14ac:dyDescent="0.25">
      <c r="A9" s="504" t="s">
        <v>123</v>
      </c>
      <c r="B9" s="507" t="s">
        <v>68</v>
      </c>
      <c r="C9" s="346"/>
      <c r="D9" s="394"/>
      <c r="E9" s="506"/>
      <c r="F9" s="523" t="s">
        <v>124</v>
      </c>
      <c r="G9" s="507" t="s">
        <v>68</v>
      </c>
      <c r="H9" s="346"/>
      <c r="I9" s="394"/>
      <c r="J9" s="522"/>
      <c r="K9" s="519" t="s">
        <v>149</v>
      </c>
      <c r="L9" s="507" t="s">
        <v>68</v>
      </c>
      <c r="M9" s="347"/>
      <c r="N9" s="394"/>
      <c r="O9" s="342"/>
      <c r="P9" s="508"/>
      <c r="Q9" s="508"/>
      <c r="R9" s="508"/>
      <c r="S9" s="508"/>
      <c r="T9" s="508"/>
      <c r="U9" s="508"/>
      <c r="V9" s="508"/>
      <c r="W9" s="508"/>
      <c r="X9" s="508"/>
      <c r="Y9" s="508"/>
      <c r="Z9" s="508"/>
      <c r="AA9" s="508"/>
      <c r="AC9">
        <v>60</v>
      </c>
    </row>
    <row r="10" spans="1:29" ht="15" customHeight="1" x14ac:dyDescent="0.25">
      <c r="A10" s="504"/>
      <c r="B10" s="507"/>
      <c r="C10" s="346" t="s">
        <v>120</v>
      </c>
      <c r="D10" s="394">
        <f>VLOOKUP($E$1,SECOS!$K$6:$AW$720004,2,FALSE)</f>
        <v>0.5</v>
      </c>
      <c r="E10" s="506"/>
      <c r="F10" s="523"/>
      <c r="G10" s="507"/>
      <c r="H10" s="346" t="s">
        <v>120</v>
      </c>
      <c r="I10" s="394">
        <f>VLOOKUP($J$1,'SECOS CON CUBICULO'!$K$5:$BP$190,2,FALSE)</f>
        <v>1.5</v>
      </c>
      <c r="J10" s="522"/>
      <c r="K10" s="520"/>
      <c r="L10" s="507"/>
      <c r="M10" s="347" t="s">
        <v>120</v>
      </c>
      <c r="N10" s="394">
        <f>VLOOKUP($O$1,ACEITE!$K$6:$BR$1322,2,FALSE)</f>
        <v>2.5</v>
      </c>
      <c r="O10" s="342"/>
      <c r="P10" s="508"/>
      <c r="Q10" s="508"/>
      <c r="R10" s="508"/>
      <c r="S10" s="508"/>
      <c r="T10" s="508"/>
      <c r="U10" s="508"/>
      <c r="V10" s="508"/>
      <c r="W10" s="508"/>
      <c r="X10" s="508"/>
      <c r="Y10" s="508"/>
      <c r="Z10" s="508"/>
      <c r="AA10" s="508"/>
      <c r="AC10">
        <v>75</v>
      </c>
    </row>
    <row r="11" spans="1:29" ht="15" customHeight="1" x14ac:dyDescent="0.25">
      <c r="A11" s="504"/>
      <c r="B11" s="507"/>
      <c r="C11" s="318" t="s">
        <v>151</v>
      </c>
      <c r="D11" s="319">
        <f>VLOOKUP($E$1,SECOS!$K$6:$AW$72004,4,FALSE)+VLOOKUP($E$1,SECOS!$K$6:$AW$72004,6,FALSE)</f>
        <v>0.75</v>
      </c>
      <c r="E11" s="506"/>
      <c r="F11" s="523"/>
      <c r="G11" s="507"/>
      <c r="H11" s="318" t="s">
        <v>151</v>
      </c>
      <c r="I11" s="319">
        <f>VLOOKUP($J$1,'SECOS CON CUBICULO'!$K$5:$BP$190,4,FALSE)+VLOOKUP($J$1,'SECOS CON CUBICULO'!$K$5:$BP$190,14,FALSE)+VLOOKUP($J$1,'SECOS CON CUBICULO'!$K$5:$BP$190,6,FALSE)+VLOOKUP($J$1,'SECOS CON CUBICULO'!$K$5:$BP$190,16,FALSE)+VLOOKUP($J$1,'SECOS CON CUBICULO'!$K$5:$BP$190,18,FALSE)</f>
        <v>6</v>
      </c>
      <c r="J11" s="522"/>
      <c r="K11" s="520"/>
      <c r="L11" s="507"/>
      <c r="M11" s="348" t="s">
        <v>151</v>
      </c>
      <c r="N11" s="394">
        <f>VLOOKUP($O$1,ACEITE!$K$6:$BR$1322,4,FALSE)+VLOOKUP($O$1,ACEITE!$K$6:$BR$1322,10,FALSE)+VLOOKUP($O$1,ACEITE!$K$6:$BR$1322,20,FALSE)+VLOOKUP($O$1,ACEITE!$K$6:$BR$1322,6,FALSE)+VLOOKUP($O$1,ACEITE!$K$6:$BR$1322,12,FALSE)+VLOOKUP($O$1,ACEITE!$K$6:$BR$1322,22,FALSE)</f>
        <v>6.25</v>
      </c>
      <c r="O11" s="342"/>
      <c r="P11" s="508"/>
      <c r="Q11" s="508"/>
      <c r="R11" s="508"/>
      <c r="S11" s="508"/>
      <c r="T11" s="508"/>
      <c r="U11" s="508"/>
      <c r="V11" s="508"/>
      <c r="W11" s="508"/>
      <c r="X11" s="508"/>
      <c r="Y11" s="508"/>
      <c r="Z11" s="508"/>
      <c r="AA11" s="508"/>
      <c r="AC11">
        <v>112.5</v>
      </c>
    </row>
    <row r="12" spans="1:29" ht="15" customHeight="1" x14ac:dyDescent="0.25">
      <c r="A12" s="504"/>
      <c r="B12" s="507"/>
      <c r="C12" s="318" t="s">
        <v>16</v>
      </c>
      <c r="D12" s="394">
        <f>VLOOKUP($E$1,SECOS!$K$6:$AW$72004,8,FALSE)</f>
        <v>6</v>
      </c>
      <c r="E12" s="506"/>
      <c r="F12" s="523"/>
      <c r="G12" s="507"/>
      <c r="H12" s="318" t="s">
        <v>16</v>
      </c>
      <c r="I12" s="394">
        <f>VLOOKUP($J$1,'SECOS CON CUBICULO'!$K$5:$BP$190,8,FALSE)+VLOOKUP($J$1,'SECOS CON CUBICULO'!$K$5:$BP$190,20,FALSE)</f>
        <v>14.5</v>
      </c>
      <c r="J12" s="522"/>
      <c r="K12" s="520"/>
      <c r="L12" s="507"/>
      <c r="M12" s="348"/>
      <c r="N12" s="319"/>
      <c r="O12" s="342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C12">
        <v>150</v>
      </c>
    </row>
    <row r="13" spans="1:29" ht="15" customHeight="1" x14ac:dyDescent="0.25">
      <c r="A13" s="504"/>
      <c r="B13" s="507"/>
      <c r="C13" s="318" t="s">
        <v>17</v>
      </c>
      <c r="D13" s="319">
        <f>VLOOKUP($E$1,SECOS!$K$6:$AW$72004,10,FALSE)</f>
        <v>0.25</v>
      </c>
      <c r="E13" s="506"/>
      <c r="F13" s="523"/>
      <c r="G13" s="507"/>
      <c r="H13" s="318" t="s">
        <v>17</v>
      </c>
      <c r="I13" s="319">
        <f>VLOOKUP($J$1,'SECOS CON CUBICULO'!$K$5:$BP$190,10,FALSE)+VLOOKUP($J$1,'SECOS CON CUBICULO'!$K$5:$BP$190,22,FALSE)</f>
        <v>1.25</v>
      </c>
      <c r="J13" s="522"/>
      <c r="K13" s="520"/>
      <c r="L13" s="507"/>
      <c r="M13" s="348" t="s">
        <v>16</v>
      </c>
      <c r="N13" s="395">
        <f>VLOOKUP($O$1,ACEITE!$K$6:$BR$1322,8,FALSE)+VLOOKUP($O$1,ACEITE!$K$6:$BR$1322,14,FALSE)+VLOOKUP($O$1,ACEITE!$K$6:$BR$1322,24,FALSE)</f>
        <v>32</v>
      </c>
      <c r="O13" s="342"/>
      <c r="P13" s="508"/>
      <c r="Q13" s="508"/>
      <c r="R13" s="508"/>
      <c r="S13" s="508"/>
      <c r="T13" s="508"/>
      <c r="U13" s="508"/>
      <c r="V13" s="508"/>
      <c r="W13" s="508"/>
      <c r="X13" s="508"/>
      <c r="Y13" s="508"/>
      <c r="Z13" s="508"/>
      <c r="AA13" s="508"/>
      <c r="AC13">
        <v>225</v>
      </c>
    </row>
    <row r="14" spans="1:29" ht="15" customHeight="1" x14ac:dyDescent="0.25">
      <c r="A14" s="504"/>
      <c r="B14" s="507"/>
      <c r="C14" s="318" t="s">
        <v>122</v>
      </c>
      <c r="D14" s="319">
        <f>VLOOKUP($E$1,SECOS!$K$6:$AW$72004,12,FALSE)</f>
        <v>0.33</v>
      </c>
      <c r="E14" s="506"/>
      <c r="F14" s="523"/>
      <c r="G14" s="507"/>
      <c r="H14" s="318" t="s">
        <v>122</v>
      </c>
      <c r="I14" s="319">
        <f>VLOOKUP($J$1,'SECOS CON CUBICULO'!$K$5:$BP$190,12,FALSE)+VLOOKUP($J$1,'SECOS CON CUBICULO'!$K$5:$BP$190,24,FALSE)</f>
        <v>1.5</v>
      </c>
      <c r="J14" s="522"/>
      <c r="K14" s="520"/>
      <c r="L14" s="507"/>
      <c r="M14" s="348" t="s">
        <v>17</v>
      </c>
      <c r="N14" s="319">
        <f>VLOOKUP($O$1,ACEITE!$K$6:$BR$1322,16,FALSE)+VLOOKUP($O$1,ACEITE!$K$6:$BR$1322,28,FALSE)</f>
        <v>2.5</v>
      </c>
      <c r="O14" s="342"/>
      <c r="P14" s="508"/>
      <c r="Q14" s="508"/>
      <c r="R14" s="508"/>
      <c r="S14" s="508"/>
      <c r="T14" s="508"/>
      <c r="U14" s="508"/>
      <c r="V14" s="508"/>
      <c r="W14" s="508"/>
      <c r="X14" s="508"/>
      <c r="Y14" s="508"/>
      <c r="Z14" s="508"/>
      <c r="AA14" s="508"/>
      <c r="AC14">
        <v>300</v>
      </c>
    </row>
    <row r="15" spans="1:29" s="26" customFormat="1" ht="15" customHeight="1" x14ac:dyDescent="0.25">
      <c r="A15" s="504"/>
      <c r="B15" s="507"/>
      <c r="C15" s="322" t="s">
        <v>6</v>
      </c>
      <c r="D15" s="392">
        <f>VLOOKUP($E$1,SECOS!$K$6:$AW$72004,17,FALSE)+VLOOKUP($E$1,SECOS!$K$6:$AW$72004,23,FALSE)+VLOOKUP($E$1,SECOS!$K$6:$AW$72004,25,FALSE)</f>
        <v>35.36</v>
      </c>
      <c r="E15" s="506"/>
      <c r="F15" s="523"/>
      <c r="G15" s="510" t="s">
        <v>72</v>
      </c>
      <c r="H15" s="322" t="s">
        <v>6</v>
      </c>
      <c r="I15" s="392">
        <f>VLOOKUP($J$1,'SECOS CON CUBICULO'!$K$5:$BP$190,29,FALSE)+VLOOKUP($J$1,'SECOS CON CUBICULO'!$K$5:$BP$190,35,FALSE)+VLOOKUP($J$1,'SECOS CON CUBICULO'!$K$5:$BP$190,37,FALSE)</f>
        <v>20.5</v>
      </c>
      <c r="J15" s="522"/>
      <c r="K15" s="520"/>
      <c r="L15" s="507"/>
      <c r="M15" s="348" t="s">
        <v>122</v>
      </c>
      <c r="N15" s="394">
        <f>VLOOKUP($O$1,ACEITE!$K$6:$BR$1322,18,FALSE)+VLOOKUP($O$1,ACEITE!$K$6:$BR$1322,30,FALSE)</f>
        <v>2.75</v>
      </c>
      <c r="O15" s="342"/>
      <c r="P15" s="508"/>
      <c r="Q15" s="508"/>
      <c r="R15" s="508"/>
      <c r="S15" s="508"/>
      <c r="T15" s="508"/>
      <c r="U15" s="508"/>
      <c r="V15" s="508"/>
      <c r="W15" s="508"/>
      <c r="X15" s="508"/>
      <c r="Y15" s="508"/>
      <c r="Z15" s="508"/>
      <c r="AA15" s="508"/>
      <c r="AC15">
        <v>400</v>
      </c>
    </row>
    <row r="16" spans="1:29" ht="15" customHeight="1" x14ac:dyDescent="0.25">
      <c r="A16" s="504"/>
      <c r="B16" s="510" t="s">
        <v>72</v>
      </c>
      <c r="C16" s="322" t="s">
        <v>150</v>
      </c>
      <c r="D16" s="392">
        <f>VLOOKUP($E$1,SECOS!$K$6:$AW$720004,19,FALSE)+VLOOKUP($E$1,SECOS!$K$6:$AW$720004,21,FALSE)</f>
        <v>6.25</v>
      </c>
      <c r="E16" s="506"/>
      <c r="F16" s="523"/>
      <c r="G16" s="510"/>
      <c r="H16" s="322" t="s">
        <v>60</v>
      </c>
      <c r="I16" s="392">
        <f>VLOOKUP($J$1,'SECOS CON CUBICULO'!$K$5:$BP$190,31,FALSE)</f>
        <v>5.25</v>
      </c>
      <c r="J16" s="522"/>
      <c r="K16" s="520"/>
      <c r="L16" s="507"/>
      <c r="M16" s="347" t="s">
        <v>26</v>
      </c>
      <c r="N16" s="394">
        <f>+VLOOKUP($O$1,ACEITE!$K$6:$BR$1322,32,FALSE)</f>
        <v>2</v>
      </c>
      <c r="O16" s="342"/>
      <c r="P16" s="508"/>
      <c r="Q16" s="508"/>
      <c r="R16" s="508"/>
      <c r="S16" s="508"/>
      <c r="T16" s="508"/>
      <c r="U16" s="508"/>
      <c r="V16" s="508"/>
      <c r="W16" s="508"/>
      <c r="X16" s="508"/>
      <c r="Y16" s="508"/>
      <c r="Z16" s="508"/>
      <c r="AA16" s="508"/>
      <c r="AC16">
        <v>500</v>
      </c>
    </row>
    <row r="17" spans="1:29" ht="15" customHeight="1" x14ac:dyDescent="0.25">
      <c r="A17" s="504"/>
      <c r="B17" s="510"/>
      <c r="C17" s="322" t="s">
        <v>121</v>
      </c>
      <c r="D17" s="392">
        <f>VLOOKUP($E$1,SECOS!$K$6:$AW$72004,27,FALSE)+VLOOKUP($E$1,SECOS!$K$6:$AW$72004,29,FALSE)</f>
        <v>1.92</v>
      </c>
      <c r="E17" s="506"/>
      <c r="F17" s="523"/>
      <c r="G17" s="510"/>
      <c r="H17" s="322" t="s">
        <v>23</v>
      </c>
      <c r="I17" s="323">
        <f>VLOOKUP($J$1,'SECOS CON CUBICULO'!$K$5:$BP$190,33,FALSE)</f>
        <v>0</v>
      </c>
      <c r="J17" s="522"/>
      <c r="K17" s="520"/>
      <c r="L17" s="516" t="s">
        <v>72</v>
      </c>
      <c r="M17" s="349" t="s">
        <v>6</v>
      </c>
      <c r="N17" s="392">
        <f>VLOOKUP($O$1,ACEITE!$K$6:$BR$1322,37,FALSE)+VLOOKUP($O$1,ACEITE!$K$6:$BR$1322,45,FALSE)</f>
        <v>27.2</v>
      </c>
      <c r="O17" s="342"/>
      <c r="P17" s="508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C17">
        <v>630</v>
      </c>
    </row>
    <row r="18" spans="1:29" ht="15" customHeight="1" x14ac:dyDescent="0.25">
      <c r="A18" s="504"/>
      <c r="B18" s="510"/>
      <c r="C18" s="322" t="s">
        <v>25</v>
      </c>
      <c r="D18" s="323">
        <f>VLOOKUP($E$1,SECOS!$K$6:$AW$72004,31,FALSE)+VLOOKUP($E$1,SECOS!$K$6:$AW$72004,33,FALSE)</f>
        <v>15.7</v>
      </c>
      <c r="E18" s="506"/>
      <c r="F18" s="523"/>
      <c r="G18" s="510"/>
      <c r="H18" s="322" t="s">
        <v>121</v>
      </c>
      <c r="I18" s="323">
        <f>VLOOKUP($J$1,'SECOS CON CUBICULO'!$K$5:$BP$190,39,FALSE)+VLOOKUP($J$1,'SECOS CON CUBICULO'!$K$5:$BP$190,41,FALSE)</f>
        <v>1.05</v>
      </c>
      <c r="J18" s="522"/>
      <c r="K18" s="520"/>
      <c r="L18" s="517"/>
      <c r="M18" s="349" t="s">
        <v>60</v>
      </c>
      <c r="N18" s="323">
        <f>VLOOKUP($O$1,ACEITE!$K$6:$BR$1322,39,FALSE)</f>
        <v>8.0500000000000007</v>
      </c>
      <c r="O18" s="342"/>
      <c r="P18" s="508"/>
      <c r="Q18" s="508"/>
      <c r="R18" s="508"/>
      <c r="S18" s="508"/>
      <c r="T18" s="508"/>
      <c r="U18" s="508"/>
      <c r="V18" s="508"/>
      <c r="W18" s="508"/>
      <c r="X18" s="508"/>
      <c r="Y18" s="508"/>
      <c r="Z18" s="508"/>
      <c r="AA18" s="508"/>
      <c r="AC18">
        <v>800</v>
      </c>
    </row>
    <row r="19" spans="1:29" ht="15" customHeight="1" x14ac:dyDescent="0.25">
      <c r="A19" s="504"/>
      <c r="B19" s="510"/>
      <c r="C19" s="322" t="s">
        <v>26</v>
      </c>
      <c r="D19" s="392">
        <f>VLOOKUP($E$1,SECOS!$K$6:$AW$72004,35,FALSE)</f>
        <v>3</v>
      </c>
      <c r="E19" s="506"/>
      <c r="F19" s="523"/>
      <c r="G19" s="510"/>
      <c r="H19" s="322" t="s">
        <v>25</v>
      </c>
      <c r="I19" s="392">
        <f>VLOOKUP($J$1,'SECOS CON CUBICULO'!$K$5:$BP$190,43,FALSE)+VLOOKUP($J$1,'SECOS CON CUBICULO'!$K$5:$BP$190,45,FALSE)+VLOOKUP($J$1,'SECOS CON CUBICULO'!$K$5:$BP$190,47,FALSE)</f>
        <v>12.75</v>
      </c>
      <c r="J19" s="522"/>
      <c r="K19" s="520"/>
      <c r="L19" s="517"/>
      <c r="M19" s="349" t="s">
        <v>121</v>
      </c>
      <c r="N19" s="392">
        <f>VLOOKUP($O$1,ACEITE!$K$6:$BR$1322,41,FALSE)+VLOOKUP($O$1,ACEITE!$K$6:$BR$1322,43,FALSE)</f>
        <v>1.98</v>
      </c>
      <c r="O19" s="342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C19">
        <v>1000</v>
      </c>
    </row>
    <row r="20" spans="1:29" ht="15" customHeight="1" x14ac:dyDescent="0.25">
      <c r="A20" s="504"/>
      <c r="B20" s="510"/>
      <c r="C20" s="322" t="s">
        <v>10</v>
      </c>
      <c r="D20" s="323">
        <f>VLOOKUP($E$1,SECOS!$K$6:$AW$72004,37,FALSE)</f>
        <v>4.25</v>
      </c>
      <c r="E20" s="506"/>
      <c r="F20" s="523"/>
      <c r="G20" s="510"/>
      <c r="H20" s="322" t="s">
        <v>26</v>
      </c>
      <c r="I20" s="392">
        <f>VLOOKUP($J$1,'SECOS CON CUBICULO'!$K$5:$BP$190,49,FALSE)</f>
        <v>3</v>
      </c>
      <c r="J20" s="522"/>
      <c r="K20" s="520"/>
      <c r="L20" s="517"/>
      <c r="M20" s="349" t="s">
        <v>25</v>
      </c>
      <c r="N20" s="392">
        <f>VLOOKUP($O$1,ACEITE!$K$6:$BR$1322,47,FALSE)</f>
        <v>12</v>
      </c>
      <c r="O20" s="342"/>
      <c r="P20" s="508"/>
      <c r="Q20" s="508"/>
      <c r="R20" s="508"/>
      <c r="S20" s="508"/>
      <c r="T20" s="508"/>
      <c r="U20" s="508"/>
      <c r="V20" s="508"/>
      <c r="W20" s="508"/>
      <c r="X20" s="508"/>
      <c r="Y20" s="508"/>
      <c r="Z20" s="508"/>
      <c r="AA20" s="508"/>
      <c r="AC20">
        <v>1250</v>
      </c>
    </row>
    <row r="21" spans="1:29" ht="15" customHeight="1" x14ac:dyDescent="0.25">
      <c r="A21" s="388"/>
      <c r="B21" s="389"/>
      <c r="C21" s="338" t="s">
        <v>11</v>
      </c>
      <c r="D21" s="390">
        <f>SUM(D9:D20)</f>
        <v>74.31</v>
      </c>
      <c r="E21" s="506"/>
      <c r="F21" s="523"/>
      <c r="G21" s="510"/>
      <c r="H21" s="322" t="s">
        <v>10</v>
      </c>
      <c r="I21" s="323">
        <f>VLOOKUP($J$1,'SECOS CON CUBICULO'!$K$5:$BP$190,51,FALSE)</f>
        <v>4.25</v>
      </c>
      <c r="J21" s="522"/>
      <c r="K21" s="520"/>
      <c r="L21" s="517"/>
      <c r="M21" s="349" t="s">
        <v>37</v>
      </c>
      <c r="N21" s="323">
        <f>VLOOKUP($O$1,ACEITE!$K$6:$BR$1322,49,FALSE)</f>
        <v>5.14</v>
      </c>
      <c r="O21" s="342"/>
      <c r="P21" s="508"/>
      <c r="Q21" s="508"/>
      <c r="R21" s="508"/>
      <c r="S21" s="508"/>
      <c r="T21" s="508"/>
      <c r="U21" s="508"/>
      <c r="V21" s="508"/>
      <c r="W21" s="508"/>
      <c r="X21" s="508"/>
      <c r="Y21" s="508"/>
      <c r="Z21" s="508"/>
      <c r="AA21" s="508"/>
      <c r="AC21">
        <v>1600</v>
      </c>
    </row>
    <row r="22" spans="1:29" ht="15" customHeight="1" x14ac:dyDescent="0.25">
      <c r="A22" s="388"/>
      <c r="B22" s="389"/>
      <c r="C22" s="391" t="s">
        <v>113</v>
      </c>
      <c r="D22" s="344">
        <f>VLOOKUP($E$1,SECOS!$K$6:$BA$724,43,FALSE)</f>
        <v>483015</v>
      </c>
      <c r="E22" s="506"/>
      <c r="F22" s="523"/>
      <c r="G22" s="510"/>
      <c r="H22" s="338" t="s">
        <v>11</v>
      </c>
      <c r="I22" s="333">
        <f>VLOOKUP($J$1,'SECOS CON CUBICULO'!$K$5:$BP$190,57,FALSE)</f>
        <v>71.55</v>
      </c>
      <c r="J22" s="522"/>
      <c r="K22" s="520"/>
      <c r="L22" s="517"/>
      <c r="M22" s="349" t="s">
        <v>26</v>
      </c>
      <c r="N22" s="392">
        <f>VLOOKUP($O$1,ACEITE!$K$6:$BR$1322,51,FALSE)</f>
        <v>2</v>
      </c>
      <c r="O22" s="342"/>
      <c r="P22" s="508"/>
      <c r="Q22" s="508"/>
      <c r="R22" s="508"/>
      <c r="S22" s="508"/>
      <c r="T22" s="508"/>
      <c r="U22" s="508"/>
      <c r="V22" s="508"/>
      <c r="W22" s="508"/>
      <c r="X22" s="508"/>
      <c r="Y22" s="508"/>
      <c r="Z22" s="508"/>
      <c r="AA22" s="508"/>
      <c r="AC22">
        <v>2000</v>
      </c>
    </row>
    <row r="23" spans="1:29" ht="15" customHeight="1" x14ac:dyDescent="0.25">
      <c r="A23" s="388"/>
      <c r="B23" s="389"/>
      <c r="C23" s="385"/>
      <c r="D23" s="385"/>
      <c r="E23" s="506"/>
      <c r="F23" s="387"/>
      <c r="G23" s="387"/>
      <c r="H23" s="320" t="s">
        <v>113</v>
      </c>
      <c r="I23" s="344">
        <f>VLOOKUP($J$1,'SECOS CON CUBICULO'!$K$5:$BP$190,58,FALSE)</f>
        <v>465075</v>
      </c>
      <c r="J23" s="522"/>
      <c r="K23" s="521"/>
      <c r="L23" s="518"/>
      <c r="M23" s="349" t="s">
        <v>10</v>
      </c>
      <c r="N23" s="393">
        <f>VLOOKUP($O$1,ACEITE!$K$6:$BR$1322,53,FALSE)</f>
        <v>8</v>
      </c>
      <c r="O23" s="342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Z23" s="508"/>
      <c r="AA23" s="508"/>
      <c r="AC23">
        <v>2500</v>
      </c>
    </row>
    <row r="24" spans="1:29" ht="15" customHeight="1" x14ac:dyDescent="0.25">
      <c r="A24" s="388"/>
      <c r="B24" s="389"/>
      <c r="C24" s="385"/>
      <c r="D24" s="385"/>
      <c r="E24" s="506"/>
      <c r="F24" s="387"/>
      <c r="G24" s="387"/>
      <c r="H24" s="446"/>
      <c r="I24" s="446"/>
      <c r="J24" s="522"/>
      <c r="K24" s="386"/>
      <c r="L24" s="386"/>
      <c r="M24" s="338" t="s">
        <v>11</v>
      </c>
      <c r="N24" s="333">
        <f>VLOOKUP($O$1,ACEITE!$K$6:$BR$1322,60,FALSE)</f>
        <v>112.37</v>
      </c>
      <c r="O24" s="342"/>
      <c r="P24" s="508"/>
      <c r="Q24" s="508"/>
      <c r="R24" s="508"/>
      <c r="S24" s="508"/>
      <c r="T24" s="508"/>
      <c r="U24" s="508"/>
      <c r="V24" s="508"/>
      <c r="W24" s="508"/>
      <c r="X24" s="508"/>
      <c r="Y24" s="508"/>
      <c r="Z24" s="508"/>
      <c r="AA24" s="508"/>
      <c r="AC24">
        <v>3000</v>
      </c>
    </row>
    <row r="25" spans="1:29" ht="15" customHeight="1" x14ac:dyDescent="0.25">
      <c r="A25" s="388"/>
      <c r="B25" s="389"/>
      <c r="C25" s="385"/>
      <c r="D25" s="385"/>
      <c r="E25" s="506"/>
      <c r="F25" s="505"/>
      <c r="G25" s="505"/>
      <c r="H25" s="388"/>
      <c r="I25" s="388"/>
      <c r="J25" s="522"/>
      <c r="K25" s="386"/>
      <c r="L25" s="386"/>
      <c r="M25" s="320" t="s">
        <v>113</v>
      </c>
      <c r="N25" s="344">
        <f>VLOOKUP($O$1,ACEITE!$K$6:$BR$1322,59,FALSE)</f>
        <v>730405</v>
      </c>
      <c r="O25" s="342"/>
      <c r="P25" s="508"/>
      <c r="Q25" s="508"/>
      <c r="R25" s="508"/>
      <c r="S25" s="508"/>
      <c r="T25" s="508"/>
      <c r="U25" s="508"/>
      <c r="V25" s="508"/>
      <c r="W25" s="508"/>
      <c r="X25" s="508"/>
      <c r="Y25" s="508"/>
      <c r="Z25" s="508"/>
      <c r="AA25" s="508"/>
      <c r="AC25" t="s">
        <v>145</v>
      </c>
    </row>
    <row r="26" spans="1:29" x14ac:dyDescent="0.25">
      <c r="A26" s="388"/>
      <c r="B26" s="389"/>
      <c r="C26" s="385"/>
      <c r="D26" s="385"/>
      <c r="E26" s="506"/>
      <c r="F26" s="505"/>
      <c r="G26" s="505"/>
      <c r="H26" s="388"/>
      <c r="I26" s="388"/>
      <c r="J26" s="522"/>
      <c r="K26" s="386"/>
      <c r="L26" s="386"/>
      <c r="M26" s="340"/>
      <c r="N26" s="340"/>
      <c r="O26" s="342"/>
      <c r="P26" s="508"/>
      <c r="Q26" s="508"/>
      <c r="R26" s="508"/>
      <c r="S26" s="508"/>
      <c r="T26" s="508"/>
      <c r="U26" s="508"/>
      <c r="V26" s="508"/>
      <c r="W26" s="508"/>
      <c r="X26" s="508"/>
      <c r="Y26" s="508"/>
      <c r="Z26" s="508"/>
      <c r="AA26" s="508"/>
      <c r="AC26" t="s">
        <v>147</v>
      </c>
    </row>
    <row r="27" spans="1:29" x14ac:dyDescent="0.25">
      <c r="A27" s="385"/>
      <c r="B27" s="389"/>
      <c r="C27" s="385"/>
      <c r="D27" s="385"/>
      <c r="E27" s="506"/>
      <c r="F27" s="505"/>
      <c r="G27" s="505"/>
      <c r="H27" s="388"/>
      <c r="I27" s="388"/>
      <c r="J27" s="340"/>
      <c r="K27" s="386"/>
      <c r="L27" s="386"/>
      <c r="M27" s="340"/>
      <c r="N27" s="340"/>
      <c r="O27" s="342"/>
      <c r="P27" s="508"/>
      <c r="Q27" s="508"/>
      <c r="R27" s="508"/>
      <c r="S27" s="508"/>
      <c r="T27" s="508"/>
      <c r="U27" s="508"/>
      <c r="V27" s="508"/>
      <c r="W27" s="508"/>
      <c r="X27" s="508"/>
      <c r="Y27" s="508"/>
      <c r="Z27" s="508"/>
      <c r="AA27" s="508"/>
      <c r="AC27" t="s">
        <v>126</v>
      </c>
    </row>
    <row r="28" spans="1:29" x14ac:dyDescent="0.25">
      <c r="A28" s="385"/>
      <c r="B28" s="389"/>
      <c r="C28" s="385"/>
      <c r="D28" s="385"/>
      <c r="E28" s="506"/>
      <c r="F28" s="505"/>
      <c r="G28" s="505"/>
      <c r="H28" s="388"/>
      <c r="I28" s="388"/>
      <c r="J28" s="340"/>
      <c r="K28" s="340"/>
      <c r="L28" s="340"/>
      <c r="M28" s="340"/>
      <c r="N28" s="340"/>
      <c r="O28" s="342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C28" t="s">
        <v>127</v>
      </c>
    </row>
    <row r="29" spans="1:29" x14ac:dyDescent="0.25">
      <c r="A29" s="385"/>
      <c r="B29" s="385"/>
      <c r="C29" s="385"/>
      <c r="D29" s="385"/>
      <c r="E29" s="508"/>
      <c r="F29" s="505"/>
      <c r="G29" s="505"/>
      <c r="H29" s="388"/>
      <c r="I29" s="388"/>
      <c r="J29" s="340"/>
      <c r="K29" s="340"/>
      <c r="L29" s="340"/>
      <c r="M29" s="340"/>
      <c r="N29" s="340"/>
      <c r="O29" s="342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C29" t="s">
        <v>128</v>
      </c>
    </row>
    <row r="30" spans="1:29" x14ac:dyDescent="0.25">
      <c r="A30" s="385"/>
      <c r="B30" s="385"/>
      <c r="C30" s="385"/>
      <c r="D30" s="385"/>
      <c r="E30" s="508"/>
      <c r="F30" s="505"/>
      <c r="G30" s="505"/>
      <c r="H30" s="388"/>
      <c r="I30" s="388"/>
      <c r="J30" s="340"/>
      <c r="K30" s="340"/>
      <c r="L30" s="340"/>
      <c r="M30" s="340"/>
      <c r="N30" s="340"/>
      <c r="O30" s="342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C30" t="s">
        <v>129</v>
      </c>
    </row>
    <row r="31" spans="1:29" ht="15.75" thickBot="1" x14ac:dyDescent="0.3">
      <c r="A31" s="385"/>
      <c r="B31" s="385"/>
      <c r="C31" s="385"/>
      <c r="D31" s="385"/>
      <c r="E31" s="508"/>
      <c r="F31" s="505"/>
      <c r="G31" s="505"/>
      <c r="H31" s="388"/>
      <c r="I31" s="388"/>
      <c r="J31" s="340"/>
      <c r="K31" s="340"/>
      <c r="L31" s="340"/>
      <c r="M31" s="340"/>
      <c r="N31" s="340"/>
      <c r="O31" s="342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C31" t="s">
        <v>130</v>
      </c>
    </row>
    <row r="32" spans="1:29" x14ac:dyDescent="0.25">
      <c r="A32" s="385"/>
      <c r="B32" s="385"/>
      <c r="C32" s="511">
        <f>VLOOKUP($E$1,SECOS!$K$6:$BA$724,42,FALSE)</f>
        <v>496752.43</v>
      </c>
      <c r="D32" s="512"/>
      <c r="E32" s="508"/>
      <c r="F32" s="505"/>
      <c r="G32" s="505"/>
      <c r="H32" s="511">
        <f>VLOOKUP($J$1,'SECOS CON CUBICULO'!$K$5:$BP$190,56,FALSE)</f>
        <v>490998.17499999999</v>
      </c>
      <c r="I32" s="512"/>
      <c r="J32" s="340"/>
      <c r="K32" s="340"/>
      <c r="L32" s="340"/>
      <c r="M32" s="511">
        <f>VLOOKUP($O$1,ACEITE!$K$6:$BR$1322,58,FALSE)</f>
        <v>750961.53</v>
      </c>
      <c r="N32" s="512"/>
      <c r="O32" s="342"/>
      <c r="P32" s="508"/>
      <c r="Q32" s="508"/>
      <c r="R32" s="508"/>
      <c r="S32" s="508"/>
      <c r="T32" s="508"/>
      <c r="U32" s="508"/>
      <c r="V32" s="508"/>
      <c r="W32" s="508"/>
      <c r="X32" s="508"/>
      <c r="Y32" s="508"/>
      <c r="Z32" s="508"/>
      <c r="AA32" s="508"/>
      <c r="AC32" t="s">
        <v>131</v>
      </c>
    </row>
    <row r="33" spans="1:29" ht="15.75" thickBot="1" x14ac:dyDescent="0.3">
      <c r="A33" s="385"/>
      <c r="B33" s="385"/>
      <c r="C33" s="513"/>
      <c r="D33" s="514"/>
      <c r="E33" s="508"/>
      <c r="F33" s="505"/>
      <c r="G33" s="505"/>
      <c r="H33" s="513"/>
      <c r="I33" s="514"/>
      <c r="J33" s="340"/>
      <c r="K33" s="340"/>
      <c r="L33" s="340"/>
      <c r="M33" s="513"/>
      <c r="N33" s="514"/>
      <c r="O33" s="342"/>
      <c r="P33" s="508"/>
      <c r="Q33" s="508"/>
      <c r="R33" s="508"/>
      <c r="S33" s="508"/>
      <c r="T33" s="508"/>
      <c r="U33" s="508"/>
      <c r="V33" s="508"/>
      <c r="W33" s="508"/>
      <c r="X33" s="508"/>
      <c r="Y33" s="508"/>
      <c r="Z33" s="508"/>
      <c r="AA33" s="508"/>
      <c r="AC33" t="s">
        <v>132</v>
      </c>
    </row>
    <row r="34" spans="1:29" x14ac:dyDescent="0.25">
      <c r="A34" s="385"/>
      <c r="B34" s="385"/>
      <c r="C34" s="385"/>
      <c r="D34" s="385"/>
      <c r="E34" s="508"/>
      <c r="F34" s="505"/>
      <c r="G34" s="505"/>
      <c r="H34" s="388"/>
      <c r="I34" s="388"/>
      <c r="J34" s="340"/>
      <c r="K34" s="340"/>
      <c r="L34" s="340"/>
      <c r="M34" s="340"/>
      <c r="N34" s="340"/>
      <c r="O34" s="342"/>
      <c r="P34" s="508"/>
      <c r="Q34" s="508"/>
      <c r="R34" s="508"/>
      <c r="S34" s="508"/>
      <c r="T34" s="508"/>
      <c r="U34" s="508"/>
      <c r="V34" s="508"/>
      <c r="W34" s="508"/>
      <c r="X34" s="508"/>
      <c r="Y34" s="508"/>
      <c r="Z34" s="508"/>
      <c r="AA34" s="508"/>
      <c r="AC34" t="s">
        <v>133</v>
      </c>
    </row>
    <row r="35" spans="1:29" x14ac:dyDescent="0.25">
      <c r="A35" s="385"/>
      <c r="B35" s="385"/>
      <c r="C35" s="385"/>
      <c r="D35" s="385"/>
      <c r="E35" s="508"/>
      <c r="F35" s="505"/>
      <c r="G35" s="505"/>
      <c r="H35" s="388"/>
      <c r="I35" s="388"/>
      <c r="J35" s="340"/>
      <c r="K35" s="340"/>
      <c r="L35" s="340"/>
      <c r="M35" s="340"/>
      <c r="N35" s="340"/>
      <c r="O35" s="342"/>
      <c r="P35" s="508"/>
      <c r="Q35" s="508"/>
      <c r="R35" s="508"/>
      <c r="S35" s="508"/>
      <c r="T35" s="508"/>
      <c r="U35" s="508"/>
      <c r="V35" s="508"/>
      <c r="W35" s="508"/>
      <c r="X35" s="508"/>
      <c r="Y35" s="508"/>
      <c r="Z35" s="508"/>
      <c r="AA35" s="508"/>
      <c r="AC35" t="s">
        <v>134</v>
      </c>
    </row>
    <row r="36" spans="1:29" x14ac:dyDescent="0.25">
      <c r="A36" s="385"/>
      <c r="B36" s="385"/>
      <c r="C36" s="385"/>
      <c r="D36" s="385"/>
      <c r="E36" s="508"/>
      <c r="F36" s="505"/>
      <c r="G36" s="505"/>
      <c r="H36" s="388"/>
      <c r="I36" s="388"/>
      <c r="J36" s="340"/>
      <c r="K36" s="340"/>
      <c r="L36" s="340"/>
      <c r="M36" s="340"/>
      <c r="N36" s="340"/>
      <c r="O36" s="342"/>
      <c r="P36" s="508"/>
      <c r="Q36" s="508"/>
      <c r="R36" s="508"/>
      <c r="S36" s="508"/>
      <c r="T36" s="508"/>
      <c r="U36" s="508"/>
      <c r="V36" s="508"/>
      <c r="W36" s="508"/>
      <c r="X36" s="508"/>
      <c r="Y36" s="508"/>
      <c r="Z36" s="508"/>
      <c r="AA36" s="508"/>
      <c r="AC36" t="s">
        <v>135</v>
      </c>
    </row>
    <row r="37" spans="1:29" x14ac:dyDescent="0.25">
      <c r="A37" s="385"/>
      <c r="B37" s="385"/>
      <c r="C37" s="385"/>
      <c r="D37" s="385"/>
      <c r="E37" s="508"/>
      <c r="F37" s="505"/>
      <c r="G37" s="505"/>
      <c r="H37" s="388"/>
      <c r="I37" s="388"/>
      <c r="J37" s="340"/>
      <c r="K37" s="340"/>
      <c r="L37" s="340"/>
      <c r="M37" s="340"/>
      <c r="N37" s="340"/>
      <c r="O37" s="342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C37" t="s">
        <v>136</v>
      </c>
    </row>
    <row r="38" spans="1:29" x14ac:dyDescent="0.25">
      <c r="A38" s="385"/>
      <c r="B38" s="385"/>
      <c r="C38" s="385"/>
      <c r="D38" s="385"/>
      <c r="E38" s="508"/>
      <c r="F38" s="505"/>
      <c r="G38" s="505"/>
      <c r="H38" s="339"/>
      <c r="I38" s="339"/>
      <c r="J38" s="340"/>
      <c r="K38" s="340"/>
      <c r="L38" s="340"/>
      <c r="M38" s="340"/>
      <c r="N38" s="340"/>
      <c r="O38" s="342"/>
      <c r="P38" s="508"/>
      <c r="Q38" s="508"/>
      <c r="R38" s="508"/>
      <c r="S38" s="508"/>
      <c r="T38" s="508"/>
      <c r="U38" s="508"/>
      <c r="V38" s="508"/>
      <c r="W38" s="508"/>
      <c r="X38" s="508"/>
      <c r="Y38" s="508"/>
      <c r="Z38" s="508"/>
      <c r="AA38" s="508"/>
      <c r="AC38" t="s">
        <v>137</v>
      </c>
    </row>
    <row r="39" spans="1:29" x14ac:dyDescent="0.25">
      <c r="A39" s="385"/>
      <c r="B39" s="385"/>
      <c r="C39" s="341"/>
      <c r="D39" s="341"/>
      <c r="E39" s="508"/>
      <c r="F39" s="505"/>
      <c r="G39" s="505"/>
      <c r="H39" s="340"/>
      <c r="I39" s="340"/>
      <c r="J39" s="340"/>
      <c r="K39" s="340"/>
      <c r="L39" s="340"/>
      <c r="M39" s="340"/>
      <c r="N39" s="340"/>
      <c r="O39" s="342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C39" t="s">
        <v>138</v>
      </c>
    </row>
    <row r="40" spans="1:29" x14ac:dyDescent="0.25">
      <c r="A40" s="385"/>
      <c r="B40" s="385"/>
      <c r="C40" s="341"/>
      <c r="D40" s="341"/>
      <c r="E40" s="508"/>
      <c r="F40" s="505"/>
      <c r="G40" s="505"/>
      <c r="H40" s="340"/>
      <c r="I40" s="340"/>
      <c r="J40" s="340"/>
      <c r="K40" s="340"/>
      <c r="L40" s="340"/>
      <c r="M40" s="339"/>
      <c r="N40" s="339"/>
      <c r="O40" s="342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C40" t="s">
        <v>139</v>
      </c>
    </row>
    <row r="41" spans="1:29" x14ac:dyDescent="0.25">
      <c r="A41" s="385"/>
      <c r="B41" s="385"/>
      <c r="C41" s="341"/>
      <c r="D41" s="341"/>
      <c r="E41" s="508"/>
      <c r="F41" s="505"/>
      <c r="G41" s="505"/>
      <c r="H41" s="341"/>
      <c r="I41" s="341"/>
      <c r="J41" s="339"/>
      <c r="K41" s="339"/>
      <c r="L41" s="339"/>
      <c r="M41" s="340"/>
      <c r="N41" s="340"/>
      <c r="O41" s="342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C41" t="s">
        <v>140</v>
      </c>
    </row>
    <row r="42" spans="1:29" x14ac:dyDescent="0.25">
      <c r="A42" s="385"/>
      <c r="B42" s="385"/>
      <c r="C42" s="341"/>
      <c r="D42" s="341"/>
      <c r="E42" s="508"/>
      <c r="F42" s="340"/>
      <c r="G42" s="340"/>
      <c r="H42" s="341"/>
      <c r="I42" s="341"/>
      <c r="J42" s="340"/>
      <c r="K42" s="340"/>
      <c r="L42" s="340"/>
      <c r="M42" s="340"/>
      <c r="N42" s="340"/>
      <c r="O42" s="342"/>
      <c r="P42" s="508"/>
      <c r="Q42" s="508"/>
      <c r="R42" s="508"/>
      <c r="S42" s="508"/>
      <c r="T42" s="508"/>
      <c r="U42" s="508"/>
      <c r="V42" s="508"/>
      <c r="W42" s="508"/>
      <c r="X42" s="508"/>
      <c r="Y42" s="508"/>
      <c r="Z42" s="508"/>
      <c r="AA42" s="508"/>
      <c r="AC42" t="s">
        <v>141</v>
      </c>
    </row>
    <row r="43" spans="1:29" x14ac:dyDescent="0.25">
      <c r="A43" s="341"/>
      <c r="B43" s="341"/>
      <c r="C43" s="341"/>
      <c r="D43" s="341"/>
      <c r="E43" s="341"/>
      <c r="F43" s="340"/>
      <c r="G43" s="340"/>
      <c r="H43" s="341"/>
      <c r="I43" s="341"/>
      <c r="J43" s="340"/>
      <c r="K43" s="340"/>
      <c r="L43" s="340"/>
      <c r="M43" s="341"/>
      <c r="N43" s="341"/>
      <c r="AC43" t="s">
        <v>142</v>
      </c>
    </row>
    <row r="44" spans="1:29" x14ac:dyDescent="0.25">
      <c r="A44" s="341"/>
      <c r="B44" s="341"/>
      <c r="C44" s="341"/>
      <c r="D44" s="341"/>
      <c r="E44" s="341"/>
      <c r="F44" s="341"/>
      <c r="G44" s="341"/>
      <c r="H44" s="341"/>
      <c r="I44" s="341"/>
      <c r="J44" s="341"/>
      <c r="K44" s="341"/>
      <c r="L44" s="341"/>
      <c r="M44" s="341"/>
      <c r="N44" s="341"/>
      <c r="AC44" t="s">
        <v>143</v>
      </c>
    </row>
    <row r="45" spans="1:29" x14ac:dyDescent="0.25">
      <c r="A45" s="341"/>
      <c r="B45" s="341"/>
      <c r="C45" s="341"/>
      <c r="D45" s="341"/>
      <c r="E45" s="341"/>
      <c r="F45" s="341"/>
      <c r="G45" s="341"/>
      <c r="H45" s="341"/>
      <c r="I45" s="341"/>
      <c r="J45" s="341"/>
      <c r="K45" s="341"/>
      <c r="L45" s="341"/>
      <c r="M45" s="341"/>
      <c r="N45" s="341"/>
    </row>
    <row r="46" spans="1:29" x14ac:dyDescent="0.25">
      <c r="A46" s="341"/>
      <c r="B46" s="341"/>
      <c r="C46" s="341"/>
      <c r="D46" s="341"/>
      <c r="E46" s="341"/>
      <c r="F46" s="341"/>
      <c r="G46" s="341"/>
      <c r="H46" s="341"/>
      <c r="I46" s="341"/>
      <c r="J46" s="341"/>
      <c r="K46" s="341"/>
      <c r="L46" s="341"/>
      <c r="M46" s="341"/>
      <c r="N46" s="341"/>
    </row>
    <row r="47" spans="1:29" x14ac:dyDescent="0.25">
      <c r="A47" s="341"/>
      <c r="B47" s="341"/>
      <c r="C47" s="341"/>
      <c r="D47" s="341"/>
      <c r="E47" s="341"/>
      <c r="F47" s="341"/>
      <c r="G47" s="341"/>
      <c r="H47" s="341"/>
      <c r="I47" s="341"/>
      <c r="J47" s="341"/>
      <c r="K47" s="341"/>
      <c r="L47" s="341"/>
      <c r="M47" s="341"/>
      <c r="N47" s="341"/>
    </row>
    <row r="48" spans="1:29" x14ac:dyDescent="0.25">
      <c r="A48" s="341"/>
      <c r="B48" s="341"/>
      <c r="C48" s="341"/>
      <c r="D48" s="341"/>
      <c r="E48" s="341"/>
      <c r="F48" s="341"/>
      <c r="G48" s="341"/>
      <c r="H48" s="341"/>
      <c r="I48" s="341"/>
      <c r="J48" s="341"/>
      <c r="K48" s="341"/>
      <c r="L48" s="341"/>
      <c r="M48" s="341"/>
      <c r="N48" s="341"/>
    </row>
    <row r="49" spans="1:14" x14ac:dyDescent="0.25">
      <c r="A49" s="341"/>
      <c r="B49" s="341"/>
      <c r="C49" s="341"/>
      <c r="D49" s="341"/>
      <c r="E49" s="341"/>
      <c r="F49" s="341"/>
      <c r="G49" s="341"/>
      <c r="H49" s="341"/>
      <c r="I49" s="341"/>
      <c r="J49" s="341"/>
      <c r="K49" s="341"/>
      <c r="L49" s="341"/>
      <c r="M49" s="341"/>
      <c r="N49" s="341"/>
    </row>
    <row r="50" spans="1:14" x14ac:dyDescent="0.25">
      <c r="A50" s="341"/>
      <c r="B50" s="341"/>
      <c r="C50" s="341"/>
      <c r="D50" s="341"/>
      <c r="E50" s="341"/>
      <c r="F50" s="341"/>
      <c r="G50" s="341"/>
      <c r="H50" s="341"/>
      <c r="I50" s="341"/>
      <c r="J50" s="341"/>
      <c r="K50" s="341"/>
      <c r="L50" s="341"/>
      <c r="M50" s="341"/>
      <c r="N50" s="341"/>
    </row>
    <row r="51" spans="1:14" x14ac:dyDescent="0.25">
      <c r="A51" s="341"/>
      <c r="B51" s="341"/>
      <c r="C51" s="341"/>
      <c r="D51" s="341"/>
      <c r="E51" s="341"/>
      <c r="F51" s="341"/>
      <c r="G51" s="341"/>
      <c r="H51" s="341"/>
      <c r="I51" s="341"/>
      <c r="J51" s="341"/>
      <c r="K51" s="341"/>
      <c r="L51" s="341"/>
      <c r="M51" s="341"/>
      <c r="N51" s="341"/>
    </row>
    <row r="52" spans="1:14" x14ac:dyDescent="0.25">
      <c r="A52" s="341"/>
      <c r="B52" s="341"/>
      <c r="C52" s="341"/>
      <c r="D52" s="341"/>
      <c r="E52" s="341"/>
      <c r="F52" s="341"/>
      <c r="G52" s="341"/>
      <c r="H52" s="341"/>
      <c r="I52" s="341"/>
      <c r="J52" s="341"/>
      <c r="K52" s="341"/>
      <c r="L52" s="341"/>
      <c r="M52" s="341"/>
      <c r="N52" s="341"/>
    </row>
    <row r="53" spans="1:14" x14ac:dyDescent="0.25">
      <c r="A53" s="341"/>
      <c r="B53" s="341"/>
      <c r="C53" s="341"/>
      <c r="D53" s="341"/>
      <c r="E53" s="341"/>
      <c r="F53" s="341"/>
      <c r="G53" s="341"/>
      <c r="H53" s="341"/>
      <c r="I53" s="341"/>
      <c r="J53" s="341"/>
      <c r="K53" s="341"/>
      <c r="L53" s="341"/>
      <c r="M53" s="341"/>
      <c r="N53" s="341"/>
    </row>
    <row r="54" spans="1:14" x14ac:dyDescent="0.25">
      <c r="A54" s="341"/>
      <c r="B54" s="341"/>
      <c r="C54" s="341"/>
      <c r="D54" s="341"/>
      <c r="E54" s="341"/>
      <c r="F54" s="341"/>
      <c r="G54" s="341"/>
      <c r="H54" s="341"/>
      <c r="I54" s="341"/>
      <c r="J54" s="341"/>
      <c r="K54" s="341"/>
      <c r="L54" s="341"/>
      <c r="M54" s="341"/>
      <c r="N54" s="341"/>
    </row>
    <row r="55" spans="1:14" x14ac:dyDescent="0.25">
      <c r="A55" s="341"/>
      <c r="B55" s="341"/>
      <c r="C55" s="341"/>
      <c r="D55" s="341"/>
      <c r="E55" s="341"/>
      <c r="F55" s="341"/>
      <c r="G55" s="341"/>
      <c r="H55" s="341"/>
      <c r="I55" s="341"/>
      <c r="J55" s="341"/>
      <c r="K55" s="341"/>
      <c r="L55" s="341"/>
      <c r="M55" s="341"/>
      <c r="N55" s="341"/>
    </row>
    <row r="56" spans="1:14" x14ac:dyDescent="0.25">
      <c r="A56" s="341"/>
      <c r="B56" s="341"/>
      <c r="C56" s="341"/>
      <c r="D56" s="341"/>
      <c r="E56" s="341"/>
      <c r="F56" s="341"/>
      <c r="G56" s="341"/>
      <c r="H56" s="341"/>
      <c r="I56" s="341"/>
      <c r="J56" s="341"/>
      <c r="K56" s="341"/>
      <c r="L56" s="341"/>
      <c r="M56" s="341"/>
      <c r="N56" s="341"/>
    </row>
    <row r="57" spans="1:14" x14ac:dyDescent="0.25">
      <c r="A57" s="341"/>
      <c r="B57" s="341"/>
      <c r="C57" s="341"/>
      <c r="D57" s="341"/>
      <c r="E57" s="341"/>
      <c r="F57" s="341"/>
      <c r="G57" s="341"/>
      <c r="H57" s="341"/>
      <c r="I57" s="341"/>
      <c r="J57" s="341"/>
      <c r="K57" s="341"/>
      <c r="L57" s="341"/>
      <c r="M57" s="341"/>
      <c r="N57" s="341"/>
    </row>
    <row r="58" spans="1:14" x14ac:dyDescent="0.25">
      <c r="A58" s="341"/>
      <c r="B58" s="341"/>
      <c r="C58" s="341"/>
      <c r="D58" s="341"/>
      <c r="E58" s="341"/>
      <c r="F58" s="341"/>
      <c r="G58" s="341"/>
      <c r="H58" s="341"/>
      <c r="I58" s="341"/>
      <c r="J58" s="341"/>
      <c r="K58" s="341"/>
      <c r="L58" s="341"/>
      <c r="M58" s="341"/>
      <c r="N58" s="341"/>
    </row>
    <row r="59" spans="1:14" x14ac:dyDescent="0.25">
      <c r="A59" s="341"/>
      <c r="B59" s="341"/>
      <c r="C59" s="341"/>
      <c r="D59" s="341"/>
      <c r="E59" s="341"/>
      <c r="F59" s="341"/>
      <c r="G59" s="341"/>
      <c r="H59" s="341"/>
      <c r="I59" s="341"/>
      <c r="J59" s="341"/>
      <c r="K59" s="341"/>
      <c r="L59" s="341"/>
      <c r="M59" s="341"/>
      <c r="N59" s="341"/>
    </row>
    <row r="60" spans="1:14" x14ac:dyDescent="0.25">
      <c r="A60" s="341"/>
      <c r="B60" s="341"/>
      <c r="C60" s="341"/>
      <c r="D60" s="341"/>
      <c r="E60" s="341"/>
      <c r="F60" s="341"/>
      <c r="G60" s="341"/>
      <c r="H60" s="341"/>
      <c r="I60" s="341"/>
      <c r="J60" s="341"/>
      <c r="K60" s="341"/>
      <c r="L60" s="341"/>
      <c r="M60" s="341"/>
      <c r="N60" s="341"/>
    </row>
    <row r="61" spans="1:14" x14ac:dyDescent="0.25">
      <c r="A61" s="341"/>
      <c r="B61" s="341"/>
      <c r="C61" s="341"/>
      <c r="D61" s="341"/>
      <c r="E61" s="341"/>
      <c r="F61" s="341"/>
      <c r="G61" s="341"/>
      <c r="H61" s="341"/>
      <c r="I61" s="341"/>
      <c r="J61" s="341"/>
      <c r="K61" s="341"/>
      <c r="L61" s="341"/>
      <c r="M61" s="341"/>
      <c r="N61" s="341"/>
    </row>
    <row r="62" spans="1:14" x14ac:dyDescent="0.25">
      <c r="A62" s="341"/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1"/>
      <c r="M62" s="341"/>
      <c r="N62" s="341"/>
    </row>
    <row r="63" spans="1:14" x14ac:dyDescent="0.25">
      <c r="A63" s="341"/>
      <c r="B63" s="341"/>
      <c r="C63" s="341"/>
      <c r="D63" s="341"/>
      <c r="E63" s="341"/>
      <c r="F63" s="341"/>
      <c r="G63" s="341"/>
      <c r="H63" s="341"/>
      <c r="I63" s="341"/>
      <c r="J63" s="341"/>
      <c r="K63" s="341"/>
      <c r="L63" s="341"/>
      <c r="M63" s="341"/>
      <c r="N63" s="341"/>
    </row>
    <row r="64" spans="1:14" x14ac:dyDescent="0.25">
      <c r="A64" s="341"/>
      <c r="B64" s="341"/>
      <c r="C64" s="341"/>
      <c r="D64" s="341"/>
      <c r="E64" s="341"/>
      <c r="F64" s="341"/>
      <c r="G64" s="341"/>
      <c r="H64" s="341"/>
      <c r="I64" s="341"/>
      <c r="J64" s="341"/>
      <c r="K64" s="341"/>
      <c r="L64" s="341"/>
      <c r="M64" s="341"/>
      <c r="N64" s="341"/>
    </row>
    <row r="65" spans="1:14" x14ac:dyDescent="0.25">
      <c r="A65" s="341"/>
      <c r="B65" s="341"/>
      <c r="C65" s="341"/>
      <c r="D65" s="341"/>
      <c r="E65" s="341"/>
      <c r="F65" s="341"/>
      <c r="G65" s="341"/>
      <c r="H65" s="341"/>
      <c r="I65" s="341"/>
      <c r="J65" s="341"/>
      <c r="K65" s="341"/>
      <c r="L65" s="341"/>
      <c r="M65" s="341"/>
      <c r="N65" s="341"/>
    </row>
    <row r="66" spans="1:14" x14ac:dyDescent="0.25">
      <c r="A66" s="341"/>
      <c r="B66" s="341"/>
      <c r="C66" s="341"/>
      <c r="D66" s="341"/>
      <c r="E66" s="341"/>
      <c r="F66" s="341"/>
      <c r="G66" s="341"/>
      <c r="H66" s="341"/>
      <c r="I66" s="341"/>
      <c r="J66" s="341"/>
      <c r="K66" s="341"/>
      <c r="L66" s="341"/>
      <c r="M66" s="341"/>
      <c r="N66" s="341"/>
    </row>
    <row r="67" spans="1:14" x14ac:dyDescent="0.25">
      <c r="A67" s="341"/>
      <c r="B67" s="341"/>
      <c r="C67" s="341"/>
      <c r="D67" s="341"/>
      <c r="E67" s="341"/>
      <c r="F67" s="341"/>
      <c r="G67" s="341"/>
      <c r="H67" s="341"/>
      <c r="I67" s="341"/>
      <c r="J67" s="341"/>
      <c r="K67" s="341"/>
      <c r="L67" s="341"/>
      <c r="M67" s="341"/>
      <c r="N67" s="341"/>
    </row>
    <row r="68" spans="1:14" x14ac:dyDescent="0.25">
      <c r="A68" s="341"/>
      <c r="B68" s="341"/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</row>
    <row r="69" spans="1:14" x14ac:dyDescent="0.25">
      <c r="A69" s="341"/>
      <c r="B69" s="341"/>
      <c r="C69" s="341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</row>
    <row r="70" spans="1:14" x14ac:dyDescent="0.25">
      <c r="A70" s="341"/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</row>
    <row r="71" spans="1:14" x14ac:dyDescent="0.25">
      <c r="A71" s="341"/>
      <c r="B71" s="341"/>
      <c r="C71" s="341"/>
      <c r="D71" s="341"/>
      <c r="E71" s="341"/>
      <c r="F71" s="341"/>
      <c r="G71" s="341"/>
      <c r="H71" s="341"/>
      <c r="I71" s="341"/>
      <c r="J71" s="341"/>
      <c r="K71" s="341"/>
      <c r="L71" s="341"/>
      <c r="M71" s="341"/>
      <c r="N71" s="341"/>
    </row>
    <row r="72" spans="1:14" x14ac:dyDescent="0.25">
      <c r="A72" s="341"/>
      <c r="B72" s="341"/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</row>
    <row r="73" spans="1:14" x14ac:dyDescent="0.25">
      <c r="A73" s="341"/>
      <c r="B73" s="341"/>
      <c r="C73" s="341"/>
      <c r="D73" s="341"/>
      <c r="E73" s="341"/>
      <c r="F73" s="341"/>
      <c r="G73" s="341"/>
      <c r="H73" s="341"/>
      <c r="I73" s="341"/>
      <c r="J73" s="341"/>
      <c r="K73" s="341"/>
      <c r="L73" s="341"/>
      <c r="M73" s="341"/>
      <c r="N73" s="341"/>
    </row>
    <row r="74" spans="1:14" x14ac:dyDescent="0.25">
      <c r="A74" s="341"/>
      <c r="B74" s="341"/>
      <c r="C74" s="341"/>
      <c r="D74" s="341"/>
      <c r="E74" s="341"/>
      <c r="F74" s="341"/>
      <c r="G74" s="341"/>
      <c r="H74" s="341"/>
      <c r="I74" s="341"/>
      <c r="J74" s="341"/>
      <c r="K74" s="341"/>
      <c r="L74" s="341"/>
      <c r="M74" s="341"/>
      <c r="N74" s="341"/>
    </row>
    <row r="75" spans="1:14" x14ac:dyDescent="0.25">
      <c r="A75" s="341"/>
      <c r="B75" s="341"/>
      <c r="C75" s="341"/>
      <c r="D75" s="341"/>
      <c r="E75" s="341"/>
      <c r="F75" s="341"/>
      <c r="G75" s="341"/>
      <c r="H75" s="341"/>
      <c r="I75" s="341"/>
      <c r="J75" s="341"/>
      <c r="K75" s="341"/>
      <c r="L75" s="341"/>
      <c r="M75" s="341"/>
      <c r="N75" s="341"/>
    </row>
    <row r="76" spans="1:14" x14ac:dyDescent="0.25">
      <c r="A76" s="341"/>
      <c r="B76" s="341"/>
      <c r="C76" s="341"/>
      <c r="D76" s="341"/>
      <c r="E76" s="341"/>
      <c r="F76" s="341"/>
      <c r="G76" s="341"/>
      <c r="H76" s="341"/>
      <c r="I76" s="341"/>
      <c r="J76" s="341"/>
      <c r="K76" s="341"/>
      <c r="L76" s="341"/>
      <c r="M76" s="341"/>
      <c r="N76" s="341"/>
    </row>
    <row r="77" spans="1:14" x14ac:dyDescent="0.25">
      <c r="A77" s="341"/>
      <c r="B77" s="341"/>
      <c r="C77" s="341"/>
      <c r="D77" s="341"/>
      <c r="E77" s="341"/>
      <c r="F77" s="341"/>
      <c r="G77" s="341"/>
      <c r="H77" s="341"/>
      <c r="I77" s="341"/>
      <c r="J77" s="341"/>
      <c r="K77" s="341"/>
      <c r="L77" s="341"/>
      <c r="M77" s="341"/>
      <c r="N77" s="341"/>
    </row>
    <row r="78" spans="1:14" x14ac:dyDescent="0.25">
      <c r="A78" s="341"/>
      <c r="B78" s="341"/>
      <c r="C78" s="341"/>
      <c r="D78" s="341"/>
      <c r="E78" s="341"/>
      <c r="F78" s="341"/>
      <c r="G78" s="341"/>
      <c r="H78" s="341"/>
      <c r="I78" s="341"/>
      <c r="J78" s="341"/>
      <c r="K78" s="341"/>
      <c r="L78" s="341"/>
      <c r="M78" s="341"/>
      <c r="N78" s="341"/>
    </row>
    <row r="79" spans="1:14" x14ac:dyDescent="0.25">
      <c r="A79" s="341"/>
      <c r="B79" s="341"/>
      <c r="C79" s="341"/>
      <c r="D79" s="341"/>
      <c r="E79" s="341"/>
      <c r="F79" s="341"/>
      <c r="G79" s="341"/>
      <c r="H79" s="341"/>
      <c r="I79" s="341"/>
      <c r="J79" s="341"/>
      <c r="K79" s="341"/>
      <c r="L79" s="341"/>
      <c r="M79" s="341"/>
      <c r="N79" s="341"/>
    </row>
    <row r="80" spans="1:14" x14ac:dyDescent="0.25">
      <c r="A80" s="341"/>
      <c r="B80" s="341"/>
      <c r="C80" s="341"/>
      <c r="D80" s="341"/>
      <c r="E80" s="341"/>
      <c r="F80" s="341"/>
      <c r="G80" s="341"/>
      <c r="H80" s="341"/>
      <c r="I80" s="341"/>
      <c r="J80" s="341"/>
      <c r="K80" s="341"/>
      <c r="L80" s="341"/>
      <c r="M80" s="341"/>
      <c r="N80" s="341"/>
    </row>
    <row r="81" spans="1:14" x14ac:dyDescent="0.25">
      <c r="A81" s="341"/>
      <c r="B81" s="341"/>
      <c r="C81" s="341"/>
      <c r="D81" s="341"/>
      <c r="E81" s="341"/>
      <c r="F81" s="341"/>
      <c r="G81" s="341"/>
      <c r="H81" s="341"/>
      <c r="I81" s="341"/>
      <c r="J81" s="341"/>
      <c r="K81" s="341"/>
      <c r="L81" s="341"/>
      <c r="M81" s="341"/>
      <c r="N81" s="341"/>
    </row>
    <row r="82" spans="1:14" x14ac:dyDescent="0.25">
      <c r="A82" s="341"/>
      <c r="B82" s="341"/>
      <c r="C82" s="341"/>
      <c r="D82" s="341"/>
      <c r="E82" s="341"/>
      <c r="F82" s="341"/>
      <c r="G82" s="341"/>
      <c r="H82" s="341"/>
      <c r="I82" s="341"/>
      <c r="J82" s="341"/>
      <c r="K82" s="341"/>
      <c r="L82" s="341"/>
      <c r="M82" s="341"/>
      <c r="N82" s="341"/>
    </row>
    <row r="83" spans="1:14" x14ac:dyDescent="0.25">
      <c r="A83" s="341"/>
      <c r="B83" s="341"/>
      <c r="C83" s="341"/>
      <c r="D83" s="341"/>
      <c r="E83" s="341"/>
      <c r="F83" s="341"/>
      <c r="G83" s="341"/>
      <c r="H83" s="341"/>
      <c r="I83" s="341"/>
      <c r="J83" s="341"/>
      <c r="K83" s="341"/>
      <c r="L83" s="341"/>
      <c r="M83" s="341"/>
      <c r="N83" s="341"/>
    </row>
    <row r="84" spans="1:14" x14ac:dyDescent="0.25">
      <c r="A84" s="341"/>
      <c r="B84" s="341"/>
      <c r="C84" s="341"/>
      <c r="D84" s="341"/>
      <c r="E84" s="341"/>
      <c r="F84" s="341"/>
      <c r="G84" s="341"/>
      <c r="H84" s="341"/>
      <c r="I84" s="341"/>
      <c r="J84" s="341"/>
      <c r="K84" s="341"/>
      <c r="L84" s="341"/>
      <c r="M84" s="341"/>
      <c r="N84" s="341"/>
    </row>
    <row r="85" spans="1:14" x14ac:dyDescent="0.25">
      <c r="A85" s="341"/>
      <c r="B85" s="341"/>
      <c r="C85" s="341"/>
      <c r="D85" s="341"/>
      <c r="E85" s="341"/>
      <c r="F85" s="341"/>
      <c r="G85" s="341"/>
      <c r="H85" s="341"/>
      <c r="I85" s="341"/>
      <c r="J85" s="341"/>
      <c r="K85" s="341"/>
      <c r="L85" s="341"/>
      <c r="M85" s="341"/>
      <c r="N85" s="341"/>
    </row>
    <row r="86" spans="1:14" x14ac:dyDescent="0.25">
      <c r="A86" s="341"/>
      <c r="B86" s="341"/>
      <c r="C86" s="341"/>
      <c r="D86" s="341"/>
      <c r="E86" s="341"/>
      <c r="F86" s="341"/>
      <c r="G86" s="341"/>
      <c r="H86" s="341"/>
      <c r="I86" s="341"/>
      <c r="J86" s="341"/>
      <c r="K86" s="341"/>
      <c r="L86" s="341"/>
      <c r="M86" s="341"/>
      <c r="N86" s="341"/>
    </row>
    <row r="87" spans="1:14" x14ac:dyDescent="0.25">
      <c r="A87" s="341"/>
      <c r="B87" s="341"/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</row>
    <row r="88" spans="1:14" x14ac:dyDescent="0.25">
      <c r="A88" s="341"/>
      <c r="B88" s="341"/>
      <c r="C88" s="341"/>
      <c r="D88" s="341"/>
      <c r="E88" s="341"/>
      <c r="F88" s="341"/>
      <c r="G88" s="341"/>
      <c r="H88" s="341"/>
      <c r="I88" s="341"/>
      <c r="J88" s="341"/>
      <c r="K88" s="341"/>
      <c r="L88" s="341"/>
      <c r="M88" s="341"/>
      <c r="N88" s="341"/>
    </row>
    <row r="89" spans="1:14" x14ac:dyDescent="0.25">
      <c r="A89" s="341"/>
      <c r="B89" s="341"/>
      <c r="C89" s="341"/>
      <c r="D89" s="341"/>
      <c r="E89" s="341"/>
      <c r="F89" s="341"/>
      <c r="G89" s="341"/>
      <c r="H89" s="341"/>
      <c r="I89" s="341"/>
      <c r="J89" s="341"/>
      <c r="K89" s="341"/>
      <c r="L89" s="341"/>
      <c r="M89" s="341"/>
      <c r="N89" s="341"/>
    </row>
    <row r="90" spans="1:14" x14ac:dyDescent="0.25">
      <c r="A90" s="341"/>
      <c r="B90" s="341"/>
      <c r="C90" s="341"/>
      <c r="D90" s="341"/>
      <c r="E90" s="341"/>
      <c r="F90" s="341"/>
      <c r="G90" s="341"/>
      <c r="H90" s="341"/>
      <c r="I90" s="341"/>
      <c r="J90" s="341"/>
      <c r="K90" s="341"/>
      <c r="L90" s="341"/>
      <c r="M90" s="341"/>
      <c r="N90" s="341"/>
    </row>
    <row r="91" spans="1:14" x14ac:dyDescent="0.25">
      <c r="A91" s="341"/>
      <c r="B91" s="341"/>
      <c r="C91" s="341"/>
      <c r="D91" s="341"/>
      <c r="E91" s="341"/>
      <c r="F91" s="341"/>
      <c r="G91" s="341"/>
      <c r="H91" s="341"/>
      <c r="I91" s="341"/>
      <c r="J91" s="341"/>
      <c r="K91" s="341"/>
      <c r="L91" s="341"/>
      <c r="M91" s="341"/>
      <c r="N91" s="341"/>
    </row>
    <row r="92" spans="1:14" x14ac:dyDescent="0.25">
      <c r="A92" s="341"/>
      <c r="B92" s="341"/>
      <c r="C92" s="341"/>
      <c r="D92" s="341"/>
      <c r="E92" s="341"/>
      <c r="F92" s="341"/>
      <c r="G92" s="341"/>
      <c r="H92" s="341"/>
      <c r="I92" s="341"/>
      <c r="J92" s="341"/>
      <c r="K92" s="341"/>
      <c r="L92" s="341"/>
      <c r="M92" s="341"/>
      <c r="N92" s="341"/>
    </row>
    <row r="93" spans="1:14" x14ac:dyDescent="0.25">
      <c r="A93" s="341"/>
      <c r="B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</row>
    <row r="94" spans="1:14" x14ac:dyDescent="0.25">
      <c r="A94" s="341"/>
      <c r="B94" s="341"/>
      <c r="E94" s="341"/>
      <c r="F94" s="341"/>
      <c r="G94" s="341"/>
      <c r="J94" s="341"/>
      <c r="K94" s="341"/>
      <c r="L94" s="341"/>
      <c r="M94" s="341"/>
      <c r="N94" s="341"/>
    </row>
    <row r="95" spans="1:14" x14ac:dyDescent="0.25">
      <c r="A95" s="341"/>
      <c r="B95" s="341"/>
      <c r="E95" s="341"/>
      <c r="F95" s="341"/>
      <c r="G95" s="341"/>
      <c r="J95" s="341"/>
      <c r="K95" s="341"/>
      <c r="L95" s="341"/>
      <c r="M95" s="341"/>
      <c r="N95" s="341"/>
    </row>
    <row r="96" spans="1:14" x14ac:dyDescent="0.25">
      <c r="A96" s="341"/>
      <c r="B96" s="341"/>
      <c r="E96" s="341"/>
      <c r="F96" s="341"/>
      <c r="G96" s="341"/>
      <c r="J96" s="341"/>
      <c r="K96" s="341"/>
      <c r="L96" s="341"/>
    </row>
  </sheetData>
  <sheetProtection password="E047" sheet="1" objects="1" scenarios="1" selectLockedCells="1"/>
  <mergeCells count="26">
    <mergeCell ref="J1:J26"/>
    <mergeCell ref="H7:I8"/>
    <mergeCell ref="F25:G41"/>
    <mergeCell ref="G9:G14"/>
    <mergeCell ref="G15:G22"/>
    <mergeCell ref="F9:F22"/>
    <mergeCell ref="P1:AA42"/>
    <mergeCell ref="K1:L8"/>
    <mergeCell ref="M1:N3"/>
    <mergeCell ref="M7:N8"/>
    <mergeCell ref="L9:L16"/>
    <mergeCell ref="L17:L23"/>
    <mergeCell ref="K9:K23"/>
    <mergeCell ref="M32:N33"/>
    <mergeCell ref="E29:E42"/>
    <mergeCell ref="F1:G8"/>
    <mergeCell ref="H1:I3"/>
    <mergeCell ref="B16:B20"/>
    <mergeCell ref="H32:I33"/>
    <mergeCell ref="C32:D33"/>
    <mergeCell ref="A9:A20"/>
    <mergeCell ref="C1:D3"/>
    <mergeCell ref="A1:B6"/>
    <mergeCell ref="A7:D8"/>
    <mergeCell ref="E1:E28"/>
    <mergeCell ref="B9:B15"/>
  </mergeCells>
  <dataValidations count="6">
    <dataValidation type="list" allowBlank="1" showInputMessage="1" showErrorMessage="1" sqref="D6 I6">
      <formula1>"1.1KV,15KV,36KV"</formula1>
    </dataValidation>
    <dataValidation type="list" allowBlank="1" showInputMessage="1" showErrorMessage="1" sqref="D4 I4">
      <formula1>$AC$1:$AC$24</formula1>
    </dataValidation>
    <dataValidation type="list" allowBlank="1" showInputMessage="1" showErrorMessage="1" sqref="N5">
      <formula1>"CNV,RDC,MLL,2 VIAS,3 VIAS,4 VIAS,5 VIAS,6 VIAS"</formula1>
    </dataValidation>
    <dataValidation type="list" allowBlank="1" showInputMessage="1" showErrorMessage="1" sqref="N4">
      <formula1>$AC$1:$AC$50</formula1>
    </dataValidation>
    <dataValidation type="list" allowBlank="1" showInputMessage="1" showErrorMessage="1" sqref="N6">
      <formula1>"1.1KV,15KV,36KV,CJM"</formula1>
    </dataValidation>
    <dataValidation type="list" allowBlank="1" showInputMessage="1" showErrorMessage="1" sqref="D5">
      <formula1>"CLASE H,CLASE F"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C34"/>
  <sheetViews>
    <sheetView zoomScale="70" zoomScaleNormal="70" workbookViewId="0">
      <pane xSplit="10" topLeftCell="L1" activePane="topRight" state="frozen"/>
      <selection pane="topRight" activeCell="V6" sqref="V6"/>
    </sheetView>
  </sheetViews>
  <sheetFormatPr baseColWidth="10" defaultRowHeight="15" x14ac:dyDescent="0.25"/>
  <cols>
    <col min="1" max="1" width="26" bestFit="1" customWidth="1"/>
    <col min="3" max="3" width="14.85546875" customWidth="1"/>
    <col min="4" max="9" width="11.42578125" hidden="1" customWidth="1"/>
    <col min="10" max="10" width="14.7109375" hidden="1" customWidth="1"/>
    <col min="11" max="11" width="30.5703125" style="26" hidden="1" customWidth="1"/>
    <col min="12" max="12" width="29.28515625" bestFit="1" customWidth="1"/>
    <col min="13" max="13" width="16.7109375" style="26" hidden="1" customWidth="1"/>
    <col min="14" max="14" width="10.5703125" bestFit="1" customWidth="1"/>
    <col min="15" max="15" width="11.28515625" hidden="1" customWidth="1"/>
    <col min="16" max="16" width="10.5703125" bestFit="1" customWidth="1"/>
    <col min="17" max="17" width="11.28515625" hidden="1" customWidth="1"/>
    <col min="18" max="18" width="10.5703125" bestFit="1" customWidth="1"/>
    <col min="19" max="19" width="11.28515625" style="26" hidden="1" customWidth="1"/>
    <col min="20" max="20" width="10.5703125" style="26" bestFit="1" customWidth="1"/>
    <col min="21" max="21" width="16.7109375" style="26" hidden="1" customWidth="1"/>
    <col min="22" max="22" width="10.5703125" style="26" bestFit="1" customWidth="1"/>
    <col min="23" max="23" width="11.28515625" style="26" hidden="1" customWidth="1"/>
    <col min="24" max="24" width="10.5703125" bestFit="1" customWidth="1"/>
    <col min="25" max="25" width="11.28515625" style="26" hidden="1" customWidth="1"/>
    <col min="26" max="26" width="10.5703125" bestFit="1" customWidth="1"/>
    <col min="27" max="27" width="11.28515625" style="26" hidden="1" customWidth="1"/>
    <col min="28" max="28" width="10.5703125" style="26" bestFit="1" customWidth="1"/>
    <col min="29" max="29" width="11.28515625" style="26" hidden="1" customWidth="1"/>
    <col min="30" max="30" width="10.5703125" bestFit="1" customWidth="1"/>
    <col min="31" max="31" width="11.28515625" hidden="1" customWidth="1"/>
    <col min="32" max="32" width="10.5703125" bestFit="1" customWidth="1"/>
    <col min="33" max="33" width="11.28515625" hidden="1" customWidth="1"/>
    <col min="34" max="34" width="10.5703125" bestFit="1" customWidth="1"/>
    <col min="35" max="35" width="11.28515625" hidden="1" customWidth="1"/>
    <col min="36" max="36" width="10.5703125" hidden="1" customWidth="1"/>
    <col min="37" max="37" width="11.28515625" hidden="1" customWidth="1"/>
    <col min="38" max="38" width="17.42578125" bestFit="1" customWidth="1"/>
    <col min="39" max="39" width="24.5703125" bestFit="1" customWidth="1"/>
    <col min="40" max="40" width="11.28515625" hidden="1" customWidth="1"/>
    <col min="41" max="41" width="10.5703125" bestFit="1" customWidth="1"/>
    <col min="42" max="42" width="11.28515625" hidden="1" customWidth="1"/>
    <col min="43" max="43" width="10.5703125" bestFit="1" customWidth="1"/>
    <col min="44" max="44" width="11.28515625" hidden="1" customWidth="1"/>
    <col min="45" max="45" width="10.5703125" bestFit="1" customWidth="1"/>
    <col min="46" max="46" width="11.28515625" style="26" hidden="1" customWidth="1"/>
    <col min="47" max="47" width="12" bestFit="1" customWidth="1"/>
    <col min="48" max="48" width="11.28515625" hidden="1" customWidth="1"/>
    <col min="49" max="49" width="10.5703125" bestFit="1" customWidth="1"/>
    <col min="50" max="50" width="11.28515625" hidden="1" customWidth="1"/>
    <col min="51" max="51" width="10.5703125" bestFit="1" customWidth="1"/>
    <col min="52" max="52" width="11.28515625" hidden="1" customWidth="1"/>
    <col min="53" max="53" width="10.5703125" bestFit="1" customWidth="1"/>
    <col min="54" max="54" width="11.28515625" hidden="1" customWidth="1"/>
    <col min="55" max="55" width="10.5703125" style="26" bestFit="1" customWidth="1"/>
    <col min="56" max="56" width="9.5703125" style="26" hidden="1" customWidth="1"/>
    <col min="57" max="57" width="10.5703125" bestFit="1" customWidth="1"/>
    <col min="58" max="58" width="11.28515625" style="26" hidden="1" customWidth="1"/>
    <col min="59" max="59" width="10.5703125" bestFit="1" customWidth="1"/>
    <col min="60" max="60" width="11.28515625" hidden="1" customWidth="1"/>
    <col min="61" max="61" width="10.5703125" bestFit="1" customWidth="1"/>
    <col min="62" max="62" width="9.5703125" hidden="1" customWidth="1"/>
    <col min="63" max="63" width="10.5703125" hidden="1" customWidth="1"/>
    <col min="64" max="64" width="11.28515625" hidden="1" customWidth="1"/>
    <col min="65" max="65" width="11.7109375" bestFit="1" customWidth="1"/>
    <col min="66" max="66" width="16.7109375" bestFit="1" customWidth="1"/>
    <col min="67" max="67" width="11.140625" bestFit="1" customWidth="1"/>
    <col min="68" max="68" width="16.28515625" bestFit="1" customWidth="1"/>
    <col min="80" max="81" width="0" style="276" hidden="1" customWidth="1"/>
  </cols>
  <sheetData>
    <row r="1" spans="1:81" ht="15.75" customHeight="1" thickBot="1" x14ac:dyDescent="0.3">
      <c r="A1" s="532" t="s">
        <v>53</v>
      </c>
      <c r="B1" s="534" t="s">
        <v>1</v>
      </c>
      <c r="C1" s="535" t="s">
        <v>5</v>
      </c>
      <c r="D1" s="565" t="s">
        <v>50</v>
      </c>
      <c r="E1" s="566"/>
      <c r="F1" s="566"/>
      <c r="G1" s="566"/>
      <c r="H1" s="566"/>
      <c r="I1" s="566"/>
      <c r="J1" s="567"/>
      <c r="K1" s="581" t="s">
        <v>125</v>
      </c>
      <c r="L1" s="188" t="s">
        <v>51</v>
      </c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90"/>
      <c r="AM1" s="182" t="s">
        <v>52</v>
      </c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83"/>
      <c r="BA1" s="183"/>
      <c r="BB1" s="183"/>
      <c r="BC1" s="183"/>
      <c r="BD1" s="183"/>
      <c r="BE1" s="183"/>
      <c r="BF1" s="183"/>
      <c r="BG1" s="183"/>
      <c r="BH1" s="183"/>
      <c r="BI1" s="183"/>
      <c r="BJ1" s="183"/>
      <c r="BK1" s="184"/>
      <c r="BL1" s="184"/>
      <c r="BM1" s="185"/>
      <c r="BN1" s="578" t="s">
        <v>49</v>
      </c>
      <c r="BO1" s="583" t="s">
        <v>114</v>
      </c>
      <c r="BP1" s="580" t="s">
        <v>113</v>
      </c>
      <c r="BQ1" s="26"/>
      <c r="CB1" s="277">
        <v>42766.333981481483</v>
      </c>
      <c r="CC1" s="276" t="s">
        <v>115</v>
      </c>
    </row>
    <row r="2" spans="1:81" ht="38.25" customHeight="1" x14ac:dyDescent="0.25">
      <c r="A2" s="532"/>
      <c r="B2" s="534"/>
      <c r="C2" s="564"/>
      <c r="D2" s="574" t="s">
        <v>45</v>
      </c>
      <c r="E2" s="575"/>
      <c r="F2" s="575" t="s">
        <v>46</v>
      </c>
      <c r="G2" s="575"/>
      <c r="H2" s="575" t="s">
        <v>47</v>
      </c>
      <c r="I2" s="575"/>
      <c r="J2" s="576" t="s">
        <v>48</v>
      </c>
      <c r="K2" s="582"/>
      <c r="L2" s="538" t="s">
        <v>93</v>
      </c>
      <c r="M2" s="539"/>
      <c r="N2" s="542" t="s">
        <v>14</v>
      </c>
      <c r="O2" s="543"/>
      <c r="P2" s="585" t="s">
        <v>15</v>
      </c>
      <c r="Q2" s="586"/>
      <c r="R2" s="542" t="s">
        <v>55</v>
      </c>
      <c r="S2" s="543"/>
      <c r="T2" s="542" t="s">
        <v>98</v>
      </c>
      <c r="U2" s="543"/>
      <c r="V2" s="542" t="s">
        <v>99</v>
      </c>
      <c r="W2" s="543"/>
      <c r="X2" s="524" t="s">
        <v>90</v>
      </c>
      <c r="Y2" s="525"/>
      <c r="Z2" s="524" t="s">
        <v>91</v>
      </c>
      <c r="AA2" s="525"/>
      <c r="AB2" s="524" t="s">
        <v>112</v>
      </c>
      <c r="AC2" s="525"/>
      <c r="AD2" s="524" t="s">
        <v>92</v>
      </c>
      <c r="AE2" s="525"/>
      <c r="AF2" s="524" t="s">
        <v>100</v>
      </c>
      <c r="AG2" s="525"/>
      <c r="AH2" s="524" t="s">
        <v>101</v>
      </c>
      <c r="AI2" s="525"/>
      <c r="AJ2" s="540" t="s">
        <v>58</v>
      </c>
      <c r="AK2" s="541"/>
      <c r="AL2" s="556" t="s">
        <v>48</v>
      </c>
      <c r="AM2" s="544" t="s">
        <v>6</v>
      </c>
      <c r="AN2" s="545"/>
      <c r="AO2" s="544" t="s">
        <v>76</v>
      </c>
      <c r="AP2" s="545"/>
      <c r="AQ2" s="123" t="s">
        <v>29</v>
      </c>
      <c r="AR2" s="124"/>
      <c r="AS2" s="528" t="s">
        <v>95</v>
      </c>
      <c r="AT2" s="529"/>
      <c r="AU2" s="186" t="s">
        <v>94</v>
      </c>
      <c r="AV2" s="187"/>
      <c r="AW2" s="528" t="s">
        <v>28</v>
      </c>
      <c r="AX2" s="529"/>
      <c r="AY2" s="528" t="s">
        <v>27</v>
      </c>
      <c r="AZ2" s="529"/>
      <c r="BA2" s="544" t="s">
        <v>9</v>
      </c>
      <c r="BB2" s="545"/>
      <c r="BC2" s="528" t="s">
        <v>97</v>
      </c>
      <c r="BD2" s="529"/>
      <c r="BE2" s="528" t="s">
        <v>96</v>
      </c>
      <c r="BF2" s="529"/>
      <c r="BG2" s="544" t="s">
        <v>26</v>
      </c>
      <c r="BH2" s="545"/>
      <c r="BI2" s="544" t="s">
        <v>10</v>
      </c>
      <c r="BJ2" s="545"/>
      <c r="BK2" s="528" t="s">
        <v>58</v>
      </c>
      <c r="BL2" s="587"/>
      <c r="BM2" s="588" t="s">
        <v>48</v>
      </c>
      <c r="BN2" s="578"/>
      <c r="BO2" s="584"/>
      <c r="BP2" s="580"/>
      <c r="BQ2" s="26"/>
    </row>
    <row r="3" spans="1:81" ht="25.5" x14ac:dyDescent="0.25">
      <c r="A3" s="532"/>
      <c r="B3" s="534"/>
      <c r="C3" s="564"/>
      <c r="D3" s="548" t="s">
        <v>43</v>
      </c>
      <c r="E3" s="82" t="s">
        <v>44</v>
      </c>
      <c r="F3" s="548" t="s">
        <v>43</v>
      </c>
      <c r="G3" s="82" t="s">
        <v>44</v>
      </c>
      <c r="H3" s="548" t="s">
        <v>43</v>
      </c>
      <c r="I3" s="82" t="s">
        <v>44</v>
      </c>
      <c r="J3" s="577"/>
      <c r="K3" s="582"/>
      <c r="L3" s="568" t="s">
        <v>89</v>
      </c>
      <c r="M3" s="326" t="s">
        <v>44</v>
      </c>
      <c r="N3" s="570" t="s">
        <v>43</v>
      </c>
      <c r="O3" s="326" t="s">
        <v>44</v>
      </c>
      <c r="P3" s="572" t="s">
        <v>43</v>
      </c>
      <c r="Q3" s="326" t="s">
        <v>44</v>
      </c>
      <c r="R3" s="550" t="s">
        <v>43</v>
      </c>
      <c r="S3" s="326" t="s">
        <v>44</v>
      </c>
      <c r="T3" s="550" t="s">
        <v>43</v>
      </c>
      <c r="U3" s="326" t="s">
        <v>44</v>
      </c>
      <c r="V3" s="550" t="s">
        <v>43</v>
      </c>
      <c r="W3" s="326" t="s">
        <v>44</v>
      </c>
      <c r="X3" s="526" t="s">
        <v>43</v>
      </c>
      <c r="Y3" s="328" t="s">
        <v>44</v>
      </c>
      <c r="Z3" s="526" t="s">
        <v>43</v>
      </c>
      <c r="AA3" s="328" t="s">
        <v>44</v>
      </c>
      <c r="AB3" s="526" t="s">
        <v>43</v>
      </c>
      <c r="AC3" s="329" t="s">
        <v>44</v>
      </c>
      <c r="AD3" s="526" t="s">
        <v>43</v>
      </c>
      <c r="AE3" s="329" t="s">
        <v>44</v>
      </c>
      <c r="AF3" s="546" t="s">
        <v>43</v>
      </c>
      <c r="AG3" s="328" t="s">
        <v>44</v>
      </c>
      <c r="AH3" s="546" t="s">
        <v>43</v>
      </c>
      <c r="AI3" s="328" t="s">
        <v>44</v>
      </c>
      <c r="AJ3" s="552" t="s">
        <v>43</v>
      </c>
      <c r="AK3" s="130" t="s">
        <v>44</v>
      </c>
      <c r="AL3" s="556"/>
      <c r="AM3" s="536" t="s">
        <v>43</v>
      </c>
      <c r="AN3" s="121" t="s">
        <v>44</v>
      </c>
      <c r="AO3" s="536" t="s">
        <v>43</v>
      </c>
      <c r="AP3" s="121" t="s">
        <v>44</v>
      </c>
      <c r="AQ3" s="554" t="s">
        <v>43</v>
      </c>
      <c r="AR3" s="125" t="s">
        <v>44</v>
      </c>
      <c r="AS3" s="554" t="s">
        <v>43</v>
      </c>
      <c r="AT3" s="125" t="s">
        <v>44</v>
      </c>
      <c r="AU3" s="536" t="s">
        <v>43</v>
      </c>
      <c r="AV3" s="121" t="s">
        <v>44</v>
      </c>
      <c r="AW3" s="536" t="s">
        <v>43</v>
      </c>
      <c r="AX3" s="121" t="s">
        <v>44</v>
      </c>
      <c r="AY3" s="536" t="s">
        <v>43</v>
      </c>
      <c r="AZ3" s="121" t="s">
        <v>44</v>
      </c>
      <c r="BA3" s="536" t="s">
        <v>43</v>
      </c>
      <c r="BB3" s="121" t="s">
        <v>44</v>
      </c>
      <c r="BC3" s="536" t="s">
        <v>43</v>
      </c>
      <c r="BD3" s="121" t="s">
        <v>44</v>
      </c>
      <c r="BE3" s="554" t="s">
        <v>43</v>
      </c>
      <c r="BF3" s="121" t="s">
        <v>44</v>
      </c>
      <c r="BG3" s="536" t="s">
        <v>43</v>
      </c>
      <c r="BH3" s="121" t="s">
        <v>44</v>
      </c>
      <c r="BI3" s="536" t="s">
        <v>43</v>
      </c>
      <c r="BJ3" s="121" t="s">
        <v>44</v>
      </c>
      <c r="BK3" s="558" t="s">
        <v>43</v>
      </c>
      <c r="BL3" s="85" t="s">
        <v>44</v>
      </c>
      <c r="BM3" s="588"/>
      <c r="BN3" s="578"/>
      <c r="BO3" s="584"/>
      <c r="BP3" s="580"/>
      <c r="BQ3" s="26"/>
    </row>
    <row r="4" spans="1:81" ht="16.5" customHeight="1" thickBot="1" x14ac:dyDescent="0.3">
      <c r="A4" s="533"/>
      <c r="B4" s="535"/>
      <c r="C4" s="564"/>
      <c r="D4" s="549"/>
      <c r="E4" s="90"/>
      <c r="F4" s="549"/>
      <c r="G4" s="90"/>
      <c r="H4" s="549"/>
      <c r="I4" s="90"/>
      <c r="J4" s="577"/>
      <c r="K4" s="582"/>
      <c r="L4" s="569"/>
      <c r="M4" s="327">
        <f>+SECOS!M5</f>
        <v>7078</v>
      </c>
      <c r="N4" s="571"/>
      <c r="O4" s="327">
        <f>+SECOS!O5</f>
        <v>7078</v>
      </c>
      <c r="P4" s="573"/>
      <c r="Q4" s="327">
        <f>+SECOS!Q5</f>
        <v>5348</v>
      </c>
      <c r="R4" s="551"/>
      <c r="S4" s="327">
        <f>+SECOS!S5</f>
        <v>7226</v>
      </c>
      <c r="T4" s="551"/>
      <c r="U4" s="327">
        <f>+SECOS!U5</f>
        <v>5647</v>
      </c>
      <c r="V4" s="551"/>
      <c r="W4" s="327">
        <f>+SECOS!W5</f>
        <v>6921</v>
      </c>
      <c r="X4" s="527"/>
      <c r="Y4" s="330">
        <f>+SECOS!O5</f>
        <v>7078</v>
      </c>
      <c r="Z4" s="527"/>
      <c r="AA4" s="330">
        <f>+Q4</f>
        <v>5348</v>
      </c>
      <c r="AB4" s="527"/>
      <c r="AC4" s="331">
        <f>S4</f>
        <v>7226</v>
      </c>
      <c r="AD4" s="527"/>
      <c r="AE4" s="331">
        <f>+S4</f>
        <v>7226</v>
      </c>
      <c r="AF4" s="547"/>
      <c r="AG4" s="330">
        <f>+U4</f>
        <v>5647</v>
      </c>
      <c r="AH4" s="547"/>
      <c r="AI4" s="330">
        <f>+W4</f>
        <v>6921</v>
      </c>
      <c r="AJ4" s="553"/>
      <c r="AK4" s="131">
        <f>+SECOS!Y5</f>
        <v>6194</v>
      </c>
      <c r="AL4" s="557"/>
      <c r="AM4" s="537"/>
      <c r="AN4" s="122">
        <f>+SECOS!AB5</f>
        <v>6310</v>
      </c>
      <c r="AO4" s="537"/>
      <c r="AP4" s="122">
        <f>+SECOS!AD5</f>
        <v>6300</v>
      </c>
      <c r="AQ4" s="555"/>
      <c r="AR4" s="126">
        <f>+SECOS!AF5</f>
        <v>6300</v>
      </c>
      <c r="AS4" s="555"/>
      <c r="AT4" s="126">
        <f>AN4</f>
        <v>6310</v>
      </c>
      <c r="AU4" s="537"/>
      <c r="AV4" s="122">
        <f>AN4</f>
        <v>6310</v>
      </c>
      <c r="AW4" s="537"/>
      <c r="AX4" s="122">
        <f>+SECOS!AL5</f>
        <v>5370</v>
      </c>
      <c r="AY4" s="537"/>
      <c r="AZ4" s="122">
        <f>+AX4</f>
        <v>5370</v>
      </c>
      <c r="BA4" s="537"/>
      <c r="BB4" s="122">
        <f>+SECOS!AP5</f>
        <v>6737</v>
      </c>
      <c r="BC4" s="537"/>
      <c r="BD4" s="122">
        <f>AT4</f>
        <v>6310</v>
      </c>
      <c r="BE4" s="555"/>
      <c r="BF4" s="122">
        <f>AR4</f>
        <v>6300</v>
      </c>
      <c r="BG4" s="537"/>
      <c r="BH4" s="122">
        <f>+SECOS!AT5</f>
        <v>13213</v>
      </c>
      <c r="BI4" s="537"/>
      <c r="BJ4" s="122">
        <f>+SECOS!AV5</f>
        <v>5757</v>
      </c>
      <c r="BK4" s="559"/>
      <c r="BL4" s="120">
        <f>+SECOS!AX5</f>
        <v>6732</v>
      </c>
      <c r="BM4" s="589"/>
      <c r="BN4" s="579"/>
      <c r="BO4" s="584"/>
      <c r="BP4" s="580"/>
      <c r="BQ4" s="26"/>
      <c r="CB4" s="277">
        <v>42950.508680555555</v>
      </c>
      <c r="CC4" s="276" t="s">
        <v>167</v>
      </c>
    </row>
    <row r="5" spans="1:81" s="26" customFormat="1" ht="19.5" thickBot="1" x14ac:dyDescent="0.35">
      <c r="A5" s="560" t="s">
        <v>152</v>
      </c>
      <c r="B5" s="562" t="s">
        <v>54</v>
      </c>
      <c r="C5" s="383">
        <v>15</v>
      </c>
      <c r="D5" s="146">
        <v>2</v>
      </c>
      <c r="E5" s="92">
        <f>$E$4*D5</f>
        <v>0</v>
      </c>
      <c r="F5" s="146">
        <v>3</v>
      </c>
      <c r="G5" s="94">
        <f>$G$4*F5</f>
        <v>0</v>
      </c>
      <c r="H5" s="77">
        <v>2</v>
      </c>
      <c r="I5" s="94">
        <f>$I$4*H5</f>
        <v>0</v>
      </c>
      <c r="J5" s="213">
        <f>SUM(I5+G5+E5)</f>
        <v>0</v>
      </c>
      <c r="K5" s="325" t="str">
        <f>C5&amp;$A$5</f>
        <v>151.1KV CON CUBICULO IP20</v>
      </c>
      <c r="L5" s="352">
        <v>1.5</v>
      </c>
      <c r="M5" s="353">
        <f>+$M$4*L5</f>
        <v>10617</v>
      </c>
      <c r="N5" s="354">
        <v>0.25</v>
      </c>
      <c r="O5" s="353">
        <f>+$O$4*N5</f>
        <v>1769.5</v>
      </c>
      <c r="P5" s="354">
        <v>0.25</v>
      </c>
      <c r="Q5" s="355">
        <f>+$Q$4*P5</f>
        <v>1337</v>
      </c>
      <c r="R5" s="354">
        <v>4.5</v>
      </c>
      <c r="S5" s="353">
        <f>+$S$4*R5</f>
        <v>32517</v>
      </c>
      <c r="T5" s="354">
        <v>0.25</v>
      </c>
      <c r="U5" s="353">
        <f>+$U$4*T5</f>
        <v>1411.75</v>
      </c>
      <c r="V5" s="354">
        <v>0.25</v>
      </c>
      <c r="W5" s="353">
        <f>+$W$4*V5</f>
        <v>1730.25</v>
      </c>
      <c r="X5" s="356">
        <v>0.75</v>
      </c>
      <c r="Y5" s="357">
        <f>+$Y$4*X5</f>
        <v>5308.5</v>
      </c>
      <c r="Z5" s="356">
        <v>0.75</v>
      </c>
      <c r="AA5" s="358">
        <f>+$AA$4*Z5</f>
        <v>4011</v>
      </c>
      <c r="AB5" s="359">
        <v>4</v>
      </c>
      <c r="AC5" s="358">
        <f>+$AC$4*AB5</f>
        <v>28904</v>
      </c>
      <c r="AD5" s="360">
        <v>10</v>
      </c>
      <c r="AE5" s="358">
        <f>+$AE$4*AD5</f>
        <v>72260</v>
      </c>
      <c r="AF5" s="361">
        <v>1</v>
      </c>
      <c r="AG5" s="357">
        <f>+$AG$4*AF5</f>
        <v>5647</v>
      </c>
      <c r="AH5" s="361">
        <v>1.25</v>
      </c>
      <c r="AI5" s="357">
        <f>+$AI$4*AH5</f>
        <v>8651.25</v>
      </c>
      <c r="AJ5" s="362">
        <f>+SECOS!X7</f>
        <v>0</v>
      </c>
      <c r="AK5" s="363">
        <f>$AK$4*AJ5</f>
        <v>0</v>
      </c>
      <c r="AL5" s="364">
        <f>+M5+O5+Q5+S5+U5+W5+Y5+AA5+AC5+AE5+AG5+AI5+AK5</f>
        <v>174164.25</v>
      </c>
      <c r="AM5" s="269">
        <v>19</v>
      </c>
      <c r="AN5" s="266">
        <f>$AN$4*AM5</f>
        <v>119890</v>
      </c>
      <c r="AO5" s="254">
        <v>5.25</v>
      </c>
      <c r="AP5" s="266">
        <f>$AP$4*AO5</f>
        <v>33075</v>
      </c>
      <c r="AQ5" s="270">
        <v>0</v>
      </c>
      <c r="AR5" s="266">
        <f>$AR$4*AQ5</f>
        <v>0</v>
      </c>
      <c r="AS5" s="270">
        <v>0.25</v>
      </c>
      <c r="AT5" s="266">
        <f>$AT$4*AS5</f>
        <v>1577.5</v>
      </c>
      <c r="AU5" s="270">
        <v>1.25</v>
      </c>
      <c r="AV5" s="266">
        <f>$AV$4*AU5</f>
        <v>7887.5</v>
      </c>
      <c r="AW5" s="270">
        <v>1.05</v>
      </c>
      <c r="AX5" s="266">
        <f>$AW$7*AX2</f>
        <v>0</v>
      </c>
      <c r="AY5" s="270">
        <v>0</v>
      </c>
      <c r="AZ5" s="266">
        <f>$AZ$4*AY5</f>
        <v>0</v>
      </c>
      <c r="BA5" s="254">
        <v>9.25</v>
      </c>
      <c r="BB5" s="266">
        <f>$BB$4*BA5</f>
        <v>62317.25</v>
      </c>
      <c r="BC5" s="241">
        <v>1</v>
      </c>
      <c r="BD5" s="266">
        <f>$BD$4*BC5</f>
        <v>6310</v>
      </c>
      <c r="BE5" s="241">
        <v>2.5</v>
      </c>
      <c r="BF5" s="266">
        <f>$BF$4*BE5</f>
        <v>15750</v>
      </c>
      <c r="BG5" s="270">
        <v>3</v>
      </c>
      <c r="BH5" s="266">
        <f>$BH$4*BG5</f>
        <v>39639</v>
      </c>
      <c r="BI5" s="272">
        <v>4.25</v>
      </c>
      <c r="BJ5" s="365">
        <f>$BJ$4*BI5</f>
        <v>24467.25</v>
      </c>
      <c r="BK5" s="366">
        <v>0</v>
      </c>
      <c r="BL5" s="367">
        <f>$BL$4*BK5</f>
        <v>0</v>
      </c>
      <c r="BM5" s="368">
        <f>+AN5+AP5+AR5+AT5+AV5+AX5+AZ5+BB5+BD5+BF5+BH5+BJ5+BL5</f>
        <v>310913.5</v>
      </c>
      <c r="BN5" s="369">
        <f t="shared" ref="BN5:BN6" si="0">AL5+BM5</f>
        <v>485077.75</v>
      </c>
      <c r="BO5" s="382">
        <f>+L5+N5+P5+R5+T5+V5+X5+Z5+AB5+AD5+AF5+AH5+AJ5+AM5+AO5+AQ5+AS5+AU5+AW5+AY5+BA5+BC5+BE5+BG5+BI5+BK5</f>
        <v>71.55</v>
      </c>
      <c r="BP5" s="497">
        <f>+BO5*ACEITE!$BQ$1</f>
        <v>465075</v>
      </c>
      <c r="CB5" s="277">
        <v>42795.600081018521</v>
      </c>
      <c r="CC5" s="276" t="s">
        <v>115</v>
      </c>
    </row>
    <row r="6" spans="1:81" s="26" customFormat="1" ht="19.5" thickBot="1" x14ac:dyDescent="0.35">
      <c r="A6" s="560"/>
      <c r="B6" s="562"/>
      <c r="C6" s="383">
        <v>20</v>
      </c>
      <c r="D6" s="146">
        <v>2</v>
      </c>
      <c r="E6" s="92">
        <f>$E$4*D6</f>
        <v>0</v>
      </c>
      <c r="F6" s="146">
        <v>3</v>
      </c>
      <c r="G6" s="94">
        <f>$G$4*F6</f>
        <v>0</v>
      </c>
      <c r="H6" s="77">
        <v>2</v>
      </c>
      <c r="I6" s="94">
        <f>$I$4*H6</f>
        <v>0</v>
      </c>
      <c r="J6" s="213">
        <f>SUM(I6+G6+E6)</f>
        <v>0</v>
      </c>
      <c r="K6" s="325" t="str">
        <f t="shared" ref="K6:K19" si="1">C6&amp;$A$5</f>
        <v>201.1KV CON CUBICULO IP20</v>
      </c>
      <c r="L6" s="352">
        <v>1.5</v>
      </c>
      <c r="M6" s="353">
        <f>+$M$4*L6</f>
        <v>10617</v>
      </c>
      <c r="N6" s="354">
        <v>0.25</v>
      </c>
      <c r="O6" s="353">
        <f>+$O$4*N6</f>
        <v>1769.5</v>
      </c>
      <c r="P6" s="354">
        <v>0.25</v>
      </c>
      <c r="Q6" s="355">
        <f>+$Q$4*P6</f>
        <v>1337</v>
      </c>
      <c r="R6" s="354">
        <v>4.5</v>
      </c>
      <c r="S6" s="353">
        <f>+$S$4*R6</f>
        <v>32517</v>
      </c>
      <c r="T6" s="354">
        <v>0.25</v>
      </c>
      <c r="U6" s="353">
        <f>+$U$4*T6</f>
        <v>1411.75</v>
      </c>
      <c r="V6" s="354">
        <v>0.25</v>
      </c>
      <c r="W6" s="353">
        <f>+$W$4*V6</f>
        <v>1730.25</v>
      </c>
      <c r="X6" s="356">
        <v>0.75</v>
      </c>
      <c r="Y6" s="357">
        <f>+$Y$4*X6</f>
        <v>5308.5</v>
      </c>
      <c r="Z6" s="356">
        <v>0.75</v>
      </c>
      <c r="AA6" s="358">
        <f>+$AA$4*Z6</f>
        <v>4011</v>
      </c>
      <c r="AB6" s="359">
        <v>4</v>
      </c>
      <c r="AC6" s="358">
        <f>+$AC$4*AB6</f>
        <v>28904</v>
      </c>
      <c r="AD6" s="360">
        <v>10</v>
      </c>
      <c r="AE6" s="358">
        <f>+$AE$4*AD6</f>
        <v>72260</v>
      </c>
      <c r="AF6" s="361">
        <v>1</v>
      </c>
      <c r="AG6" s="357">
        <f>+$AG$4*AF6</f>
        <v>5647</v>
      </c>
      <c r="AH6" s="361">
        <v>1.25</v>
      </c>
      <c r="AI6" s="357">
        <f>+$AI$4*AH6</f>
        <v>8651.25</v>
      </c>
      <c r="AJ6" s="362">
        <f>+SECOS!X8</f>
        <v>0</v>
      </c>
      <c r="AK6" s="363">
        <f>$AK$4*AJ6</f>
        <v>0</v>
      </c>
      <c r="AL6" s="364">
        <f>+M6+O6+Q6+S6+U6+W6+Y6+AA6+AC6+AE6+AG6+AI6+AK6</f>
        <v>174164.25</v>
      </c>
      <c r="AM6" s="269">
        <v>19</v>
      </c>
      <c r="AN6" s="266">
        <f>$AN$4*AM6</f>
        <v>119890</v>
      </c>
      <c r="AO6" s="254">
        <v>5.25</v>
      </c>
      <c r="AP6" s="266">
        <f>$AP$4*AO6</f>
        <v>33075</v>
      </c>
      <c r="AQ6" s="270">
        <v>0</v>
      </c>
      <c r="AR6" s="266">
        <f>$AR$4*AQ6</f>
        <v>0</v>
      </c>
      <c r="AS6" s="270">
        <v>0.25</v>
      </c>
      <c r="AT6" s="266">
        <f>$AT$4*AS6</f>
        <v>1577.5</v>
      </c>
      <c r="AU6" s="270">
        <v>1.25</v>
      </c>
      <c r="AV6" s="266">
        <f>$AV$4*AU6</f>
        <v>7887.5</v>
      </c>
      <c r="AW6" s="270">
        <v>1.05</v>
      </c>
      <c r="AX6" s="266">
        <f>$AW$7*AX5</f>
        <v>0</v>
      </c>
      <c r="AY6" s="270">
        <v>0</v>
      </c>
      <c r="AZ6" s="266">
        <f>$AZ$4*AY6</f>
        <v>0</v>
      </c>
      <c r="BA6" s="254">
        <v>9.25</v>
      </c>
      <c r="BB6" s="266">
        <f>$BB$4*BA6</f>
        <v>62317.25</v>
      </c>
      <c r="BC6" s="241">
        <v>1</v>
      </c>
      <c r="BD6" s="266">
        <f>$BD$4*BC6</f>
        <v>6310</v>
      </c>
      <c r="BE6" s="241">
        <v>2.5</v>
      </c>
      <c r="BF6" s="266">
        <f>$BF$4*BE6</f>
        <v>15750</v>
      </c>
      <c r="BG6" s="270">
        <v>3</v>
      </c>
      <c r="BH6" s="266">
        <f>$BH$4*BG6</f>
        <v>39639</v>
      </c>
      <c r="BI6" s="272">
        <v>4.25</v>
      </c>
      <c r="BJ6" s="365">
        <f>$BJ$4*BI6</f>
        <v>24467.25</v>
      </c>
      <c r="BK6" s="366">
        <v>0</v>
      </c>
      <c r="BL6" s="367">
        <f>$BL$4*BK6</f>
        <v>0</v>
      </c>
      <c r="BM6" s="368">
        <f>+AN6+AP6+AR6+AT6+AV6+AX6+AZ6+BB6+BD6+BF6+BH6+BJ6+BL6</f>
        <v>310913.5</v>
      </c>
      <c r="BN6" s="369">
        <f t="shared" si="0"/>
        <v>485077.75</v>
      </c>
      <c r="BO6" s="382">
        <f>+L6+N6+P6+R6+T6+V6+X6+Z6+AB6+AD6+AF6+AH6+AJ6+AM6+AO6+AQ6+AS6+AU6+AW6+AY6+BA6+BC6+BE6+BG6+BI6+BK6</f>
        <v>71.55</v>
      </c>
      <c r="BP6" s="497">
        <f>+BO6*ACEITE!$BQ$1</f>
        <v>465075</v>
      </c>
      <c r="CB6" s="277">
        <v>42950.521481481483</v>
      </c>
      <c r="CC6" s="276" t="s">
        <v>167</v>
      </c>
    </row>
    <row r="7" spans="1:81" ht="19.5" customHeight="1" thickBot="1" x14ac:dyDescent="0.35">
      <c r="A7" s="560"/>
      <c r="B7" s="562"/>
      <c r="C7" s="383">
        <v>25</v>
      </c>
      <c r="D7" s="146">
        <v>2</v>
      </c>
      <c r="E7" s="92">
        <f>$E$4*D7</f>
        <v>0</v>
      </c>
      <c r="F7" s="146">
        <v>3</v>
      </c>
      <c r="G7" s="94">
        <f>$G$4*F7</f>
        <v>0</v>
      </c>
      <c r="H7" s="77">
        <v>2</v>
      </c>
      <c r="I7" s="94">
        <f>$I$4*H7</f>
        <v>0</v>
      </c>
      <c r="J7" s="213">
        <f>SUM(I7+G7+E7)</f>
        <v>0</v>
      </c>
      <c r="K7" s="325" t="str">
        <f t="shared" si="1"/>
        <v>251.1KV CON CUBICULO IP20</v>
      </c>
      <c r="L7" s="352">
        <v>1.5</v>
      </c>
      <c r="M7" s="353">
        <f>+$M$4*L7</f>
        <v>10617</v>
      </c>
      <c r="N7" s="354">
        <v>0.25</v>
      </c>
      <c r="O7" s="353">
        <f>+$O$4*N7</f>
        <v>1769.5</v>
      </c>
      <c r="P7" s="354">
        <v>0.25</v>
      </c>
      <c r="Q7" s="355">
        <f>+$Q$4*P7</f>
        <v>1337</v>
      </c>
      <c r="R7" s="354">
        <v>4.5</v>
      </c>
      <c r="S7" s="353">
        <f>+$S$4*R7</f>
        <v>32517</v>
      </c>
      <c r="T7" s="354">
        <v>0.25</v>
      </c>
      <c r="U7" s="353">
        <f>+$U$4*T7</f>
        <v>1411.75</v>
      </c>
      <c r="V7" s="354">
        <v>0.25</v>
      </c>
      <c r="W7" s="353">
        <f>+$W$4*V7</f>
        <v>1730.25</v>
      </c>
      <c r="X7" s="356">
        <v>0.75</v>
      </c>
      <c r="Y7" s="357">
        <f>+$Y$4*X7</f>
        <v>5308.5</v>
      </c>
      <c r="Z7" s="356">
        <v>0.75</v>
      </c>
      <c r="AA7" s="358">
        <f>+$AA$4*Z7</f>
        <v>4011</v>
      </c>
      <c r="AB7" s="359">
        <v>4</v>
      </c>
      <c r="AC7" s="358">
        <f>+$AC$4*AB7</f>
        <v>28904</v>
      </c>
      <c r="AD7" s="360">
        <v>10</v>
      </c>
      <c r="AE7" s="358">
        <f>+$AE$4*AD7</f>
        <v>72260</v>
      </c>
      <c r="AF7" s="361">
        <v>1</v>
      </c>
      <c r="AG7" s="357">
        <f>+$AG$4*AF7</f>
        <v>5647</v>
      </c>
      <c r="AH7" s="361">
        <v>1.25</v>
      </c>
      <c r="AI7" s="357">
        <f>+$AI$4*AH7</f>
        <v>8651.25</v>
      </c>
      <c r="AJ7" s="362">
        <f>+SECOS!X9</f>
        <v>0</v>
      </c>
      <c r="AK7" s="363">
        <f>$AK$4*AJ7</f>
        <v>0</v>
      </c>
      <c r="AL7" s="364">
        <f>+M7+O7+Q7+S7+U7+W7+Y7+AA7+AC7+AE7+AG7+AI7+AK7</f>
        <v>174164.25</v>
      </c>
      <c r="AM7" s="269">
        <v>19</v>
      </c>
      <c r="AN7" s="266">
        <f>$AN$4*AM7</f>
        <v>119890</v>
      </c>
      <c r="AO7" s="254">
        <v>5.25</v>
      </c>
      <c r="AP7" s="266">
        <f>$AP$4*AO7</f>
        <v>33075</v>
      </c>
      <c r="AQ7" s="270">
        <v>0</v>
      </c>
      <c r="AR7" s="266">
        <f>$AR$4*AQ7</f>
        <v>0</v>
      </c>
      <c r="AS7" s="270">
        <v>0.25</v>
      </c>
      <c r="AT7" s="266">
        <f>$AT$4*AS7</f>
        <v>1577.5</v>
      </c>
      <c r="AU7" s="270">
        <v>1.25</v>
      </c>
      <c r="AV7" s="266">
        <f>$AV$4*AU7</f>
        <v>7887.5</v>
      </c>
      <c r="AW7" s="270">
        <v>1.05</v>
      </c>
      <c r="AX7" s="266">
        <f>$AW$7*AX4</f>
        <v>5638.5</v>
      </c>
      <c r="AY7" s="270">
        <v>0</v>
      </c>
      <c r="AZ7" s="266">
        <f>$AZ$4*AY7</f>
        <v>0</v>
      </c>
      <c r="BA7" s="254">
        <v>9.25</v>
      </c>
      <c r="BB7" s="266">
        <f>$BB$4*BA7</f>
        <v>62317.25</v>
      </c>
      <c r="BC7" s="241">
        <v>1</v>
      </c>
      <c r="BD7" s="266">
        <f>$BD$4*BC7</f>
        <v>6310</v>
      </c>
      <c r="BE7" s="241">
        <v>2.5</v>
      </c>
      <c r="BF7" s="266">
        <f>$BF$4*BE7</f>
        <v>15750</v>
      </c>
      <c r="BG7" s="270">
        <v>3</v>
      </c>
      <c r="BH7" s="266">
        <f>$BH$4*BG7</f>
        <v>39639</v>
      </c>
      <c r="BI7" s="272">
        <v>4.25</v>
      </c>
      <c r="BJ7" s="365">
        <f>$BJ$4*BI7</f>
        <v>24467.25</v>
      </c>
      <c r="BK7" s="366">
        <v>0</v>
      </c>
      <c r="BL7" s="367">
        <f>$BL$4*BK7</f>
        <v>0</v>
      </c>
      <c r="BM7" s="368">
        <f>+AN7+AP7+AR7+AT7+AV7+AX7+AZ7+BB7+BD7+BF7+BH7+BJ7+BL7</f>
        <v>316552</v>
      </c>
      <c r="BN7" s="369">
        <f t="shared" ref="BN7:BN19" si="2">AL7+BM7</f>
        <v>490716.25</v>
      </c>
      <c r="BO7" s="382">
        <f>+L7+N7+P7+R7+T7+V7+X7+Z7+AB7+AD7+AF7+AH7+AJ7+AM7+AO7+AQ7+AS7+AU7+AW7+AY7+BA7+BC7+BE7+BG7+BI7+BK7</f>
        <v>71.55</v>
      </c>
      <c r="BP7" s="497">
        <f>+BO7*ACEITE!$BQ$1</f>
        <v>465075</v>
      </c>
      <c r="BQ7" s="26"/>
      <c r="CB7" s="277">
        <v>42795.600081018521</v>
      </c>
      <c r="CC7" s="276" t="s">
        <v>115</v>
      </c>
    </row>
    <row r="8" spans="1:81" s="26" customFormat="1" ht="19.5" thickBot="1" x14ac:dyDescent="0.35">
      <c r="A8" s="560"/>
      <c r="B8" s="562"/>
      <c r="C8" s="383">
        <v>30</v>
      </c>
      <c r="D8" s="146">
        <v>2</v>
      </c>
      <c r="E8" s="92">
        <f>$E$4*D8</f>
        <v>0</v>
      </c>
      <c r="F8" s="146">
        <v>3</v>
      </c>
      <c r="G8" s="94">
        <f>$G$4*F8</f>
        <v>0</v>
      </c>
      <c r="H8" s="77">
        <v>2</v>
      </c>
      <c r="I8" s="94">
        <f>$I$4*H8</f>
        <v>0</v>
      </c>
      <c r="J8" s="213">
        <f>SUM(I8+G8+E8)</f>
        <v>0</v>
      </c>
      <c r="K8" s="325" t="str">
        <f t="shared" si="1"/>
        <v>301.1KV CON CUBICULO IP20</v>
      </c>
      <c r="L8" s="352">
        <v>1.5</v>
      </c>
      <c r="M8" s="353">
        <f>+$M$4*L8</f>
        <v>10617</v>
      </c>
      <c r="N8" s="354">
        <v>0.25</v>
      </c>
      <c r="O8" s="353">
        <f>+$O$4*N8</f>
        <v>1769.5</v>
      </c>
      <c r="P8" s="354">
        <v>0.25</v>
      </c>
      <c r="Q8" s="355">
        <f>+$Q$4*P8</f>
        <v>1337</v>
      </c>
      <c r="R8" s="354">
        <v>4.5</v>
      </c>
      <c r="S8" s="353">
        <f>+$S$4*R8</f>
        <v>32517</v>
      </c>
      <c r="T8" s="354">
        <v>0.25</v>
      </c>
      <c r="U8" s="353">
        <f>+$U$4*T8</f>
        <v>1411.75</v>
      </c>
      <c r="V8" s="354">
        <v>0.25</v>
      </c>
      <c r="W8" s="353">
        <f>+$W$4*V8</f>
        <v>1730.25</v>
      </c>
      <c r="X8" s="356">
        <v>0.75</v>
      </c>
      <c r="Y8" s="357">
        <f>+$Y$4*X8</f>
        <v>5308.5</v>
      </c>
      <c r="Z8" s="356">
        <v>0.75</v>
      </c>
      <c r="AA8" s="358">
        <f>+$AA$4*Z8</f>
        <v>4011</v>
      </c>
      <c r="AB8" s="359">
        <v>4</v>
      </c>
      <c r="AC8" s="358">
        <f>+$AC$4*AB8</f>
        <v>28904</v>
      </c>
      <c r="AD8" s="360">
        <v>10</v>
      </c>
      <c r="AE8" s="358">
        <f>+$AE$4*AD8</f>
        <v>72260</v>
      </c>
      <c r="AF8" s="361">
        <v>1</v>
      </c>
      <c r="AG8" s="357">
        <f>+$AG$4*AF8</f>
        <v>5647</v>
      </c>
      <c r="AH8" s="361">
        <v>1.25</v>
      </c>
      <c r="AI8" s="357">
        <f>+$AI$4*AH8</f>
        <v>8651.25</v>
      </c>
      <c r="AJ8" s="362">
        <f>+SECOS!X10</f>
        <v>0</v>
      </c>
      <c r="AK8" s="363">
        <f>$AK$4*AJ8</f>
        <v>0</v>
      </c>
      <c r="AL8" s="364">
        <f>+M8+O8+Q8+S8+U8+W8+Y8+AA8+AC8+AE8+AG8+AI8+AK8</f>
        <v>174164.25</v>
      </c>
      <c r="AM8" s="269">
        <v>19</v>
      </c>
      <c r="AN8" s="266">
        <f>$AN$4*AM8</f>
        <v>119890</v>
      </c>
      <c r="AO8" s="254">
        <v>5.25</v>
      </c>
      <c r="AP8" s="266">
        <f>$AP$4*AO8</f>
        <v>33075</v>
      </c>
      <c r="AQ8" s="270">
        <v>0</v>
      </c>
      <c r="AR8" s="266">
        <f>$AR$4*AQ8</f>
        <v>0</v>
      </c>
      <c r="AS8" s="270">
        <v>0.25</v>
      </c>
      <c r="AT8" s="266">
        <f>$AT$4*AS8</f>
        <v>1577.5</v>
      </c>
      <c r="AU8" s="270">
        <v>1.25</v>
      </c>
      <c r="AV8" s="266">
        <f>$AV$4*AU8</f>
        <v>7887.5</v>
      </c>
      <c r="AW8" s="270">
        <v>1.05</v>
      </c>
      <c r="AX8" s="266">
        <f>$AW$7*AX7</f>
        <v>5920.4250000000002</v>
      </c>
      <c r="AY8" s="270">
        <v>0</v>
      </c>
      <c r="AZ8" s="266">
        <f>$AZ$4*AY8</f>
        <v>0</v>
      </c>
      <c r="BA8" s="254">
        <v>9.25</v>
      </c>
      <c r="BB8" s="266">
        <f>$BB$4*BA8</f>
        <v>62317.25</v>
      </c>
      <c r="BC8" s="241">
        <v>1</v>
      </c>
      <c r="BD8" s="266">
        <f>$BD$4*BC8</f>
        <v>6310</v>
      </c>
      <c r="BE8" s="241">
        <v>2.5</v>
      </c>
      <c r="BF8" s="266">
        <f>$BF$4*BE8</f>
        <v>15750</v>
      </c>
      <c r="BG8" s="270">
        <v>3</v>
      </c>
      <c r="BH8" s="266">
        <f>$BH$4*BG8</f>
        <v>39639</v>
      </c>
      <c r="BI8" s="272">
        <v>4.25</v>
      </c>
      <c r="BJ8" s="365">
        <f>$BJ$4*BI8</f>
        <v>24467.25</v>
      </c>
      <c r="BK8" s="366">
        <v>0</v>
      </c>
      <c r="BL8" s="367">
        <f>$BL$4*BK8</f>
        <v>0</v>
      </c>
      <c r="BM8" s="368">
        <f>+AN8+AP8+AR8+AT8+AV8+AX8+AZ8+BB8+BD8+BF8+BH8+BJ8+BL8</f>
        <v>316833.92499999999</v>
      </c>
      <c r="BN8" s="369">
        <f t="shared" ref="BN8" si="3">AL8+BM8</f>
        <v>490998.17499999999</v>
      </c>
      <c r="BO8" s="382">
        <f>+L8+N8+P8+R8+T8+V8+X8+Z8+AB8+AD8+AF8+AH8+AJ8+AM8+AO8+AQ8+AS8+AU8+AW8+AY8+BA8+BC8+BE8+BG8+BI8+BK8</f>
        <v>71.55</v>
      </c>
      <c r="BP8" s="497">
        <f>+BO8*ACEITE!$BQ$1</f>
        <v>465075</v>
      </c>
      <c r="CB8" s="277">
        <v>42795.600127314814</v>
      </c>
      <c r="CC8" s="276" t="s">
        <v>115</v>
      </c>
    </row>
    <row r="9" spans="1:81" ht="19.5" thickBot="1" x14ac:dyDescent="0.35">
      <c r="A9" s="560"/>
      <c r="B9" s="562"/>
      <c r="C9" s="383">
        <v>45</v>
      </c>
      <c r="D9" s="147">
        <v>2</v>
      </c>
      <c r="E9" s="95">
        <f t="shared" ref="E9:E19" si="4">$E$4*D9</f>
        <v>0</v>
      </c>
      <c r="F9" s="147">
        <v>3</v>
      </c>
      <c r="G9" s="95">
        <f t="shared" ref="G9:G19" si="5">$G$4*F9</f>
        <v>0</v>
      </c>
      <c r="H9" s="147">
        <v>2</v>
      </c>
      <c r="I9" s="95">
        <f t="shared" ref="I9:I19" si="6">$I$4*H9</f>
        <v>0</v>
      </c>
      <c r="J9" s="214">
        <f t="shared" ref="J9:J19" si="7">SUM(I9+G9+E9)</f>
        <v>0</v>
      </c>
      <c r="K9" s="325" t="str">
        <f t="shared" si="1"/>
        <v>451.1KV CON CUBICULO IP20</v>
      </c>
      <c r="L9" s="370">
        <v>1.5</v>
      </c>
      <c r="M9" s="353">
        <f t="shared" ref="M9:M19" si="8">+$M$4*L9</f>
        <v>10617</v>
      </c>
      <c r="N9" s="371">
        <v>0.25</v>
      </c>
      <c r="O9" s="353">
        <f t="shared" ref="O9:O19" si="9">+$O$4*N9</f>
        <v>1769.5</v>
      </c>
      <c r="P9" s="371">
        <v>0.25</v>
      </c>
      <c r="Q9" s="355">
        <f t="shared" ref="Q9:Q19" si="10">+$Q$4*P9</f>
        <v>1337</v>
      </c>
      <c r="R9" s="371">
        <v>4.5</v>
      </c>
      <c r="S9" s="353">
        <f t="shared" ref="S9:S19" si="11">+$S$4*R9</f>
        <v>32517</v>
      </c>
      <c r="T9" s="371">
        <v>0.25</v>
      </c>
      <c r="U9" s="353">
        <f t="shared" ref="U9:U19" si="12">+$U$4*T9</f>
        <v>1411.75</v>
      </c>
      <c r="V9" s="371">
        <v>0.25</v>
      </c>
      <c r="W9" s="353">
        <f t="shared" ref="W9:W19" si="13">+$W$4*V9</f>
        <v>1730.25</v>
      </c>
      <c r="X9" s="372">
        <v>0.75</v>
      </c>
      <c r="Y9" s="357">
        <f t="shared" ref="Y9:Y19" si="14">+$Y$4*X9</f>
        <v>5308.5</v>
      </c>
      <c r="Z9" s="372">
        <v>0.75</v>
      </c>
      <c r="AA9" s="358">
        <f t="shared" ref="AA9:AA19" si="15">+$AA$4*Z9</f>
        <v>4011</v>
      </c>
      <c r="AB9" s="373">
        <v>4</v>
      </c>
      <c r="AC9" s="358">
        <f t="shared" ref="AC9:AC19" si="16">+$AC$4*AB9</f>
        <v>28904</v>
      </c>
      <c r="AD9" s="374">
        <v>10</v>
      </c>
      <c r="AE9" s="358">
        <f t="shared" ref="AE9:AE19" si="17">+$AE$4*AD9</f>
        <v>72260</v>
      </c>
      <c r="AF9" s="375">
        <v>1</v>
      </c>
      <c r="AG9" s="357">
        <f t="shared" ref="AG9:AG19" si="18">+$AG$4*AF9</f>
        <v>5647</v>
      </c>
      <c r="AH9" s="375">
        <v>1.25</v>
      </c>
      <c r="AI9" s="357">
        <f t="shared" ref="AI9:AI19" si="19">+$AI$4*AH9</f>
        <v>8651.25</v>
      </c>
      <c r="AJ9" s="362">
        <f>+SECOS!X10</f>
        <v>0</v>
      </c>
      <c r="AK9" s="363">
        <f t="shared" ref="AK9:AK19" si="20">$AK$4*AJ9</f>
        <v>0</v>
      </c>
      <c r="AL9" s="364">
        <f t="shared" ref="AL9:AL19" si="21">+M9+O9+Q9+S9+U9+W9+Y9+AA9+AC9+AE9+AG9+AI9+AK9</f>
        <v>174164.25</v>
      </c>
      <c r="AM9" s="248">
        <v>21.5</v>
      </c>
      <c r="AN9" s="266">
        <f t="shared" ref="AN9:AN19" si="22">$AN$4*AM9</f>
        <v>135665</v>
      </c>
      <c r="AO9" s="255">
        <v>5.25</v>
      </c>
      <c r="AP9" s="376">
        <f t="shared" ref="AP9:AP19" si="23">$AP$4*AO9</f>
        <v>33075</v>
      </c>
      <c r="AQ9" s="241">
        <v>0</v>
      </c>
      <c r="AR9" s="376">
        <f t="shared" ref="AR9:AR19" si="24">$AR$4*AQ9</f>
        <v>0</v>
      </c>
      <c r="AS9" s="241">
        <v>0.25</v>
      </c>
      <c r="AT9" s="376">
        <f t="shared" ref="AT9:AT19" si="25">$AT$4*AS9</f>
        <v>1577.5</v>
      </c>
      <c r="AU9" s="241">
        <v>1.25</v>
      </c>
      <c r="AV9" s="376">
        <f t="shared" ref="AV9:AV19" si="26">$AV$4*AU9</f>
        <v>7887.5</v>
      </c>
      <c r="AW9" s="241">
        <v>1.25</v>
      </c>
      <c r="AX9" s="376">
        <f>$AW$7*AX7</f>
        <v>5920.4250000000002</v>
      </c>
      <c r="AY9" s="241">
        <v>0</v>
      </c>
      <c r="AZ9" s="376">
        <f t="shared" ref="AZ9:AZ19" si="27">$AZ$4*AY9</f>
        <v>0</v>
      </c>
      <c r="BA9" s="255">
        <v>11.25</v>
      </c>
      <c r="BB9" s="376">
        <f t="shared" ref="BB9:BB19" si="28">$BB$4*BA9</f>
        <v>75791.25</v>
      </c>
      <c r="BC9" s="241">
        <v>1</v>
      </c>
      <c r="BD9" s="376">
        <f t="shared" ref="BD9:BD19" si="29">$BD$4*BC9</f>
        <v>6310</v>
      </c>
      <c r="BE9" s="241">
        <v>3</v>
      </c>
      <c r="BF9" s="376">
        <f t="shared" ref="BF9:BF19" si="30">$BF$4*BE9</f>
        <v>18900</v>
      </c>
      <c r="BG9" s="241">
        <v>3</v>
      </c>
      <c r="BH9" s="376">
        <f t="shared" ref="BH9:BH19" si="31">$BH$4*BG9</f>
        <v>39639</v>
      </c>
      <c r="BI9" s="241">
        <v>4.25</v>
      </c>
      <c r="BJ9" s="377">
        <f t="shared" ref="BJ9:BJ19" si="32">$BJ$4*BI9</f>
        <v>24467.25</v>
      </c>
      <c r="BK9" s="378">
        <v>0</v>
      </c>
      <c r="BL9" s="379">
        <f t="shared" ref="BL9:BL19" si="33">$BL$4*BK9</f>
        <v>0</v>
      </c>
      <c r="BM9" s="368">
        <f t="shared" ref="BM9:BM19" si="34">+AN9+AP9+AR9+AT9+AV9+AX9+AZ9+BB9+BD9+BF9+BH9+BJ9+BL9</f>
        <v>349232.92499999999</v>
      </c>
      <c r="BN9" s="369">
        <f t="shared" si="2"/>
        <v>523397.17499999999</v>
      </c>
      <c r="BO9" s="382">
        <f t="shared" ref="BO9:BO34" si="35">+L9+N9+P9+R9+T9+V9+X9+Z9+AB9+AD9+AF9+AH9+AJ9+AM9+AO9+AQ9+AS9+AU9+AW9+AY9+BA9+BC9+BE9+BG9+BI9+BK9</f>
        <v>76.75</v>
      </c>
      <c r="BP9" s="497">
        <f>+BO9*ACEITE!$BQ$1</f>
        <v>498875</v>
      </c>
      <c r="BQ9" s="26"/>
      <c r="CB9" s="277">
        <v>42795.600127314814</v>
      </c>
      <c r="CC9" s="276" t="s">
        <v>115</v>
      </c>
    </row>
    <row r="10" spans="1:81" ht="19.5" thickBot="1" x14ac:dyDescent="0.35">
      <c r="A10" s="560"/>
      <c r="B10" s="562"/>
      <c r="C10" s="383">
        <v>50</v>
      </c>
      <c r="D10" s="147">
        <v>2</v>
      </c>
      <c r="E10" s="95">
        <f t="shared" si="4"/>
        <v>0</v>
      </c>
      <c r="F10" s="147">
        <v>3</v>
      </c>
      <c r="G10" s="95">
        <f t="shared" si="5"/>
        <v>0</v>
      </c>
      <c r="H10" s="147">
        <v>2</v>
      </c>
      <c r="I10" s="95">
        <f t="shared" si="6"/>
        <v>0</v>
      </c>
      <c r="J10" s="214">
        <f t="shared" si="7"/>
        <v>0</v>
      </c>
      <c r="K10" s="325" t="str">
        <f t="shared" si="1"/>
        <v>501.1KV CON CUBICULO IP20</v>
      </c>
      <c r="L10" s="370">
        <v>1.5</v>
      </c>
      <c r="M10" s="353">
        <f t="shared" si="8"/>
        <v>10617</v>
      </c>
      <c r="N10" s="371">
        <v>0.25</v>
      </c>
      <c r="O10" s="353">
        <f t="shared" si="9"/>
        <v>1769.5</v>
      </c>
      <c r="P10" s="371">
        <v>0.25</v>
      </c>
      <c r="Q10" s="355">
        <f t="shared" si="10"/>
        <v>1337</v>
      </c>
      <c r="R10" s="371">
        <v>4.5</v>
      </c>
      <c r="S10" s="353">
        <f t="shared" si="11"/>
        <v>32517</v>
      </c>
      <c r="T10" s="371">
        <v>0.25</v>
      </c>
      <c r="U10" s="353">
        <f t="shared" si="12"/>
        <v>1411.75</v>
      </c>
      <c r="V10" s="371">
        <v>0.25</v>
      </c>
      <c r="W10" s="353">
        <f t="shared" si="13"/>
        <v>1730.25</v>
      </c>
      <c r="X10" s="372">
        <v>0.75</v>
      </c>
      <c r="Y10" s="357">
        <f t="shared" si="14"/>
        <v>5308.5</v>
      </c>
      <c r="Z10" s="372">
        <v>0.75</v>
      </c>
      <c r="AA10" s="358">
        <f t="shared" si="15"/>
        <v>4011</v>
      </c>
      <c r="AB10" s="373">
        <v>4</v>
      </c>
      <c r="AC10" s="358">
        <f t="shared" si="16"/>
        <v>28904</v>
      </c>
      <c r="AD10" s="374">
        <v>10</v>
      </c>
      <c r="AE10" s="358">
        <f t="shared" si="17"/>
        <v>72260</v>
      </c>
      <c r="AF10" s="375">
        <v>1</v>
      </c>
      <c r="AG10" s="357">
        <f t="shared" si="18"/>
        <v>5647</v>
      </c>
      <c r="AH10" s="375">
        <v>1.25</v>
      </c>
      <c r="AI10" s="357">
        <f t="shared" si="19"/>
        <v>8651.25</v>
      </c>
      <c r="AJ10" s="362">
        <f>+SECOS!X11</f>
        <v>0</v>
      </c>
      <c r="AK10" s="363">
        <f t="shared" si="20"/>
        <v>0</v>
      </c>
      <c r="AL10" s="364">
        <f t="shared" si="21"/>
        <v>174164.25</v>
      </c>
      <c r="AM10" s="248">
        <v>24</v>
      </c>
      <c r="AN10" s="266">
        <f t="shared" si="22"/>
        <v>151440</v>
      </c>
      <c r="AO10" s="255">
        <v>5.5</v>
      </c>
      <c r="AP10" s="376">
        <f t="shared" si="23"/>
        <v>34650</v>
      </c>
      <c r="AQ10" s="241">
        <v>0</v>
      </c>
      <c r="AR10" s="376">
        <f t="shared" si="24"/>
        <v>0</v>
      </c>
      <c r="AS10" s="241">
        <v>0.25</v>
      </c>
      <c r="AT10" s="376">
        <f t="shared" si="25"/>
        <v>1577.5</v>
      </c>
      <c r="AU10" s="241">
        <v>1.25</v>
      </c>
      <c r="AV10" s="376">
        <f t="shared" si="26"/>
        <v>7887.5</v>
      </c>
      <c r="AW10" s="241">
        <v>1.28</v>
      </c>
      <c r="AX10" s="376">
        <f t="shared" ref="AX10:AX19" si="36">$AW$7*AX9</f>
        <v>6216.4462500000009</v>
      </c>
      <c r="AY10" s="241">
        <v>0</v>
      </c>
      <c r="AZ10" s="376">
        <f t="shared" si="27"/>
        <v>0</v>
      </c>
      <c r="BA10" s="255">
        <v>11.8</v>
      </c>
      <c r="BB10" s="376">
        <f t="shared" si="28"/>
        <v>79496.600000000006</v>
      </c>
      <c r="BC10" s="241">
        <v>1</v>
      </c>
      <c r="BD10" s="376">
        <f t="shared" si="29"/>
        <v>6310</v>
      </c>
      <c r="BE10" s="241">
        <v>3</v>
      </c>
      <c r="BF10" s="376">
        <f t="shared" si="30"/>
        <v>18900</v>
      </c>
      <c r="BG10" s="241">
        <v>3</v>
      </c>
      <c r="BH10" s="376">
        <f t="shared" si="31"/>
        <v>39639</v>
      </c>
      <c r="BI10" s="241">
        <v>4.25</v>
      </c>
      <c r="BJ10" s="377">
        <f t="shared" si="32"/>
        <v>24467.25</v>
      </c>
      <c r="BK10" s="378">
        <v>0</v>
      </c>
      <c r="BL10" s="379">
        <f t="shared" si="33"/>
        <v>0</v>
      </c>
      <c r="BM10" s="368">
        <f t="shared" si="34"/>
        <v>370584.29625000001</v>
      </c>
      <c r="BN10" s="369">
        <f t="shared" si="2"/>
        <v>544748.54625000001</v>
      </c>
      <c r="BO10" s="382">
        <f t="shared" si="35"/>
        <v>80.08</v>
      </c>
      <c r="BP10" s="497">
        <f>+BO10*ACEITE!$BQ$1</f>
        <v>520520</v>
      </c>
      <c r="BQ10" s="26"/>
      <c r="CB10" s="277">
        <v>42795.600127314814</v>
      </c>
      <c r="CC10" s="276" t="s">
        <v>115</v>
      </c>
    </row>
    <row r="11" spans="1:81" s="26" customFormat="1" ht="19.5" thickBot="1" x14ac:dyDescent="0.35">
      <c r="A11" s="560"/>
      <c r="B11" s="562"/>
      <c r="C11" s="383">
        <v>60</v>
      </c>
      <c r="D11" s="147">
        <v>2</v>
      </c>
      <c r="E11" s="95">
        <f t="shared" ref="E11" si="37">$E$4*D11</f>
        <v>0</v>
      </c>
      <c r="F11" s="147">
        <v>3</v>
      </c>
      <c r="G11" s="95">
        <f t="shared" ref="G11" si="38">$G$4*F11</f>
        <v>0</v>
      </c>
      <c r="H11" s="147">
        <v>2</v>
      </c>
      <c r="I11" s="95">
        <f t="shared" ref="I11" si="39">$I$4*H11</f>
        <v>0</v>
      </c>
      <c r="J11" s="214">
        <f t="shared" ref="J11" si="40">SUM(I11+G11+E11)</f>
        <v>0</v>
      </c>
      <c r="K11" s="325" t="str">
        <f t="shared" si="1"/>
        <v>601.1KV CON CUBICULO IP20</v>
      </c>
      <c r="L11" s="370">
        <v>1.5</v>
      </c>
      <c r="M11" s="353">
        <f t="shared" si="8"/>
        <v>10617</v>
      </c>
      <c r="N11" s="371">
        <v>0.25</v>
      </c>
      <c r="O11" s="353">
        <f t="shared" si="9"/>
        <v>1769.5</v>
      </c>
      <c r="P11" s="371">
        <v>0.25</v>
      </c>
      <c r="Q11" s="355">
        <f t="shared" si="10"/>
        <v>1337</v>
      </c>
      <c r="R11" s="371">
        <v>4.5</v>
      </c>
      <c r="S11" s="353">
        <f t="shared" si="11"/>
        <v>32517</v>
      </c>
      <c r="T11" s="371">
        <v>0.25</v>
      </c>
      <c r="U11" s="353">
        <f t="shared" si="12"/>
        <v>1411.75</v>
      </c>
      <c r="V11" s="371">
        <v>0.25</v>
      </c>
      <c r="W11" s="353">
        <f t="shared" si="13"/>
        <v>1730.25</v>
      </c>
      <c r="X11" s="372">
        <v>0.75</v>
      </c>
      <c r="Y11" s="357">
        <f t="shared" si="14"/>
        <v>5308.5</v>
      </c>
      <c r="Z11" s="372">
        <v>0.75</v>
      </c>
      <c r="AA11" s="358">
        <f t="shared" si="15"/>
        <v>4011</v>
      </c>
      <c r="AB11" s="373">
        <v>4</v>
      </c>
      <c r="AC11" s="358">
        <f t="shared" si="16"/>
        <v>28904</v>
      </c>
      <c r="AD11" s="374">
        <v>10</v>
      </c>
      <c r="AE11" s="358">
        <f t="shared" si="17"/>
        <v>72260</v>
      </c>
      <c r="AF11" s="375">
        <v>1</v>
      </c>
      <c r="AG11" s="357">
        <f t="shared" si="18"/>
        <v>5647</v>
      </c>
      <c r="AH11" s="375">
        <v>1.25</v>
      </c>
      <c r="AI11" s="357">
        <f t="shared" si="19"/>
        <v>8651.25</v>
      </c>
      <c r="AJ11" s="362">
        <f>+SECOS!X12</f>
        <v>0</v>
      </c>
      <c r="AK11" s="363">
        <f t="shared" ref="AK11" si="41">$AK$4*AJ11</f>
        <v>0</v>
      </c>
      <c r="AL11" s="364">
        <f t="shared" ref="AL11" si="42">+M11+O11+Q11+S11+U11+W11+Y11+AA11+AC11+AE11+AG11+AI11+AK11</f>
        <v>174164.25</v>
      </c>
      <c r="AM11" s="248">
        <v>24</v>
      </c>
      <c r="AN11" s="266">
        <f t="shared" si="22"/>
        <v>151440</v>
      </c>
      <c r="AO11" s="255">
        <v>5.5</v>
      </c>
      <c r="AP11" s="376">
        <f t="shared" ref="AP11" si="43">$AP$4*AO11</f>
        <v>34650</v>
      </c>
      <c r="AQ11" s="241">
        <v>0</v>
      </c>
      <c r="AR11" s="376">
        <f t="shared" ref="AR11" si="44">$AR$4*AQ11</f>
        <v>0</v>
      </c>
      <c r="AS11" s="241">
        <v>0.25</v>
      </c>
      <c r="AT11" s="376">
        <f t="shared" ref="AT11" si="45">$AT$4*AS11</f>
        <v>1577.5</v>
      </c>
      <c r="AU11" s="241">
        <v>1.25</v>
      </c>
      <c r="AV11" s="376">
        <f t="shared" ref="AV11" si="46">$AV$4*AU11</f>
        <v>7887.5</v>
      </c>
      <c r="AW11" s="241">
        <v>1.28</v>
      </c>
      <c r="AX11" s="376">
        <f t="shared" si="36"/>
        <v>6527.2685625000013</v>
      </c>
      <c r="AY11" s="241">
        <v>0</v>
      </c>
      <c r="AZ11" s="376">
        <f t="shared" ref="AZ11" si="47">$AZ$4*AY11</f>
        <v>0</v>
      </c>
      <c r="BA11" s="255">
        <v>11.8</v>
      </c>
      <c r="BB11" s="376">
        <f t="shared" ref="BB11" si="48">$BB$4*BA11</f>
        <v>79496.600000000006</v>
      </c>
      <c r="BC11" s="241">
        <v>1</v>
      </c>
      <c r="BD11" s="376">
        <f t="shared" ref="BD11" si="49">$BD$4*BC11</f>
        <v>6310</v>
      </c>
      <c r="BE11" s="241">
        <v>3</v>
      </c>
      <c r="BF11" s="376">
        <f t="shared" ref="BF11" si="50">$BF$4*BE11</f>
        <v>18900</v>
      </c>
      <c r="BG11" s="241">
        <v>3</v>
      </c>
      <c r="BH11" s="376">
        <f t="shared" ref="BH11" si="51">$BH$4*BG11</f>
        <v>39639</v>
      </c>
      <c r="BI11" s="241">
        <v>4.25</v>
      </c>
      <c r="BJ11" s="377">
        <f t="shared" ref="BJ11" si="52">$BJ$4*BI11</f>
        <v>24467.25</v>
      </c>
      <c r="BK11" s="378">
        <v>0</v>
      </c>
      <c r="BL11" s="379">
        <f t="shared" ref="BL11" si="53">$BL$4*BK11</f>
        <v>0</v>
      </c>
      <c r="BM11" s="368">
        <f t="shared" ref="BM11" si="54">+AN11+AP11+AR11+AT11+AV11+AX11+AZ11+BB11+BD11+BF11+BH11+BJ11+BL11</f>
        <v>370895.11856249999</v>
      </c>
      <c r="BN11" s="369">
        <f t="shared" ref="BN11" si="55">AL11+BM11</f>
        <v>545059.36856249999</v>
      </c>
      <c r="BO11" s="382">
        <f t="shared" ref="BO11" si="56">+L11+N11+P11+R11+T11+V11+X11+Z11+AB11+AD11+AF11+AH11+AJ11+AM11+AO11+AQ11+AS11+AU11+AW11+AY11+BA11+BC11+BE11+BG11+BI11+BK11</f>
        <v>80.08</v>
      </c>
      <c r="BP11" s="497">
        <f>+BO11*ACEITE!$BQ$1</f>
        <v>520520</v>
      </c>
      <c r="CB11" s="277">
        <v>42795.600127314814</v>
      </c>
      <c r="CC11" s="276" t="s">
        <v>115</v>
      </c>
    </row>
    <row r="12" spans="1:81" ht="19.5" thickBot="1" x14ac:dyDescent="0.35">
      <c r="A12" s="560"/>
      <c r="B12" s="562"/>
      <c r="C12" s="383">
        <v>75</v>
      </c>
      <c r="D12" s="147">
        <v>4</v>
      </c>
      <c r="E12" s="95">
        <f t="shared" si="4"/>
        <v>0</v>
      </c>
      <c r="F12" s="147">
        <v>4</v>
      </c>
      <c r="G12" s="95">
        <f t="shared" si="5"/>
        <v>0</v>
      </c>
      <c r="H12" s="147">
        <v>2</v>
      </c>
      <c r="I12" s="95">
        <f t="shared" si="6"/>
        <v>0</v>
      </c>
      <c r="J12" s="214">
        <f t="shared" si="7"/>
        <v>0</v>
      </c>
      <c r="K12" s="325" t="str">
        <f t="shared" si="1"/>
        <v>751.1KV CON CUBICULO IP20</v>
      </c>
      <c r="L12" s="370">
        <v>1.5</v>
      </c>
      <c r="M12" s="353">
        <f t="shared" si="8"/>
        <v>10617</v>
      </c>
      <c r="N12" s="371">
        <v>0.25</v>
      </c>
      <c r="O12" s="353">
        <f t="shared" si="9"/>
        <v>1769.5</v>
      </c>
      <c r="P12" s="371">
        <v>0.25</v>
      </c>
      <c r="Q12" s="355">
        <f t="shared" si="10"/>
        <v>1337</v>
      </c>
      <c r="R12" s="371">
        <v>4.5</v>
      </c>
      <c r="S12" s="353">
        <f t="shared" si="11"/>
        <v>32517</v>
      </c>
      <c r="T12" s="371">
        <v>0.25</v>
      </c>
      <c r="U12" s="353">
        <f t="shared" si="12"/>
        <v>1411.75</v>
      </c>
      <c r="V12" s="371">
        <v>0.25</v>
      </c>
      <c r="W12" s="353">
        <f t="shared" si="13"/>
        <v>1730.25</v>
      </c>
      <c r="X12" s="372">
        <v>0.75</v>
      </c>
      <c r="Y12" s="357">
        <f t="shared" si="14"/>
        <v>5308.5</v>
      </c>
      <c r="Z12" s="372">
        <v>0.75</v>
      </c>
      <c r="AA12" s="358">
        <f t="shared" si="15"/>
        <v>4011</v>
      </c>
      <c r="AB12" s="373">
        <v>4</v>
      </c>
      <c r="AC12" s="358">
        <f t="shared" si="16"/>
        <v>28904</v>
      </c>
      <c r="AD12" s="374">
        <v>10</v>
      </c>
      <c r="AE12" s="358">
        <f t="shared" si="17"/>
        <v>72260</v>
      </c>
      <c r="AF12" s="375">
        <v>1</v>
      </c>
      <c r="AG12" s="357">
        <f t="shared" si="18"/>
        <v>5647</v>
      </c>
      <c r="AH12" s="375">
        <v>1.25</v>
      </c>
      <c r="AI12" s="357">
        <f t="shared" si="19"/>
        <v>8651.25</v>
      </c>
      <c r="AJ12" s="362">
        <f>+SECOS!X13</f>
        <v>0</v>
      </c>
      <c r="AK12" s="363">
        <f t="shared" si="20"/>
        <v>0</v>
      </c>
      <c r="AL12" s="364">
        <f t="shared" si="21"/>
        <v>174164.25</v>
      </c>
      <c r="AM12" s="248">
        <v>28</v>
      </c>
      <c r="AN12" s="266">
        <f t="shared" si="22"/>
        <v>176680</v>
      </c>
      <c r="AO12" s="255">
        <v>5.45</v>
      </c>
      <c r="AP12" s="376">
        <f t="shared" si="23"/>
        <v>34335</v>
      </c>
      <c r="AQ12" s="241">
        <v>0</v>
      </c>
      <c r="AR12" s="376">
        <f t="shared" si="24"/>
        <v>0</v>
      </c>
      <c r="AS12" s="241">
        <v>0.25</v>
      </c>
      <c r="AT12" s="376">
        <f t="shared" si="25"/>
        <v>1577.5</v>
      </c>
      <c r="AU12" s="241">
        <v>1.25</v>
      </c>
      <c r="AV12" s="376">
        <f t="shared" si="26"/>
        <v>7887.5</v>
      </c>
      <c r="AW12" s="241">
        <v>1.37</v>
      </c>
      <c r="AX12" s="376">
        <f>$AW$7*AX10</f>
        <v>6527.2685625000013</v>
      </c>
      <c r="AY12" s="241">
        <v>0</v>
      </c>
      <c r="AZ12" s="376">
        <f t="shared" si="27"/>
        <v>0</v>
      </c>
      <c r="BA12" s="255">
        <v>12.25</v>
      </c>
      <c r="BB12" s="376">
        <f t="shared" si="28"/>
        <v>82528.25</v>
      </c>
      <c r="BC12" s="241">
        <v>1</v>
      </c>
      <c r="BD12" s="376">
        <f t="shared" si="29"/>
        <v>6310</v>
      </c>
      <c r="BE12" s="241">
        <v>3.2</v>
      </c>
      <c r="BF12" s="376">
        <f t="shared" si="30"/>
        <v>20160</v>
      </c>
      <c r="BG12" s="241">
        <v>3</v>
      </c>
      <c r="BH12" s="376">
        <f t="shared" si="31"/>
        <v>39639</v>
      </c>
      <c r="BI12" s="241">
        <v>5</v>
      </c>
      <c r="BJ12" s="377">
        <f t="shared" si="32"/>
        <v>28785</v>
      </c>
      <c r="BK12" s="378">
        <v>0</v>
      </c>
      <c r="BL12" s="379">
        <f t="shared" si="33"/>
        <v>0</v>
      </c>
      <c r="BM12" s="368">
        <f t="shared" si="34"/>
        <v>404429.51856250002</v>
      </c>
      <c r="BN12" s="369">
        <f t="shared" si="2"/>
        <v>578593.76856250002</v>
      </c>
      <c r="BO12" s="382">
        <f t="shared" si="35"/>
        <v>85.52</v>
      </c>
      <c r="BP12" s="497">
        <f>+BO12*ACEITE!$BQ$1</f>
        <v>555880</v>
      </c>
      <c r="BQ12" s="26"/>
      <c r="CB12" s="277">
        <v>42795.600127314814</v>
      </c>
      <c r="CC12" s="276" t="s">
        <v>115</v>
      </c>
    </row>
    <row r="13" spans="1:81" ht="19.5" thickBot="1" x14ac:dyDescent="0.35">
      <c r="A13" s="560"/>
      <c r="B13" s="562"/>
      <c r="C13" s="383">
        <v>112.5</v>
      </c>
      <c r="D13" s="147">
        <v>4</v>
      </c>
      <c r="E13" s="95">
        <f t="shared" si="4"/>
        <v>0</v>
      </c>
      <c r="F13" s="147">
        <v>4</v>
      </c>
      <c r="G13" s="95">
        <f t="shared" si="5"/>
        <v>0</v>
      </c>
      <c r="H13" s="147">
        <v>2</v>
      </c>
      <c r="I13" s="95">
        <f t="shared" si="6"/>
        <v>0</v>
      </c>
      <c r="J13" s="214">
        <f t="shared" si="7"/>
        <v>0</v>
      </c>
      <c r="K13" s="325" t="str">
        <f t="shared" si="1"/>
        <v>112.51.1KV CON CUBICULO IP20</v>
      </c>
      <c r="L13" s="370">
        <v>1.5</v>
      </c>
      <c r="M13" s="353">
        <f t="shared" si="8"/>
        <v>10617</v>
      </c>
      <c r="N13" s="371">
        <v>0.25</v>
      </c>
      <c r="O13" s="353">
        <f t="shared" si="9"/>
        <v>1769.5</v>
      </c>
      <c r="P13" s="371">
        <v>0.25</v>
      </c>
      <c r="Q13" s="355">
        <f t="shared" si="10"/>
        <v>1337</v>
      </c>
      <c r="R13" s="371">
        <v>4.5</v>
      </c>
      <c r="S13" s="353">
        <f t="shared" si="11"/>
        <v>32517</v>
      </c>
      <c r="T13" s="371">
        <v>0.25</v>
      </c>
      <c r="U13" s="353">
        <f t="shared" si="12"/>
        <v>1411.75</v>
      </c>
      <c r="V13" s="371">
        <v>0.33</v>
      </c>
      <c r="W13" s="353">
        <f t="shared" si="13"/>
        <v>2283.9300000000003</v>
      </c>
      <c r="X13" s="372">
        <v>0.75</v>
      </c>
      <c r="Y13" s="357">
        <f t="shared" si="14"/>
        <v>5308.5</v>
      </c>
      <c r="Z13" s="372">
        <v>1</v>
      </c>
      <c r="AA13" s="358">
        <f t="shared" si="15"/>
        <v>5348</v>
      </c>
      <c r="AB13" s="373">
        <v>4</v>
      </c>
      <c r="AC13" s="358">
        <f t="shared" si="16"/>
        <v>28904</v>
      </c>
      <c r="AD13" s="374">
        <v>12</v>
      </c>
      <c r="AE13" s="358">
        <f t="shared" si="17"/>
        <v>86712</v>
      </c>
      <c r="AF13" s="375">
        <v>1.5</v>
      </c>
      <c r="AG13" s="357">
        <f t="shared" si="18"/>
        <v>8470.5</v>
      </c>
      <c r="AH13" s="375">
        <v>1.5</v>
      </c>
      <c r="AI13" s="357">
        <f t="shared" si="19"/>
        <v>10381.5</v>
      </c>
      <c r="AJ13" s="362">
        <f>+SECOS!X14</f>
        <v>0</v>
      </c>
      <c r="AK13" s="363">
        <f t="shared" si="20"/>
        <v>0</v>
      </c>
      <c r="AL13" s="364">
        <f t="shared" si="21"/>
        <v>195060.68</v>
      </c>
      <c r="AM13" s="248">
        <v>31.18</v>
      </c>
      <c r="AN13" s="266">
        <f t="shared" si="22"/>
        <v>196745.8</v>
      </c>
      <c r="AO13" s="255">
        <v>5.5</v>
      </c>
      <c r="AP13" s="376">
        <f t="shared" si="23"/>
        <v>34650</v>
      </c>
      <c r="AQ13" s="241">
        <v>0</v>
      </c>
      <c r="AR13" s="376">
        <f t="shared" si="24"/>
        <v>0</v>
      </c>
      <c r="AS13" s="241">
        <v>0.25</v>
      </c>
      <c r="AT13" s="376">
        <f t="shared" si="25"/>
        <v>1577.5</v>
      </c>
      <c r="AU13" s="241">
        <v>1.25</v>
      </c>
      <c r="AV13" s="376">
        <f t="shared" si="26"/>
        <v>7887.5</v>
      </c>
      <c r="AW13" s="241">
        <v>1.65</v>
      </c>
      <c r="AX13" s="376">
        <f t="shared" si="36"/>
        <v>6853.6319906250019</v>
      </c>
      <c r="AY13" s="241">
        <v>0</v>
      </c>
      <c r="AZ13" s="376">
        <f t="shared" si="27"/>
        <v>0</v>
      </c>
      <c r="BA13" s="255">
        <v>12.5</v>
      </c>
      <c r="BB13" s="376">
        <f t="shared" si="28"/>
        <v>84212.5</v>
      </c>
      <c r="BC13" s="241">
        <v>1</v>
      </c>
      <c r="BD13" s="376">
        <f t="shared" si="29"/>
        <v>6310</v>
      </c>
      <c r="BE13" s="241">
        <v>3.2</v>
      </c>
      <c r="BF13" s="376">
        <f t="shared" si="30"/>
        <v>20160</v>
      </c>
      <c r="BG13" s="241">
        <v>3</v>
      </c>
      <c r="BH13" s="376">
        <f t="shared" si="31"/>
        <v>39639</v>
      </c>
      <c r="BI13" s="241">
        <v>5.25</v>
      </c>
      <c r="BJ13" s="377">
        <f t="shared" si="32"/>
        <v>30224.25</v>
      </c>
      <c r="BK13" s="378">
        <v>0</v>
      </c>
      <c r="BL13" s="379">
        <f t="shared" si="33"/>
        <v>0</v>
      </c>
      <c r="BM13" s="368">
        <f t="shared" si="34"/>
        <v>428260.18199062499</v>
      </c>
      <c r="BN13" s="369">
        <f t="shared" si="2"/>
        <v>623320.86199062504</v>
      </c>
      <c r="BO13" s="382">
        <f t="shared" si="35"/>
        <v>92.61</v>
      </c>
      <c r="BP13" s="497">
        <f>+BO13*ACEITE!$BQ$1</f>
        <v>601965</v>
      </c>
      <c r="BQ13" s="26"/>
      <c r="CB13" s="277">
        <v>42795.600138888891</v>
      </c>
      <c r="CC13" s="276" t="s">
        <v>115</v>
      </c>
    </row>
    <row r="14" spans="1:81" ht="19.5" thickBot="1" x14ac:dyDescent="0.35">
      <c r="A14" s="560"/>
      <c r="B14" s="562"/>
      <c r="C14" s="383">
        <v>150</v>
      </c>
      <c r="D14" s="147">
        <v>4</v>
      </c>
      <c r="E14" s="95">
        <f t="shared" si="4"/>
        <v>0</v>
      </c>
      <c r="F14" s="147">
        <v>4</v>
      </c>
      <c r="G14" s="95">
        <f t="shared" si="5"/>
        <v>0</v>
      </c>
      <c r="H14" s="147">
        <v>2</v>
      </c>
      <c r="I14" s="95">
        <f t="shared" si="6"/>
        <v>0</v>
      </c>
      <c r="J14" s="214">
        <f t="shared" si="7"/>
        <v>0</v>
      </c>
      <c r="K14" s="325" t="str">
        <f t="shared" si="1"/>
        <v>1501.1KV CON CUBICULO IP20</v>
      </c>
      <c r="L14" s="370">
        <v>1.5</v>
      </c>
      <c r="M14" s="353">
        <f t="shared" si="8"/>
        <v>10617</v>
      </c>
      <c r="N14" s="371">
        <v>0.5</v>
      </c>
      <c r="O14" s="353">
        <f t="shared" si="9"/>
        <v>3539</v>
      </c>
      <c r="P14" s="371">
        <v>0.25</v>
      </c>
      <c r="Q14" s="355">
        <f t="shared" si="10"/>
        <v>1337</v>
      </c>
      <c r="R14" s="371">
        <v>6</v>
      </c>
      <c r="S14" s="353">
        <f t="shared" si="11"/>
        <v>43356</v>
      </c>
      <c r="T14" s="371">
        <v>0.25</v>
      </c>
      <c r="U14" s="353">
        <f t="shared" si="12"/>
        <v>1411.75</v>
      </c>
      <c r="V14" s="371">
        <v>0.33</v>
      </c>
      <c r="W14" s="353">
        <f t="shared" si="13"/>
        <v>2283.9300000000003</v>
      </c>
      <c r="X14" s="372">
        <v>0.75</v>
      </c>
      <c r="Y14" s="357">
        <f t="shared" si="14"/>
        <v>5308.5</v>
      </c>
      <c r="Z14" s="372">
        <v>1</v>
      </c>
      <c r="AA14" s="358">
        <f t="shared" si="15"/>
        <v>5348</v>
      </c>
      <c r="AB14" s="373">
        <v>5.5</v>
      </c>
      <c r="AC14" s="358">
        <f t="shared" si="16"/>
        <v>39743</v>
      </c>
      <c r="AD14" s="374">
        <v>12</v>
      </c>
      <c r="AE14" s="358">
        <f t="shared" si="17"/>
        <v>86712</v>
      </c>
      <c r="AF14" s="375">
        <v>1.5</v>
      </c>
      <c r="AG14" s="357">
        <f t="shared" si="18"/>
        <v>8470.5</v>
      </c>
      <c r="AH14" s="375">
        <v>1.5</v>
      </c>
      <c r="AI14" s="357">
        <f t="shared" si="19"/>
        <v>10381.5</v>
      </c>
      <c r="AJ14" s="362">
        <f>+SECOS!X16</f>
        <v>0</v>
      </c>
      <c r="AK14" s="363">
        <f t="shared" si="20"/>
        <v>0</v>
      </c>
      <c r="AL14" s="364">
        <f t="shared" si="21"/>
        <v>218508.18</v>
      </c>
      <c r="AM14" s="248">
        <v>33.36</v>
      </c>
      <c r="AN14" s="266">
        <f t="shared" si="22"/>
        <v>210501.6</v>
      </c>
      <c r="AO14" s="255">
        <v>6.25</v>
      </c>
      <c r="AP14" s="376">
        <f t="shared" si="23"/>
        <v>39375</v>
      </c>
      <c r="AQ14" s="241">
        <v>0</v>
      </c>
      <c r="AR14" s="376">
        <f t="shared" si="24"/>
        <v>0</v>
      </c>
      <c r="AS14" s="241">
        <v>0.5</v>
      </c>
      <c r="AT14" s="376">
        <f t="shared" si="25"/>
        <v>3155</v>
      </c>
      <c r="AU14" s="241">
        <v>1.5</v>
      </c>
      <c r="AV14" s="376">
        <f t="shared" si="26"/>
        <v>9465</v>
      </c>
      <c r="AW14" s="241">
        <v>1.92</v>
      </c>
      <c r="AX14" s="376">
        <f t="shared" si="36"/>
        <v>7196.3135901562518</v>
      </c>
      <c r="AY14" s="241">
        <v>0</v>
      </c>
      <c r="AZ14" s="376">
        <f t="shared" si="27"/>
        <v>0</v>
      </c>
      <c r="BA14" s="255">
        <v>12.5</v>
      </c>
      <c r="BB14" s="376">
        <f t="shared" si="28"/>
        <v>84212.5</v>
      </c>
      <c r="BC14" s="241">
        <v>1</v>
      </c>
      <c r="BD14" s="376">
        <f t="shared" si="29"/>
        <v>6310</v>
      </c>
      <c r="BE14" s="241">
        <v>3.2</v>
      </c>
      <c r="BF14" s="376">
        <f t="shared" si="30"/>
        <v>20160</v>
      </c>
      <c r="BG14" s="241">
        <v>3</v>
      </c>
      <c r="BH14" s="376">
        <f t="shared" si="31"/>
        <v>39639</v>
      </c>
      <c r="BI14" s="241">
        <v>5.25</v>
      </c>
      <c r="BJ14" s="377">
        <f t="shared" si="32"/>
        <v>30224.25</v>
      </c>
      <c r="BK14" s="378">
        <v>0</v>
      </c>
      <c r="BL14" s="379">
        <f t="shared" si="33"/>
        <v>0</v>
      </c>
      <c r="BM14" s="368">
        <f t="shared" si="34"/>
        <v>450238.66359015624</v>
      </c>
      <c r="BN14" s="369">
        <f t="shared" si="2"/>
        <v>668746.84359015618</v>
      </c>
      <c r="BO14" s="382">
        <f t="shared" si="35"/>
        <v>99.56</v>
      </c>
      <c r="BP14" s="497">
        <f>+BO14*ACEITE!$BQ$1</f>
        <v>647140</v>
      </c>
      <c r="BQ14" s="26"/>
      <c r="CB14" s="277">
        <v>42795.600138888891</v>
      </c>
      <c r="CC14" s="276" t="s">
        <v>115</v>
      </c>
    </row>
    <row r="15" spans="1:81" ht="19.5" thickBot="1" x14ac:dyDescent="0.35">
      <c r="A15" s="560"/>
      <c r="B15" s="562"/>
      <c r="C15" s="383">
        <v>225</v>
      </c>
      <c r="D15" s="147">
        <v>6</v>
      </c>
      <c r="E15" s="95">
        <f t="shared" si="4"/>
        <v>0</v>
      </c>
      <c r="F15" s="147">
        <v>4</v>
      </c>
      <c r="G15" s="95">
        <f t="shared" si="5"/>
        <v>0</v>
      </c>
      <c r="H15" s="147">
        <v>2</v>
      </c>
      <c r="I15" s="95">
        <f t="shared" si="6"/>
        <v>0</v>
      </c>
      <c r="J15" s="214">
        <f t="shared" si="7"/>
        <v>0</v>
      </c>
      <c r="K15" s="325" t="str">
        <f t="shared" si="1"/>
        <v>2251.1KV CON CUBICULO IP20</v>
      </c>
      <c r="L15" s="370">
        <v>1.5</v>
      </c>
      <c r="M15" s="353">
        <f t="shared" si="8"/>
        <v>10617</v>
      </c>
      <c r="N15" s="371">
        <v>0.5</v>
      </c>
      <c r="O15" s="353">
        <f t="shared" si="9"/>
        <v>3539</v>
      </c>
      <c r="P15" s="380">
        <v>0.25</v>
      </c>
      <c r="Q15" s="355">
        <f t="shared" si="10"/>
        <v>1337</v>
      </c>
      <c r="R15" s="371">
        <v>6</v>
      </c>
      <c r="S15" s="353">
        <f t="shared" si="11"/>
        <v>43356</v>
      </c>
      <c r="T15" s="371">
        <v>0.5</v>
      </c>
      <c r="U15" s="353">
        <f t="shared" si="12"/>
        <v>2823.5</v>
      </c>
      <c r="V15" s="371">
        <v>0.33</v>
      </c>
      <c r="W15" s="353">
        <f t="shared" si="13"/>
        <v>2283.9300000000003</v>
      </c>
      <c r="X15" s="372">
        <v>1</v>
      </c>
      <c r="Y15" s="357">
        <f t="shared" si="14"/>
        <v>7078</v>
      </c>
      <c r="Z15" s="372">
        <v>1</v>
      </c>
      <c r="AA15" s="358">
        <f t="shared" si="15"/>
        <v>5348</v>
      </c>
      <c r="AB15" s="373">
        <v>6.5</v>
      </c>
      <c r="AC15" s="358">
        <f t="shared" si="16"/>
        <v>46969</v>
      </c>
      <c r="AD15" s="374">
        <v>14</v>
      </c>
      <c r="AE15" s="358">
        <f t="shared" si="17"/>
        <v>101164</v>
      </c>
      <c r="AF15" s="375">
        <v>1.5</v>
      </c>
      <c r="AG15" s="357">
        <f t="shared" si="18"/>
        <v>8470.5</v>
      </c>
      <c r="AH15" s="375">
        <v>1.75</v>
      </c>
      <c r="AI15" s="357">
        <f t="shared" si="19"/>
        <v>12111.75</v>
      </c>
      <c r="AJ15" s="362">
        <f>+SECOS!X17</f>
        <v>0</v>
      </c>
      <c r="AK15" s="363">
        <f t="shared" si="20"/>
        <v>0</v>
      </c>
      <c r="AL15" s="364">
        <f t="shared" si="21"/>
        <v>245097.68</v>
      </c>
      <c r="AM15" s="248">
        <v>36.5</v>
      </c>
      <c r="AN15" s="266">
        <f t="shared" si="22"/>
        <v>230315</v>
      </c>
      <c r="AO15" s="255">
        <v>6.5</v>
      </c>
      <c r="AP15" s="376">
        <f t="shared" si="23"/>
        <v>40950</v>
      </c>
      <c r="AQ15" s="241">
        <v>0</v>
      </c>
      <c r="AR15" s="376">
        <f t="shared" si="24"/>
        <v>0</v>
      </c>
      <c r="AS15" s="241">
        <v>0.5</v>
      </c>
      <c r="AT15" s="376">
        <f t="shared" si="25"/>
        <v>3155</v>
      </c>
      <c r="AU15" s="241">
        <v>1.5</v>
      </c>
      <c r="AV15" s="376">
        <f t="shared" si="26"/>
        <v>9465</v>
      </c>
      <c r="AW15" s="241">
        <v>2.25</v>
      </c>
      <c r="AX15" s="376">
        <f t="shared" si="36"/>
        <v>7556.1292696640649</v>
      </c>
      <c r="AY15" s="241">
        <v>0</v>
      </c>
      <c r="AZ15" s="376">
        <f t="shared" si="27"/>
        <v>0</v>
      </c>
      <c r="BA15" s="255">
        <v>12.8</v>
      </c>
      <c r="BB15" s="376">
        <f t="shared" si="28"/>
        <v>86233.600000000006</v>
      </c>
      <c r="BC15" s="241">
        <v>1</v>
      </c>
      <c r="BD15" s="376">
        <f t="shared" si="29"/>
        <v>6310</v>
      </c>
      <c r="BE15" s="241">
        <v>3.2</v>
      </c>
      <c r="BF15" s="376">
        <f t="shared" si="30"/>
        <v>20160</v>
      </c>
      <c r="BG15" s="241">
        <v>3</v>
      </c>
      <c r="BH15" s="376">
        <f t="shared" si="31"/>
        <v>39639</v>
      </c>
      <c r="BI15" s="241">
        <v>5.75</v>
      </c>
      <c r="BJ15" s="377">
        <f t="shared" si="32"/>
        <v>33102.75</v>
      </c>
      <c r="BK15" s="378">
        <v>0</v>
      </c>
      <c r="BL15" s="379">
        <f t="shared" si="33"/>
        <v>0</v>
      </c>
      <c r="BM15" s="368">
        <f t="shared" si="34"/>
        <v>476886.47926966404</v>
      </c>
      <c r="BN15" s="369">
        <f t="shared" si="2"/>
        <v>721984.15926966397</v>
      </c>
      <c r="BO15" s="382">
        <f t="shared" si="35"/>
        <v>107.83</v>
      </c>
      <c r="BP15" s="497">
        <f>+BO15*ACEITE!$BQ$1</f>
        <v>700895</v>
      </c>
      <c r="BQ15" s="26"/>
      <c r="CB15" s="277">
        <v>42795.600138888891</v>
      </c>
      <c r="CC15" s="276" t="s">
        <v>115</v>
      </c>
    </row>
    <row r="16" spans="1:81" ht="19.5" thickBot="1" x14ac:dyDescent="0.35">
      <c r="A16" s="560"/>
      <c r="B16" s="562"/>
      <c r="C16" s="384">
        <v>300</v>
      </c>
      <c r="D16" s="149">
        <v>6</v>
      </c>
      <c r="E16" s="95">
        <f t="shared" si="4"/>
        <v>0</v>
      </c>
      <c r="F16" s="149">
        <v>6</v>
      </c>
      <c r="G16" s="95">
        <f t="shared" si="5"/>
        <v>0</v>
      </c>
      <c r="H16" s="149">
        <v>2</v>
      </c>
      <c r="I16" s="95">
        <f t="shared" si="6"/>
        <v>0</v>
      </c>
      <c r="J16" s="214">
        <f t="shared" si="7"/>
        <v>0</v>
      </c>
      <c r="K16" s="325" t="str">
        <f t="shared" si="1"/>
        <v>3001.1KV CON CUBICULO IP20</v>
      </c>
      <c r="L16" s="370">
        <v>1.5</v>
      </c>
      <c r="M16" s="353">
        <f t="shared" si="8"/>
        <v>10617</v>
      </c>
      <c r="N16" s="381">
        <v>0.75</v>
      </c>
      <c r="O16" s="353">
        <f t="shared" si="9"/>
        <v>5308.5</v>
      </c>
      <c r="P16" s="371">
        <v>0.25</v>
      </c>
      <c r="Q16" s="355">
        <f t="shared" si="10"/>
        <v>1337</v>
      </c>
      <c r="R16" s="381">
        <v>6</v>
      </c>
      <c r="S16" s="353">
        <f t="shared" si="11"/>
        <v>43356</v>
      </c>
      <c r="T16" s="381">
        <v>0.5</v>
      </c>
      <c r="U16" s="353">
        <f t="shared" si="12"/>
        <v>2823.5</v>
      </c>
      <c r="V16" s="381">
        <v>0.5</v>
      </c>
      <c r="W16" s="353">
        <f t="shared" si="13"/>
        <v>3460.5</v>
      </c>
      <c r="X16" s="375">
        <v>1.25</v>
      </c>
      <c r="Y16" s="357">
        <f t="shared" si="14"/>
        <v>8847.5</v>
      </c>
      <c r="Z16" s="375">
        <v>1.5</v>
      </c>
      <c r="AA16" s="358">
        <f t="shared" si="15"/>
        <v>8022</v>
      </c>
      <c r="AB16" s="373">
        <v>6.5</v>
      </c>
      <c r="AC16" s="358">
        <f t="shared" si="16"/>
        <v>46969</v>
      </c>
      <c r="AD16" s="374">
        <v>14</v>
      </c>
      <c r="AE16" s="358">
        <f t="shared" si="17"/>
        <v>101164</v>
      </c>
      <c r="AF16" s="375">
        <v>1.5</v>
      </c>
      <c r="AG16" s="357">
        <f t="shared" si="18"/>
        <v>8470.5</v>
      </c>
      <c r="AH16" s="375">
        <v>1.75</v>
      </c>
      <c r="AI16" s="357">
        <f t="shared" si="19"/>
        <v>12111.75</v>
      </c>
      <c r="AJ16" s="362">
        <f>+SECOS!X18</f>
        <v>0</v>
      </c>
      <c r="AK16" s="363">
        <f t="shared" si="20"/>
        <v>0</v>
      </c>
      <c r="AL16" s="364">
        <f t="shared" si="21"/>
        <v>252487.25</v>
      </c>
      <c r="AM16" s="247">
        <v>42.51</v>
      </c>
      <c r="AN16" s="266">
        <f t="shared" si="22"/>
        <v>268238.09999999998</v>
      </c>
      <c r="AO16" s="256">
        <v>7.25</v>
      </c>
      <c r="AP16" s="376">
        <f t="shared" si="23"/>
        <v>45675</v>
      </c>
      <c r="AQ16" s="236">
        <v>0</v>
      </c>
      <c r="AR16" s="376">
        <f t="shared" si="24"/>
        <v>0</v>
      </c>
      <c r="AS16" s="241">
        <v>0.5</v>
      </c>
      <c r="AT16" s="376">
        <f t="shared" si="25"/>
        <v>3155</v>
      </c>
      <c r="AU16" s="241">
        <v>1.5</v>
      </c>
      <c r="AV16" s="376">
        <f t="shared" si="26"/>
        <v>9465</v>
      </c>
      <c r="AW16" s="236">
        <v>2.75</v>
      </c>
      <c r="AX16" s="376">
        <f t="shared" si="36"/>
        <v>7933.9357331472684</v>
      </c>
      <c r="AY16" s="236">
        <v>0</v>
      </c>
      <c r="AZ16" s="376">
        <f t="shared" si="27"/>
        <v>0</v>
      </c>
      <c r="BA16" s="256">
        <v>13</v>
      </c>
      <c r="BB16" s="376">
        <f t="shared" si="28"/>
        <v>87581</v>
      </c>
      <c r="BC16" s="241">
        <v>1.25</v>
      </c>
      <c r="BD16" s="376">
        <f t="shared" si="29"/>
        <v>7887.5</v>
      </c>
      <c r="BE16" s="241">
        <v>3.4</v>
      </c>
      <c r="BF16" s="376">
        <f t="shared" si="30"/>
        <v>21420</v>
      </c>
      <c r="BG16" s="241">
        <v>3</v>
      </c>
      <c r="BH16" s="376">
        <f t="shared" si="31"/>
        <v>39639</v>
      </c>
      <c r="BI16" s="236">
        <v>5.75</v>
      </c>
      <c r="BJ16" s="377">
        <f t="shared" si="32"/>
        <v>33102.75</v>
      </c>
      <c r="BK16" s="378">
        <v>0</v>
      </c>
      <c r="BL16" s="379">
        <f t="shared" si="33"/>
        <v>0</v>
      </c>
      <c r="BM16" s="368">
        <f t="shared" si="34"/>
        <v>524097.28573314723</v>
      </c>
      <c r="BN16" s="369">
        <f t="shared" si="2"/>
        <v>776584.53573314729</v>
      </c>
      <c r="BO16" s="382">
        <f t="shared" si="35"/>
        <v>116.91</v>
      </c>
      <c r="BP16" s="497">
        <f>+BO16*ACEITE!$BQ$1</f>
        <v>759915</v>
      </c>
      <c r="BQ16" s="26"/>
      <c r="CB16" s="277">
        <v>42795.600138888891</v>
      </c>
      <c r="CC16" s="276" t="s">
        <v>115</v>
      </c>
    </row>
    <row r="17" spans="1:81" ht="19.5" thickBot="1" x14ac:dyDescent="0.35">
      <c r="A17" s="560"/>
      <c r="B17" s="562"/>
      <c r="C17" s="384">
        <v>400</v>
      </c>
      <c r="D17" s="149">
        <v>8</v>
      </c>
      <c r="E17" s="95">
        <f t="shared" si="4"/>
        <v>0</v>
      </c>
      <c r="F17" s="149">
        <v>6</v>
      </c>
      <c r="G17" s="95">
        <f t="shared" si="5"/>
        <v>0</v>
      </c>
      <c r="H17" s="149">
        <v>2</v>
      </c>
      <c r="I17" s="95">
        <f t="shared" si="6"/>
        <v>0</v>
      </c>
      <c r="J17" s="214">
        <f t="shared" si="7"/>
        <v>0</v>
      </c>
      <c r="K17" s="325" t="str">
        <f t="shared" si="1"/>
        <v>4001.1KV CON CUBICULO IP20</v>
      </c>
      <c r="L17" s="370">
        <v>1.5</v>
      </c>
      <c r="M17" s="353">
        <f t="shared" si="8"/>
        <v>10617</v>
      </c>
      <c r="N17" s="381">
        <v>0.75</v>
      </c>
      <c r="O17" s="353">
        <f t="shared" si="9"/>
        <v>5308.5</v>
      </c>
      <c r="P17" s="371">
        <v>0.25</v>
      </c>
      <c r="Q17" s="355">
        <f t="shared" si="10"/>
        <v>1337</v>
      </c>
      <c r="R17" s="381">
        <v>7</v>
      </c>
      <c r="S17" s="353">
        <f t="shared" si="11"/>
        <v>50582</v>
      </c>
      <c r="T17" s="381">
        <v>0.5</v>
      </c>
      <c r="U17" s="353">
        <f t="shared" si="12"/>
        <v>2823.5</v>
      </c>
      <c r="V17" s="381">
        <v>0.5</v>
      </c>
      <c r="W17" s="353">
        <f t="shared" si="13"/>
        <v>3460.5</v>
      </c>
      <c r="X17" s="375">
        <v>1.25</v>
      </c>
      <c r="Y17" s="357">
        <f t="shared" si="14"/>
        <v>8847.5</v>
      </c>
      <c r="Z17" s="375">
        <v>1.5</v>
      </c>
      <c r="AA17" s="358">
        <f t="shared" si="15"/>
        <v>8022</v>
      </c>
      <c r="AB17" s="373">
        <v>6.5</v>
      </c>
      <c r="AC17" s="358">
        <f t="shared" si="16"/>
        <v>46969</v>
      </c>
      <c r="AD17" s="374">
        <v>16</v>
      </c>
      <c r="AE17" s="358">
        <f t="shared" si="17"/>
        <v>115616</v>
      </c>
      <c r="AF17" s="375">
        <v>2</v>
      </c>
      <c r="AG17" s="357">
        <f t="shared" si="18"/>
        <v>11294</v>
      </c>
      <c r="AH17" s="375">
        <v>1.75</v>
      </c>
      <c r="AI17" s="357">
        <f t="shared" si="19"/>
        <v>12111.75</v>
      </c>
      <c r="AJ17" s="362">
        <f>+SECOS!X19</f>
        <v>0</v>
      </c>
      <c r="AK17" s="363">
        <f t="shared" si="20"/>
        <v>0</v>
      </c>
      <c r="AL17" s="364">
        <f t="shared" si="21"/>
        <v>276988.75</v>
      </c>
      <c r="AM17" s="244">
        <v>53.8</v>
      </c>
      <c r="AN17" s="266">
        <f t="shared" si="22"/>
        <v>339478</v>
      </c>
      <c r="AO17" s="256">
        <v>15</v>
      </c>
      <c r="AP17" s="376">
        <f t="shared" si="23"/>
        <v>94500</v>
      </c>
      <c r="AQ17" s="236">
        <v>0</v>
      </c>
      <c r="AR17" s="376">
        <f t="shared" si="24"/>
        <v>0</v>
      </c>
      <c r="AS17" s="241">
        <v>0.5</v>
      </c>
      <c r="AT17" s="376">
        <f t="shared" si="25"/>
        <v>3155</v>
      </c>
      <c r="AU17" s="241">
        <v>1.5</v>
      </c>
      <c r="AV17" s="376">
        <f t="shared" si="26"/>
        <v>9465</v>
      </c>
      <c r="AW17" s="236">
        <v>4.5199999999999996</v>
      </c>
      <c r="AX17" s="376">
        <f t="shared" si="36"/>
        <v>8330.6325198046325</v>
      </c>
      <c r="AY17" s="236">
        <v>0</v>
      </c>
      <c r="AZ17" s="376">
        <f t="shared" si="27"/>
        <v>0</v>
      </c>
      <c r="BA17" s="256">
        <v>13.8</v>
      </c>
      <c r="BB17" s="376">
        <f t="shared" si="28"/>
        <v>92970.6</v>
      </c>
      <c r="BC17" s="241">
        <v>1.25</v>
      </c>
      <c r="BD17" s="376">
        <f t="shared" si="29"/>
        <v>7887.5</v>
      </c>
      <c r="BE17" s="241">
        <v>3.4</v>
      </c>
      <c r="BF17" s="376">
        <f t="shared" si="30"/>
        <v>21420</v>
      </c>
      <c r="BG17" s="241">
        <v>3</v>
      </c>
      <c r="BH17" s="376">
        <f t="shared" si="31"/>
        <v>39639</v>
      </c>
      <c r="BI17" s="236">
        <v>6</v>
      </c>
      <c r="BJ17" s="377">
        <f t="shared" si="32"/>
        <v>34542</v>
      </c>
      <c r="BK17" s="378">
        <v>0</v>
      </c>
      <c r="BL17" s="379">
        <f t="shared" si="33"/>
        <v>0</v>
      </c>
      <c r="BM17" s="368">
        <f t="shared" si="34"/>
        <v>651387.73251980462</v>
      </c>
      <c r="BN17" s="369">
        <f t="shared" si="2"/>
        <v>928376.48251980462</v>
      </c>
      <c r="BO17" s="382">
        <f t="shared" si="35"/>
        <v>142.27000000000001</v>
      </c>
      <c r="BP17" s="497">
        <f>+BO17*ACEITE!$BQ$1</f>
        <v>924755.00000000012</v>
      </c>
      <c r="BQ17" s="26"/>
      <c r="CB17" s="277">
        <v>42795.600138888891</v>
      </c>
      <c r="CC17" s="276" t="s">
        <v>115</v>
      </c>
    </row>
    <row r="18" spans="1:81" ht="19.5" thickBot="1" x14ac:dyDescent="0.35">
      <c r="A18" s="560"/>
      <c r="B18" s="562"/>
      <c r="C18" s="384">
        <v>500</v>
      </c>
      <c r="D18" s="149">
        <v>8</v>
      </c>
      <c r="E18" s="95">
        <f t="shared" si="4"/>
        <v>0</v>
      </c>
      <c r="F18" s="149">
        <v>6</v>
      </c>
      <c r="G18" s="95">
        <f t="shared" si="5"/>
        <v>0</v>
      </c>
      <c r="H18" s="149">
        <v>2</v>
      </c>
      <c r="I18" s="95">
        <f t="shared" si="6"/>
        <v>0</v>
      </c>
      <c r="J18" s="214">
        <f t="shared" si="7"/>
        <v>0</v>
      </c>
      <c r="K18" s="325" t="str">
        <f t="shared" si="1"/>
        <v>5001.1KV CON CUBICULO IP20</v>
      </c>
      <c r="L18" s="370">
        <v>1.5</v>
      </c>
      <c r="M18" s="353">
        <f t="shared" si="8"/>
        <v>10617</v>
      </c>
      <c r="N18" s="381">
        <v>0.75</v>
      </c>
      <c r="O18" s="353">
        <f t="shared" si="9"/>
        <v>5308.5</v>
      </c>
      <c r="P18" s="371">
        <v>0.25</v>
      </c>
      <c r="Q18" s="355">
        <f t="shared" si="10"/>
        <v>1337</v>
      </c>
      <c r="R18" s="381">
        <v>7</v>
      </c>
      <c r="S18" s="353">
        <f t="shared" si="11"/>
        <v>50582</v>
      </c>
      <c r="T18" s="381">
        <v>0.5</v>
      </c>
      <c r="U18" s="353">
        <f t="shared" si="12"/>
        <v>2823.5</v>
      </c>
      <c r="V18" s="381">
        <v>0.5</v>
      </c>
      <c r="W18" s="353">
        <f t="shared" si="13"/>
        <v>3460.5</v>
      </c>
      <c r="X18" s="375">
        <v>1.5</v>
      </c>
      <c r="Y18" s="357">
        <f t="shared" si="14"/>
        <v>10617</v>
      </c>
      <c r="Z18" s="375">
        <v>2</v>
      </c>
      <c r="AA18" s="358">
        <f t="shared" si="15"/>
        <v>10696</v>
      </c>
      <c r="AB18" s="373">
        <v>8.5</v>
      </c>
      <c r="AC18" s="358">
        <f t="shared" si="16"/>
        <v>61421</v>
      </c>
      <c r="AD18" s="374">
        <v>18</v>
      </c>
      <c r="AE18" s="358">
        <f t="shared" si="17"/>
        <v>130068</v>
      </c>
      <c r="AF18" s="375">
        <v>2</v>
      </c>
      <c r="AG18" s="357">
        <f t="shared" si="18"/>
        <v>11294</v>
      </c>
      <c r="AH18" s="375">
        <v>2</v>
      </c>
      <c r="AI18" s="357">
        <f t="shared" si="19"/>
        <v>13842</v>
      </c>
      <c r="AJ18" s="362">
        <f>+SECOS!X20</f>
        <v>0</v>
      </c>
      <c r="AK18" s="363">
        <f t="shared" si="20"/>
        <v>0</v>
      </c>
      <c r="AL18" s="364">
        <f t="shared" si="21"/>
        <v>312066.5</v>
      </c>
      <c r="AM18" s="244">
        <v>62.12</v>
      </c>
      <c r="AN18" s="266">
        <f t="shared" si="22"/>
        <v>391977.2</v>
      </c>
      <c r="AO18" s="256">
        <v>15</v>
      </c>
      <c r="AP18" s="376">
        <f t="shared" si="23"/>
        <v>94500</v>
      </c>
      <c r="AQ18" s="236">
        <v>0</v>
      </c>
      <c r="AR18" s="376">
        <f t="shared" si="24"/>
        <v>0</v>
      </c>
      <c r="AS18" s="241">
        <v>0.5</v>
      </c>
      <c r="AT18" s="376">
        <f t="shared" si="25"/>
        <v>3155</v>
      </c>
      <c r="AU18" s="241">
        <v>1.5</v>
      </c>
      <c r="AV18" s="376">
        <f t="shared" si="26"/>
        <v>9465</v>
      </c>
      <c r="AW18" s="236">
        <v>4.5199999999999996</v>
      </c>
      <c r="AX18" s="376">
        <f t="shared" si="36"/>
        <v>8747.1641457948645</v>
      </c>
      <c r="AY18" s="236">
        <v>0</v>
      </c>
      <c r="AZ18" s="376">
        <f t="shared" si="27"/>
        <v>0</v>
      </c>
      <c r="BA18" s="256">
        <v>13.8</v>
      </c>
      <c r="BB18" s="376">
        <f t="shared" si="28"/>
        <v>92970.6</v>
      </c>
      <c r="BC18" s="241">
        <v>1.5</v>
      </c>
      <c r="BD18" s="376">
        <f t="shared" si="29"/>
        <v>9465</v>
      </c>
      <c r="BE18" s="241">
        <v>3.4</v>
      </c>
      <c r="BF18" s="376">
        <f t="shared" si="30"/>
        <v>21420</v>
      </c>
      <c r="BG18" s="241">
        <v>3</v>
      </c>
      <c r="BH18" s="376">
        <f t="shared" si="31"/>
        <v>39639</v>
      </c>
      <c r="BI18" s="236">
        <v>6.25</v>
      </c>
      <c r="BJ18" s="377">
        <f t="shared" si="32"/>
        <v>35981.25</v>
      </c>
      <c r="BK18" s="378">
        <v>0</v>
      </c>
      <c r="BL18" s="379">
        <f t="shared" si="33"/>
        <v>0</v>
      </c>
      <c r="BM18" s="368">
        <f t="shared" si="34"/>
        <v>707320.21414579486</v>
      </c>
      <c r="BN18" s="369">
        <f t="shared" si="2"/>
        <v>1019386.7141457949</v>
      </c>
      <c r="BO18" s="382">
        <f t="shared" si="35"/>
        <v>156.09000000000003</v>
      </c>
      <c r="BP18" s="497">
        <f>+BO18*ACEITE!$BQ$1</f>
        <v>1014585.0000000002</v>
      </c>
      <c r="BQ18" s="26"/>
      <c r="CB18" s="277">
        <v>42795.60015046296</v>
      </c>
      <c r="CC18" s="276" t="s">
        <v>115</v>
      </c>
    </row>
    <row r="19" spans="1:81" ht="19.5" thickBot="1" x14ac:dyDescent="0.35">
      <c r="A19" s="561"/>
      <c r="B19" s="563"/>
      <c r="C19" s="422">
        <v>630</v>
      </c>
      <c r="D19" s="423">
        <v>8</v>
      </c>
      <c r="E19" s="400">
        <f t="shared" si="4"/>
        <v>0</v>
      </c>
      <c r="F19" s="423">
        <v>6</v>
      </c>
      <c r="G19" s="400">
        <f t="shared" si="5"/>
        <v>0</v>
      </c>
      <c r="H19" s="423">
        <v>2</v>
      </c>
      <c r="I19" s="400">
        <f t="shared" si="6"/>
        <v>0</v>
      </c>
      <c r="J19" s="424">
        <f t="shared" si="7"/>
        <v>0</v>
      </c>
      <c r="K19" s="425" t="str">
        <f t="shared" si="1"/>
        <v>6301.1KV CON CUBICULO IP20</v>
      </c>
      <c r="L19" s="426">
        <v>1.5</v>
      </c>
      <c r="M19" s="427">
        <f t="shared" si="8"/>
        <v>10617</v>
      </c>
      <c r="N19" s="428">
        <v>1.25</v>
      </c>
      <c r="O19" s="427">
        <f t="shared" si="9"/>
        <v>8847.5</v>
      </c>
      <c r="P19" s="429">
        <v>0.25</v>
      </c>
      <c r="Q19" s="430">
        <f t="shared" si="10"/>
        <v>1337</v>
      </c>
      <c r="R19" s="428">
        <v>7</v>
      </c>
      <c r="S19" s="427">
        <f t="shared" si="11"/>
        <v>50582</v>
      </c>
      <c r="T19" s="428">
        <v>0.75</v>
      </c>
      <c r="U19" s="427">
        <f t="shared" si="12"/>
        <v>4235.25</v>
      </c>
      <c r="V19" s="428">
        <v>0.75</v>
      </c>
      <c r="W19" s="427">
        <f t="shared" si="13"/>
        <v>5190.75</v>
      </c>
      <c r="X19" s="374">
        <v>1.5</v>
      </c>
      <c r="Y19" s="431">
        <f t="shared" si="14"/>
        <v>10617</v>
      </c>
      <c r="Z19" s="374">
        <v>2</v>
      </c>
      <c r="AA19" s="432">
        <f t="shared" si="15"/>
        <v>10696</v>
      </c>
      <c r="AB19" s="373">
        <v>8.5</v>
      </c>
      <c r="AC19" s="432">
        <f t="shared" si="16"/>
        <v>61421</v>
      </c>
      <c r="AD19" s="374">
        <v>20</v>
      </c>
      <c r="AE19" s="432">
        <f t="shared" si="17"/>
        <v>144520</v>
      </c>
      <c r="AF19" s="374">
        <v>2</v>
      </c>
      <c r="AG19" s="431">
        <f t="shared" si="18"/>
        <v>11294</v>
      </c>
      <c r="AH19" s="374">
        <v>2</v>
      </c>
      <c r="AI19" s="431">
        <f t="shared" si="19"/>
        <v>13842</v>
      </c>
      <c r="AJ19" s="362">
        <f>+SECOS!X21</f>
        <v>0</v>
      </c>
      <c r="AK19" s="433">
        <f t="shared" si="20"/>
        <v>0</v>
      </c>
      <c r="AL19" s="434">
        <f t="shared" si="21"/>
        <v>333199.5</v>
      </c>
      <c r="AM19" s="245">
        <v>70.8</v>
      </c>
      <c r="AN19" s="267">
        <f t="shared" si="22"/>
        <v>446748</v>
      </c>
      <c r="AO19" s="252">
        <v>15.5</v>
      </c>
      <c r="AP19" s="435">
        <f t="shared" si="23"/>
        <v>97650</v>
      </c>
      <c r="AQ19" s="301">
        <v>0</v>
      </c>
      <c r="AR19" s="435">
        <f t="shared" si="24"/>
        <v>0</v>
      </c>
      <c r="AS19" s="407">
        <v>0.5</v>
      </c>
      <c r="AT19" s="435">
        <f t="shared" si="25"/>
        <v>3155</v>
      </c>
      <c r="AU19" s="407">
        <v>1.5</v>
      </c>
      <c r="AV19" s="435">
        <f t="shared" si="26"/>
        <v>9465</v>
      </c>
      <c r="AW19" s="301">
        <v>5.25</v>
      </c>
      <c r="AX19" s="435">
        <f t="shared" si="36"/>
        <v>9184.5223530846088</v>
      </c>
      <c r="AY19" s="301">
        <v>0</v>
      </c>
      <c r="AZ19" s="435">
        <f t="shared" si="27"/>
        <v>0</v>
      </c>
      <c r="BA19" s="252">
        <v>14.5</v>
      </c>
      <c r="BB19" s="435">
        <f t="shared" si="28"/>
        <v>97686.5</v>
      </c>
      <c r="BC19" s="407">
        <v>1.5</v>
      </c>
      <c r="BD19" s="435">
        <f t="shared" si="29"/>
        <v>9465</v>
      </c>
      <c r="BE19" s="407">
        <v>4</v>
      </c>
      <c r="BF19" s="435">
        <f t="shared" si="30"/>
        <v>25200</v>
      </c>
      <c r="BG19" s="407">
        <v>3</v>
      </c>
      <c r="BH19" s="435">
        <f t="shared" si="31"/>
        <v>39639</v>
      </c>
      <c r="BI19" s="301">
        <v>6.25</v>
      </c>
      <c r="BJ19" s="436">
        <f t="shared" si="32"/>
        <v>35981.25</v>
      </c>
      <c r="BK19" s="437">
        <v>0</v>
      </c>
      <c r="BL19" s="438">
        <f t="shared" si="33"/>
        <v>0</v>
      </c>
      <c r="BM19" s="410">
        <f t="shared" si="34"/>
        <v>774174.27235308464</v>
      </c>
      <c r="BN19" s="439">
        <f t="shared" si="2"/>
        <v>1107373.7723530848</v>
      </c>
      <c r="BO19" s="382">
        <f t="shared" si="35"/>
        <v>170.3</v>
      </c>
      <c r="BP19" s="497">
        <f>+BO19*ACEITE!$BQ$1</f>
        <v>1106950</v>
      </c>
      <c r="BQ19" s="26"/>
      <c r="CB19" s="277">
        <v>42795.60015046296</v>
      </c>
      <c r="CC19" s="276" t="s">
        <v>115</v>
      </c>
    </row>
    <row r="20" spans="1:81" ht="15.75" thickBot="1" x14ac:dyDescent="0.3">
      <c r="A20" s="530" t="s">
        <v>153</v>
      </c>
      <c r="B20" s="531" t="s">
        <v>54</v>
      </c>
      <c r="C20" s="27">
        <v>15</v>
      </c>
      <c r="D20" s="27"/>
      <c r="E20" s="27"/>
      <c r="F20" s="27"/>
      <c r="G20" s="27"/>
      <c r="H20" s="27"/>
      <c r="I20" s="27"/>
      <c r="J20" s="27"/>
      <c r="K20" s="27">
        <v>1</v>
      </c>
      <c r="L20" s="443"/>
      <c r="M20" s="440"/>
      <c r="N20" s="443"/>
      <c r="O20" s="440"/>
      <c r="P20" s="443"/>
      <c r="Q20" s="440"/>
      <c r="R20" s="443"/>
      <c r="S20" s="440"/>
      <c r="T20" s="443"/>
      <c r="U20" s="440"/>
      <c r="V20" s="443"/>
      <c r="W20" s="421"/>
      <c r="X20" s="444"/>
      <c r="Y20" s="441"/>
      <c r="Z20" s="444"/>
      <c r="AA20" s="441"/>
      <c r="AB20" s="444"/>
      <c r="AC20" s="441"/>
      <c r="AD20" s="444"/>
      <c r="AE20" s="441"/>
      <c r="AF20" s="444"/>
      <c r="AG20" s="441"/>
      <c r="AH20" s="444"/>
      <c r="AI20" s="27"/>
      <c r="AJ20" s="362">
        <f>+SECOS!X23</f>
        <v>0</v>
      </c>
      <c r="AK20" s="27"/>
      <c r="AL20" s="27"/>
      <c r="AM20" s="445"/>
      <c r="AN20" s="442"/>
      <c r="AO20" s="445"/>
      <c r="AP20" s="442"/>
      <c r="AQ20" s="445"/>
      <c r="AR20" s="442"/>
      <c r="AS20" s="445"/>
      <c r="AT20" s="442"/>
      <c r="AU20" s="445"/>
      <c r="AV20" s="442"/>
      <c r="AW20" s="445"/>
      <c r="AX20" s="442"/>
      <c r="AY20" s="445"/>
      <c r="AZ20" s="442"/>
      <c r="BA20" s="445"/>
      <c r="BB20" s="442"/>
      <c r="BC20" s="445"/>
      <c r="BD20" s="442"/>
      <c r="BE20" s="445"/>
      <c r="BF20" s="442"/>
      <c r="BG20" s="445"/>
      <c r="BH20" s="442"/>
      <c r="BI20" s="445"/>
      <c r="BJ20" s="27"/>
      <c r="BK20" s="366">
        <v>0</v>
      </c>
      <c r="BL20" s="27"/>
      <c r="BM20" s="27"/>
      <c r="BN20" s="27"/>
      <c r="BO20" s="382">
        <f t="shared" si="35"/>
        <v>0</v>
      </c>
      <c r="BP20" s="26"/>
      <c r="BQ20" s="26"/>
      <c r="CB20" s="277">
        <v>42795.60015046296</v>
      </c>
      <c r="CC20" s="276" t="s">
        <v>115</v>
      </c>
    </row>
    <row r="21" spans="1:81" ht="15.75" thickBot="1" x14ac:dyDescent="0.3">
      <c r="A21" s="530"/>
      <c r="B21" s="531"/>
      <c r="C21" s="27">
        <v>20</v>
      </c>
      <c r="D21" s="27"/>
      <c r="E21" s="27"/>
      <c r="F21" s="27"/>
      <c r="G21" s="27"/>
      <c r="H21" s="27"/>
      <c r="I21" s="27"/>
      <c r="J21" s="27"/>
      <c r="K21" s="27"/>
      <c r="L21" s="443"/>
      <c r="M21" s="440"/>
      <c r="N21" s="443"/>
      <c r="O21" s="440"/>
      <c r="P21" s="443"/>
      <c r="Q21" s="440"/>
      <c r="R21" s="443"/>
      <c r="S21" s="440"/>
      <c r="T21" s="443"/>
      <c r="U21" s="440"/>
      <c r="V21" s="443"/>
      <c r="W21" s="421"/>
      <c r="X21" s="444"/>
      <c r="Y21" s="441"/>
      <c r="Z21" s="444"/>
      <c r="AA21" s="441"/>
      <c r="AB21" s="444"/>
      <c r="AC21" s="441"/>
      <c r="AD21" s="444"/>
      <c r="AE21" s="441"/>
      <c r="AF21" s="444"/>
      <c r="AG21" s="441"/>
      <c r="AH21" s="444"/>
      <c r="AI21" s="27"/>
      <c r="AJ21" s="362">
        <f>+SECOS!X24</f>
        <v>0</v>
      </c>
      <c r="AK21" s="27"/>
      <c r="AL21" s="27"/>
      <c r="AM21" s="445"/>
      <c r="AN21" s="442"/>
      <c r="AO21" s="445"/>
      <c r="AP21" s="442"/>
      <c r="AQ21" s="445"/>
      <c r="AR21" s="442"/>
      <c r="AS21" s="445"/>
      <c r="AT21" s="442"/>
      <c r="AU21" s="445"/>
      <c r="AV21" s="442"/>
      <c r="AW21" s="445"/>
      <c r="AX21" s="442"/>
      <c r="AY21" s="445"/>
      <c r="AZ21" s="442"/>
      <c r="BA21" s="445"/>
      <c r="BB21" s="442"/>
      <c r="BC21" s="445"/>
      <c r="BD21" s="442"/>
      <c r="BE21" s="445"/>
      <c r="BF21" s="442"/>
      <c r="BG21" s="445"/>
      <c r="BH21" s="442"/>
      <c r="BI21" s="445"/>
      <c r="BJ21" s="27"/>
      <c r="BK21" s="366">
        <v>0</v>
      </c>
      <c r="BL21" s="27"/>
      <c r="BM21" s="27"/>
      <c r="BN21" s="27"/>
      <c r="BO21" s="382">
        <f t="shared" si="35"/>
        <v>0</v>
      </c>
      <c r="CB21" s="277">
        <v>42795.60015046296</v>
      </c>
      <c r="CC21" s="276" t="s">
        <v>115</v>
      </c>
    </row>
    <row r="22" spans="1:81" ht="15.75" thickBot="1" x14ac:dyDescent="0.3">
      <c r="A22" s="530"/>
      <c r="B22" s="531"/>
      <c r="C22" s="27">
        <v>25</v>
      </c>
      <c r="D22" s="27"/>
      <c r="E22" s="27"/>
      <c r="F22" s="27"/>
      <c r="G22" s="27"/>
      <c r="H22" s="27"/>
      <c r="I22" s="27"/>
      <c r="J22" s="27"/>
      <c r="K22" s="27"/>
      <c r="L22" s="443"/>
      <c r="M22" s="440"/>
      <c r="N22" s="443"/>
      <c r="O22" s="440"/>
      <c r="P22" s="443"/>
      <c r="Q22" s="440"/>
      <c r="R22" s="443"/>
      <c r="S22" s="440"/>
      <c r="T22" s="443"/>
      <c r="U22" s="440"/>
      <c r="V22" s="443"/>
      <c r="W22" s="421"/>
      <c r="X22" s="444"/>
      <c r="Y22" s="441"/>
      <c r="Z22" s="444"/>
      <c r="AA22" s="441"/>
      <c r="AB22" s="444"/>
      <c r="AC22" s="441"/>
      <c r="AD22" s="444"/>
      <c r="AE22" s="441"/>
      <c r="AF22" s="444"/>
      <c r="AG22" s="441"/>
      <c r="AH22" s="444"/>
      <c r="AI22" s="27"/>
      <c r="AJ22" s="362">
        <f>+SECOS!X25</f>
        <v>0</v>
      </c>
      <c r="AK22" s="27"/>
      <c r="AL22" s="27"/>
      <c r="AM22" s="445"/>
      <c r="AN22" s="442"/>
      <c r="AO22" s="445"/>
      <c r="AP22" s="442"/>
      <c r="AQ22" s="445"/>
      <c r="AR22" s="442"/>
      <c r="AS22" s="445"/>
      <c r="AT22" s="442"/>
      <c r="AU22" s="445"/>
      <c r="AV22" s="442"/>
      <c r="AW22" s="445"/>
      <c r="AX22" s="442"/>
      <c r="AY22" s="445"/>
      <c r="AZ22" s="442"/>
      <c r="BA22" s="445"/>
      <c r="BB22" s="442"/>
      <c r="BC22" s="445"/>
      <c r="BD22" s="442"/>
      <c r="BE22" s="445"/>
      <c r="BF22" s="442"/>
      <c r="BG22" s="445"/>
      <c r="BH22" s="442"/>
      <c r="BI22" s="445"/>
      <c r="BJ22" s="27"/>
      <c r="BK22" s="366">
        <v>0</v>
      </c>
      <c r="BL22" s="27"/>
      <c r="BM22" s="27"/>
      <c r="BN22" s="27"/>
      <c r="BO22" s="382">
        <f t="shared" si="35"/>
        <v>0</v>
      </c>
      <c r="CB22" s="277">
        <v>42795.60015046296</v>
      </c>
      <c r="CC22" s="276" t="s">
        <v>115</v>
      </c>
    </row>
    <row r="23" spans="1:81" ht="15.75" thickBot="1" x14ac:dyDescent="0.3">
      <c r="A23" s="530"/>
      <c r="B23" s="531"/>
      <c r="C23" s="27">
        <v>30</v>
      </c>
      <c r="D23" s="27"/>
      <c r="E23" s="27"/>
      <c r="F23" s="27"/>
      <c r="G23" s="27"/>
      <c r="H23" s="27"/>
      <c r="I23" s="27"/>
      <c r="J23" s="27"/>
      <c r="K23" s="27"/>
      <c r="L23" s="443"/>
      <c r="M23" s="440"/>
      <c r="N23" s="443"/>
      <c r="O23" s="440"/>
      <c r="P23" s="443"/>
      <c r="Q23" s="440"/>
      <c r="R23" s="443"/>
      <c r="S23" s="440"/>
      <c r="T23" s="443"/>
      <c r="U23" s="440"/>
      <c r="V23" s="443"/>
      <c r="W23" s="421"/>
      <c r="X23" s="444"/>
      <c r="Y23" s="441"/>
      <c r="Z23" s="444"/>
      <c r="AA23" s="441"/>
      <c r="AB23" s="444"/>
      <c r="AC23" s="441"/>
      <c r="AD23" s="444"/>
      <c r="AE23" s="441"/>
      <c r="AF23" s="444"/>
      <c r="AG23" s="441"/>
      <c r="AH23" s="444"/>
      <c r="AI23" s="27"/>
      <c r="AJ23" s="362">
        <f>+SECOS!X28</f>
        <v>0</v>
      </c>
      <c r="AK23" s="27"/>
      <c r="AL23" s="27"/>
      <c r="AM23" s="445"/>
      <c r="AN23" s="442"/>
      <c r="AO23" s="445"/>
      <c r="AP23" s="442"/>
      <c r="AQ23" s="445"/>
      <c r="AR23" s="442"/>
      <c r="AS23" s="445"/>
      <c r="AT23" s="442"/>
      <c r="AU23" s="445"/>
      <c r="AV23" s="442"/>
      <c r="AW23" s="445"/>
      <c r="AX23" s="442"/>
      <c r="AY23" s="445"/>
      <c r="AZ23" s="442"/>
      <c r="BA23" s="445"/>
      <c r="BB23" s="442"/>
      <c r="BC23" s="445"/>
      <c r="BD23" s="442"/>
      <c r="BE23" s="445"/>
      <c r="BF23" s="442"/>
      <c r="BG23" s="445"/>
      <c r="BH23" s="442"/>
      <c r="BI23" s="445"/>
      <c r="BJ23" s="27"/>
      <c r="BK23" s="366">
        <v>0</v>
      </c>
      <c r="BL23" s="27"/>
      <c r="BM23" s="27"/>
      <c r="BN23" s="27"/>
      <c r="BO23" s="382">
        <f t="shared" si="35"/>
        <v>0</v>
      </c>
      <c r="CB23" s="277">
        <v>42795.600162037037</v>
      </c>
      <c r="CC23" s="276" t="s">
        <v>115</v>
      </c>
    </row>
    <row r="24" spans="1:81" ht="15.75" thickBot="1" x14ac:dyDescent="0.3">
      <c r="A24" s="530"/>
      <c r="B24" s="531"/>
      <c r="C24" s="27">
        <v>45</v>
      </c>
      <c r="D24" s="27"/>
      <c r="E24" s="27"/>
      <c r="F24" s="27"/>
      <c r="G24" s="27"/>
      <c r="H24" s="27"/>
      <c r="I24" s="27"/>
      <c r="J24" s="27"/>
      <c r="K24" s="27"/>
      <c r="L24" s="443"/>
      <c r="M24" s="440"/>
      <c r="N24" s="443"/>
      <c r="O24" s="440"/>
      <c r="P24" s="443"/>
      <c r="Q24" s="440"/>
      <c r="R24" s="443"/>
      <c r="S24" s="440"/>
      <c r="T24" s="443"/>
      <c r="U24" s="440"/>
      <c r="V24" s="443"/>
      <c r="W24" s="421"/>
      <c r="X24" s="444"/>
      <c r="Y24" s="441"/>
      <c r="Z24" s="444"/>
      <c r="AA24" s="441"/>
      <c r="AB24" s="444"/>
      <c r="AC24" s="441"/>
      <c r="AD24" s="444"/>
      <c r="AE24" s="441"/>
      <c r="AF24" s="444"/>
      <c r="AG24" s="441"/>
      <c r="AH24" s="444"/>
      <c r="AI24" s="27"/>
      <c r="AJ24" s="362">
        <f>+SECOS!X28</f>
        <v>0</v>
      </c>
      <c r="AK24" s="27"/>
      <c r="AL24" s="27"/>
      <c r="AM24" s="445"/>
      <c r="AN24" s="442"/>
      <c r="AO24" s="445"/>
      <c r="AP24" s="442"/>
      <c r="AQ24" s="445"/>
      <c r="AR24" s="442"/>
      <c r="AS24" s="445"/>
      <c r="AT24" s="442"/>
      <c r="AU24" s="445"/>
      <c r="AV24" s="442"/>
      <c r="AW24" s="445"/>
      <c r="AX24" s="442"/>
      <c r="AY24" s="445"/>
      <c r="AZ24" s="442"/>
      <c r="BA24" s="445"/>
      <c r="BB24" s="442"/>
      <c r="BC24" s="445"/>
      <c r="BD24" s="442"/>
      <c r="BE24" s="445"/>
      <c r="BF24" s="442"/>
      <c r="BG24" s="445"/>
      <c r="BH24" s="442"/>
      <c r="BI24" s="445"/>
      <c r="BJ24" s="27"/>
      <c r="BK24" s="366">
        <v>0</v>
      </c>
      <c r="BL24" s="27"/>
      <c r="BM24" s="27"/>
      <c r="BN24" s="27"/>
      <c r="BO24" s="382">
        <f t="shared" si="35"/>
        <v>0</v>
      </c>
      <c r="CB24" s="277">
        <v>42795.600162037037</v>
      </c>
      <c r="CC24" s="276" t="s">
        <v>115</v>
      </c>
    </row>
    <row r="25" spans="1:81" ht="15.75" thickBot="1" x14ac:dyDescent="0.3">
      <c r="A25" s="530"/>
      <c r="B25" s="531"/>
      <c r="C25" s="27">
        <v>50</v>
      </c>
      <c r="D25" s="27"/>
      <c r="E25" s="27"/>
      <c r="F25" s="27"/>
      <c r="G25" s="27"/>
      <c r="H25" s="27"/>
      <c r="I25" s="27"/>
      <c r="J25" s="27"/>
      <c r="K25" s="27"/>
      <c r="L25" s="443"/>
      <c r="M25" s="440"/>
      <c r="N25" s="443"/>
      <c r="O25" s="440"/>
      <c r="P25" s="443"/>
      <c r="Q25" s="440"/>
      <c r="R25" s="443"/>
      <c r="S25" s="440"/>
      <c r="T25" s="443"/>
      <c r="U25" s="440"/>
      <c r="V25" s="443"/>
      <c r="W25" s="421"/>
      <c r="X25" s="444"/>
      <c r="Y25" s="441"/>
      <c r="Z25" s="444"/>
      <c r="AA25" s="441"/>
      <c r="AB25" s="444"/>
      <c r="AC25" s="441"/>
      <c r="AD25" s="444"/>
      <c r="AE25" s="441"/>
      <c r="AF25" s="444"/>
      <c r="AG25" s="441"/>
      <c r="AH25" s="444"/>
      <c r="AI25" s="27"/>
      <c r="AJ25" s="362">
        <f>+SECOS!X29</f>
        <v>0</v>
      </c>
      <c r="AK25" s="27"/>
      <c r="AL25" s="27"/>
      <c r="AM25" s="445"/>
      <c r="AN25" s="442"/>
      <c r="AO25" s="445"/>
      <c r="AP25" s="442"/>
      <c r="AQ25" s="445"/>
      <c r="AR25" s="442"/>
      <c r="AS25" s="445"/>
      <c r="AT25" s="442"/>
      <c r="AU25" s="445"/>
      <c r="AV25" s="442"/>
      <c r="AW25" s="445"/>
      <c r="AX25" s="442"/>
      <c r="AY25" s="445"/>
      <c r="AZ25" s="442"/>
      <c r="BA25" s="445"/>
      <c r="BB25" s="442"/>
      <c r="BC25" s="445"/>
      <c r="BD25" s="442"/>
      <c r="BE25" s="445"/>
      <c r="BF25" s="442"/>
      <c r="BG25" s="445"/>
      <c r="BH25" s="442"/>
      <c r="BI25" s="445"/>
      <c r="BJ25" s="27"/>
      <c r="BK25" s="366">
        <v>0</v>
      </c>
      <c r="BL25" s="27"/>
      <c r="BM25" s="27"/>
      <c r="BN25" s="27"/>
      <c r="BO25" s="382">
        <f t="shared" si="35"/>
        <v>0</v>
      </c>
      <c r="CB25" s="277">
        <v>42795.600162037037</v>
      </c>
      <c r="CC25" s="276" t="s">
        <v>115</v>
      </c>
    </row>
    <row r="26" spans="1:81" ht="15.75" thickBot="1" x14ac:dyDescent="0.3">
      <c r="A26" s="530"/>
      <c r="B26" s="531"/>
      <c r="C26" s="27">
        <v>60</v>
      </c>
      <c r="D26" s="27"/>
      <c r="E26" s="27"/>
      <c r="F26" s="27"/>
      <c r="G26" s="27"/>
      <c r="H26" s="27"/>
      <c r="I26" s="27"/>
      <c r="J26" s="27"/>
      <c r="K26" s="27"/>
      <c r="L26" s="443"/>
      <c r="M26" s="440"/>
      <c r="N26" s="443"/>
      <c r="O26" s="440"/>
      <c r="P26" s="443"/>
      <c r="Q26" s="440"/>
      <c r="R26" s="443"/>
      <c r="S26" s="440"/>
      <c r="T26" s="443"/>
      <c r="U26" s="440"/>
      <c r="V26" s="443"/>
      <c r="W26" s="421"/>
      <c r="X26" s="444"/>
      <c r="Y26" s="441"/>
      <c r="Z26" s="444"/>
      <c r="AA26" s="441"/>
      <c r="AB26" s="444"/>
      <c r="AC26" s="441"/>
      <c r="AD26" s="444"/>
      <c r="AE26" s="441"/>
      <c r="AF26" s="444"/>
      <c r="AG26" s="441"/>
      <c r="AH26" s="444"/>
      <c r="AI26" s="27"/>
      <c r="AJ26" s="362">
        <f>+SECOS!X30</f>
        <v>0</v>
      </c>
      <c r="AK26" s="27"/>
      <c r="AL26" s="27"/>
      <c r="AM26" s="445"/>
      <c r="AN26" s="442"/>
      <c r="AO26" s="445"/>
      <c r="AP26" s="442"/>
      <c r="AQ26" s="445"/>
      <c r="AR26" s="442"/>
      <c r="AS26" s="445"/>
      <c r="AT26" s="442"/>
      <c r="AU26" s="445"/>
      <c r="AV26" s="442"/>
      <c r="AW26" s="445"/>
      <c r="AX26" s="442"/>
      <c r="AY26" s="445"/>
      <c r="AZ26" s="442"/>
      <c r="BA26" s="445"/>
      <c r="BB26" s="442"/>
      <c r="BC26" s="445"/>
      <c r="BD26" s="442"/>
      <c r="BE26" s="445"/>
      <c r="BF26" s="442"/>
      <c r="BG26" s="445"/>
      <c r="BH26" s="442"/>
      <c r="BI26" s="445"/>
      <c r="BJ26" s="27"/>
      <c r="BK26" s="366">
        <v>0</v>
      </c>
      <c r="BL26" s="27"/>
      <c r="BM26" s="27"/>
      <c r="BN26" s="27"/>
      <c r="BO26" s="382">
        <f t="shared" si="35"/>
        <v>0</v>
      </c>
      <c r="CB26" s="277">
        <v>42795.600162037037</v>
      </c>
      <c r="CC26" s="276" t="s">
        <v>115</v>
      </c>
    </row>
    <row r="27" spans="1:81" ht="15.75" thickBot="1" x14ac:dyDescent="0.3">
      <c r="A27" s="530"/>
      <c r="B27" s="531"/>
      <c r="C27" s="27">
        <v>75</v>
      </c>
      <c r="D27" s="27"/>
      <c r="E27" s="27"/>
      <c r="F27" s="27"/>
      <c r="G27" s="27"/>
      <c r="H27" s="27"/>
      <c r="I27" s="27"/>
      <c r="J27" s="27"/>
      <c r="K27" s="27"/>
      <c r="L27" s="443">
        <v>1.5</v>
      </c>
      <c r="M27" s="440"/>
      <c r="N27" s="443"/>
      <c r="O27" s="440"/>
      <c r="P27" s="443"/>
      <c r="Q27" s="440"/>
      <c r="R27" s="443"/>
      <c r="S27" s="440"/>
      <c r="T27" s="443"/>
      <c r="U27" s="440"/>
      <c r="V27" s="443"/>
      <c r="W27" s="421"/>
      <c r="X27" s="444"/>
      <c r="Y27" s="441"/>
      <c r="Z27" s="444"/>
      <c r="AA27" s="441"/>
      <c r="AB27" s="444"/>
      <c r="AC27" s="441"/>
      <c r="AD27" s="444"/>
      <c r="AE27" s="441"/>
      <c r="AF27" s="444"/>
      <c r="AG27" s="441"/>
      <c r="AH27" s="444"/>
      <c r="AI27" s="27"/>
      <c r="AJ27" s="362">
        <f>+SECOS!X31</f>
        <v>0</v>
      </c>
      <c r="AK27" s="27"/>
      <c r="AL27" s="27"/>
      <c r="AM27" s="445"/>
      <c r="AN27" s="442"/>
      <c r="AO27" s="445"/>
      <c r="AP27" s="442"/>
      <c r="AQ27" s="445"/>
      <c r="AR27" s="442"/>
      <c r="AS27" s="445"/>
      <c r="AT27" s="442"/>
      <c r="AU27" s="445"/>
      <c r="AV27" s="442"/>
      <c r="AW27" s="445"/>
      <c r="AX27" s="442"/>
      <c r="AY27" s="445"/>
      <c r="AZ27" s="442"/>
      <c r="BA27" s="445"/>
      <c r="BB27" s="442"/>
      <c r="BC27" s="445"/>
      <c r="BD27" s="442"/>
      <c r="BE27" s="445"/>
      <c r="BF27" s="442"/>
      <c r="BG27" s="445"/>
      <c r="BH27" s="442"/>
      <c r="BI27" s="445"/>
      <c r="BJ27" s="27"/>
      <c r="BK27" s="366">
        <v>0</v>
      </c>
      <c r="BL27" s="27"/>
      <c r="BM27" s="27"/>
      <c r="BN27" s="27"/>
      <c r="BO27" s="382">
        <f t="shared" si="35"/>
        <v>1.5</v>
      </c>
      <c r="CB27" s="277">
        <v>42795.600162037037</v>
      </c>
      <c r="CC27" s="276" t="s">
        <v>115</v>
      </c>
    </row>
    <row r="28" spans="1:81" ht="15.75" thickBot="1" x14ac:dyDescent="0.3">
      <c r="A28" s="530"/>
      <c r="B28" s="531"/>
      <c r="C28" s="27">
        <v>112.5</v>
      </c>
      <c r="D28" s="27"/>
      <c r="E28" s="27"/>
      <c r="F28" s="27"/>
      <c r="G28" s="27"/>
      <c r="H28" s="27"/>
      <c r="I28" s="27"/>
      <c r="J28" s="27"/>
      <c r="K28" s="27"/>
      <c r="L28" s="443"/>
      <c r="M28" s="440"/>
      <c r="N28" s="443"/>
      <c r="O28" s="440"/>
      <c r="P28" s="443"/>
      <c r="Q28" s="440"/>
      <c r="R28" s="443"/>
      <c r="S28" s="440"/>
      <c r="T28" s="443"/>
      <c r="U28" s="440"/>
      <c r="V28" s="443"/>
      <c r="W28" s="421"/>
      <c r="X28" s="444"/>
      <c r="Y28" s="441"/>
      <c r="Z28" s="444"/>
      <c r="AA28" s="441"/>
      <c r="AB28" s="444"/>
      <c r="AC28" s="441"/>
      <c r="AD28" s="444"/>
      <c r="AE28" s="441"/>
      <c r="AF28" s="444"/>
      <c r="AG28" s="441"/>
      <c r="AH28" s="444"/>
      <c r="AI28" s="27"/>
      <c r="AJ28" s="362">
        <f>+SECOS!X32</f>
        <v>0</v>
      </c>
      <c r="AK28" s="27"/>
      <c r="AL28" s="27"/>
      <c r="AM28" s="445"/>
      <c r="AN28" s="442"/>
      <c r="AO28" s="445"/>
      <c r="AP28" s="442"/>
      <c r="AQ28" s="445"/>
      <c r="AR28" s="442"/>
      <c r="AS28" s="445"/>
      <c r="AT28" s="442"/>
      <c r="AU28" s="445"/>
      <c r="AV28" s="442"/>
      <c r="AW28" s="445"/>
      <c r="AX28" s="442"/>
      <c r="AY28" s="445"/>
      <c r="AZ28" s="442"/>
      <c r="BA28" s="445"/>
      <c r="BB28" s="442"/>
      <c r="BC28" s="445"/>
      <c r="BD28" s="442"/>
      <c r="BE28" s="445"/>
      <c r="BF28" s="442"/>
      <c r="BG28" s="445"/>
      <c r="BH28" s="442"/>
      <c r="BI28" s="445"/>
      <c r="BJ28" s="27"/>
      <c r="BK28" s="366">
        <v>0</v>
      </c>
      <c r="BL28" s="27"/>
      <c r="BM28" s="27"/>
      <c r="BN28" s="27"/>
      <c r="BO28" s="382">
        <f t="shared" si="35"/>
        <v>0</v>
      </c>
      <c r="CB28" s="277">
        <v>42795.600173611114</v>
      </c>
      <c r="CC28" s="276" t="s">
        <v>115</v>
      </c>
    </row>
    <row r="29" spans="1:81" ht="15.75" thickBot="1" x14ac:dyDescent="0.3">
      <c r="A29" s="530"/>
      <c r="B29" s="531"/>
      <c r="C29" s="27">
        <v>150</v>
      </c>
      <c r="D29" s="27"/>
      <c r="E29" s="27"/>
      <c r="F29" s="27"/>
      <c r="G29" s="27"/>
      <c r="H29" s="27"/>
      <c r="I29" s="27"/>
      <c r="J29" s="27"/>
      <c r="K29" s="27"/>
      <c r="L29" s="443"/>
      <c r="M29" s="440"/>
      <c r="N29" s="443"/>
      <c r="O29" s="440"/>
      <c r="P29" s="443"/>
      <c r="Q29" s="440"/>
      <c r="R29" s="443"/>
      <c r="S29" s="440"/>
      <c r="T29" s="443"/>
      <c r="U29" s="440"/>
      <c r="V29" s="443"/>
      <c r="W29" s="421"/>
      <c r="X29" s="444"/>
      <c r="Y29" s="441"/>
      <c r="Z29" s="444"/>
      <c r="AA29" s="441"/>
      <c r="AB29" s="444"/>
      <c r="AC29" s="441"/>
      <c r="AD29" s="444"/>
      <c r="AE29" s="441"/>
      <c r="AF29" s="444"/>
      <c r="AG29" s="441"/>
      <c r="AH29" s="444"/>
      <c r="AI29" s="27"/>
      <c r="AJ29" s="362">
        <f>+SECOS!X33</f>
        <v>0</v>
      </c>
      <c r="AK29" s="27"/>
      <c r="AL29" s="27"/>
      <c r="AM29" s="445"/>
      <c r="AN29" s="442"/>
      <c r="AO29" s="445"/>
      <c r="AP29" s="442"/>
      <c r="AQ29" s="445"/>
      <c r="AR29" s="442"/>
      <c r="AS29" s="445"/>
      <c r="AT29" s="442"/>
      <c r="AU29" s="445"/>
      <c r="AV29" s="442"/>
      <c r="AW29" s="445"/>
      <c r="AX29" s="442"/>
      <c r="AY29" s="445"/>
      <c r="AZ29" s="442"/>
      <c r="BA29" s="445"/>
      <c r="BB29" s="442"/>
      <c r="BC29" s="445"/>
      <c r="BD29" s="442"/>
      <c r="BE29" s="445"/>
      <c r="BF29" s="442"/>
      <c r="BG29" s="445"/>
      <c r="BH29" s="442"/>
      <c r="BI29" s="445"/>
      <c r="BJ29" s="27"/>
      <c r="BK29" s="366">
        <v>0</v>
      </c>
      <c r="BL29" s="27"/>
      <c r="BM29" s="27"/>
      <c r="BN29" s="27"/>
      <c r="BO29" s="382">
        <f t="shared" si="35"/>
        <v>0</v>
      </c>
      <c r="CB29" s="277">
        <v>42795.600173611114</v>
      </c>
      <c r="CC29" s="276" t="s">
        <v>115</v>
      </c>
    </row>
    <row r="30" spans="1:81" ht="15.75" thickBot="1" x14ac:dyDescent="0.3">
      <c r="A30" s="530"/>
      <c r="B30" s="531"/>
      <c r="C30" s="27">
        <v>225</v>
      </c>
      <c r="D30" s="27"/>
      <c r="E30" s="27"/>
      <c r="F30" s="27"/>
      <c r="G30" s="27"/>
      <c r="H30" s="27"/>
      <c r="I30" s="27"/>
      <c r="J30" s="27"/>
      <c r="K30" s="27"/>
      <c r="L30" s="443"/>
      <c r="M30" s="440"/>
      <c r="N30" s="443"/>
      <c r="O30" s="440"/>
      <c r="P30" s="443"/>
      <c r="Q30" s="440"/>
      <c r="R30" s="443"/>
      <c r="S30" s="440"/>
      <c r="T30" s="443"/>
      <c r="U30" s="440"/>
      <c r="V30" s="443"/>
      <c r="W30" s="421"/>
      <c r="X30" s="444"/>
      <c r="Y30" s="441"/>
      <c r="Z30" s="444"/>
      <c r="AA30" s="441"/>
      <c r="AB30" s="444"/>
      <c r="AC30" s="441"/>
      <c r="AD30" s="444"/>
      <c r="AE30" s="441"/>
      <c r="AF30" s="444"/>
      <c r="AG30" s="441"/>
      <c r="AH30" s="444"/>
      <c r="AI30" s="27"/>
      <c r="AJ30" s="362">
        <f>+SECOS!X34</f>
        <v>0</v>
      </c>
      <c r="AK30" s="27"/>
      <c r="AL30" s="27"/>
      <c r="AM30" s="445"/>
      <c r="AN30" s="442"/>
      <c r="AO30" s="445"/>
      <c r="AP30" s="442"/>
      <c r="AQ30" s="445"/>
      <c r="AR30" s="442"/>
      <c r="AS30" s="445"/>
      <c r="AT30" s="442"/>
      <c r="AU30" s="445"/>
      <c r="AV30" s="442"/>
      <c r="AW30" s="445"/>
      <c r="AX30" s="442"/>
      <c r="AY30" s="445"/>
      <c r="AZ30" s="442"/>
      <c r="BA30" s="445"/>
      <c r="BB30" s="442"/>
      <c r="BC30" s="445"/>
      <c r="BD30" s="442"/>
      <c r="BE30" s="445"/>
      <c r="BF30" s="442"/>
      <c r="BG30" s="445"/>
      <c r="BH30" s="442"/>
      <c r="BI30" s="445"/>
      <c r="BJ30" s="27"/>
      <c r="BK30" s="366">
        <v>0</v>
      </c>
      <c r="BL30" s="27"/>
      <c r="BM30" s="27"/>
      <c r="BN30" s="27"/>
      <c r="BO30" s="382">
        <f t="shared" si="35"/>
        <v>0</v>
      </c>
      <c r="CB30" s="277">
        <v>42795.600173611114</v>
      </c>
      <c r="CC30" s="276" t="s">
        <v>115</v>
      </c>
    </row>
    <row r="31" spans="1:81" ht="15.75" thickBot="1" x14ac:dyDescent="0.3">
      <c r="A31" s="530"/>
      <c r="B31" s="531"/>
      <c r="C31" s="27">
        <v>300</v>
      </c>
      <c r="D31" s="27"/>
      <c r="E31" s="27"/>
      <c r="F31" s="27"/>
      <c r="G31" s="27"/>
      <c r="H31" s="27"/>
      <c r="I31" s="27"/>
      <c r="J31" s="27"/>
      <c r="K31" s="27"/>
      <c r="L31" s="443"/>
      <c r="M31" s="440"/>
      <c r="N31" s="443"/>
      <c r="O31" s="440"/>
      <c r="P31" s="443"/>
      <c r="Q31" s="440"/>
      <c r="R31" s="443"/>
      <c r="S31" s="440"/>
      <c r="T31" s="443"/>
      <c r="U31" s="440"/>
      <c r="V31" s="443"/>
      <c r="W31" s="421"/>
      <c r="X31" s="444"/>
      <c r="Y31" s="441"/>
      <c r="Z31" s="444"/>
      <c r="AA31" s="441"/>
      <c r="AB31" s="444"/>
      <c r="AC31" s="441"/>
      <c r="AD31" s="444"/>
      <c r="AE31" s="441"/>
      <c r="AF31" s="444"/>
      <c r="AG31" s="441"/>
      <c r="AH31" s="444"/>
      <c r="AI31" s="27"/>
      <c r="AJ31" s="362">
        <f>+SECOS!X35</f>
        <v>0</v>
      </c>
      <c r="AK31" s="27"/>
      <c r="AL31" s="27"/>
      <c r="AM31" s="445"/>
      <c r="AN31" s="442"/>
      <c r="AO31" s="445"/>
      <c r="AP31" s="442"/>
      <c r="AQ31" s="445"/>
      <c r="AR31" s="442"/>
      <c r="AS31" s="445"/>
      <c r="AT31" s="442"/>
      <c r="AU31" s="445"/>
      <c r="AV31" s="442"/>
      <c r="AW31" s="445"/>
      <c r="AX31" s="442"/>
      <c r="AY31" s="445"/>
      <c r="AZ31" s="442"/>
      <c r="BA31" s="445"/>
      <c r="BB31" s="442"/>
      <c r="BC31" s="445"/>
      <c r="BD31" s="442"/>
      <c r="BE31" s="445"/>
      <c r="BF31" s="442"/>
      <c r="BG31" s="445"/>
      <c r="BH31" s="442"/>
      <c r="BI31" s="445"/>
      <c r="BJ31" s="27"/>
      <c r="BK31" s="366">
        <v>0</v>
      </c>
      <c r="BL31" s="27"/>
      <c r="BM31" s="27"/>
      <c r="BN31" s="27"/>
      <c r="BO31" s="382">
        <f t="shared" si="35"/>
        <v>0</v>
      </c>
      <c r="BP31" s="26"/>
      <c r="CB31" s="277">
        <v>42795.600173611114</v>
      </c>
      <c r="CC31" s="276" t="s">
        <v>115</v>
      </c>
    </row>
    <row r="32" spans="1:81" ht="15.75" thickBot="1" x14ac:dyDescent="0.3">
      <c r="A32" s="530"/>
      <c r="B32" s="531"/>
      <c r="C32" s="27">
        <v>400</v>
      </c>
      <c r="D32" s="27"/>
      <c r="E32" s="27"/>
      <c r="F32" s="27"/>
      <c r="G32" s="27"/>
      <c r="H32" s="27"/>
      <c r="I32" s="27"/>
      <c r="J32" s="27"/>
      <c r="K32" s="27"/>
      <c r="L32" s="443"/>
      <c r="M32" s="440"/>
      <c r="N32" s="443"/>
      <c r="O32" s="440"/>
      <c r="P32" s="443"/>
      <c r="Q32" s="440"/>
      <c r="R32" s="443"/>
      <c r="S32" s="440"/>
      <c r="T32" s="443"/>
      <c r="U32" s="440"/>
      <c r="V32" s="443"/>
      <c r="W32" s="421"/>
      <c r="X32" s="444"/>
      <c r="Y32" s="441"/>
      <c r="Z32" s="444"/>
      <c r="AA32" s="441"/>
      <c r="AB32" s="444"/>
      <c r="AC32" s="441"/>
      <c r="AD32" s="444"/>
      <c r="AE32" s="441"/>
      <c r="AF32" s="444"/>
      <c r="AG32" s="441"/>
      <c r="AH32" s="444"/>
      <c r="AI32" s="27"/>
      <c r="AJ32" s="362">
        <f>+SECOS!X36</f>
        <v>0</v>
      </c>
      <c r="AK32" s="27"/>
      <c r="AL32" s="27"/>
      <c r="AM32" s="445"/>
      <c r="AN32" s="442"/>
      <c r="AO32" s="445"/>
      <c r="AP32" s="442"/>
      <c r="AQ32" s="445"/>
      <c r="AR32" s="442"/>
      <c r="AS32" s="445"/>
      <c r="AT32" s="442"/>
      <c r="AU32" s="445"/>
      <c r="AV32" s="442"/>
      <c r="AW32" s="445"/>
      <c r="AX32" s="442"/>
      <c r="AY32" s="445"/>
      <c r="AZ32" s="442"/>
      <c r="BA32" s="445"/>
      <c r="BB32" s="442"/>
      <c r="BC32" s="445"/>
      <c r="BD32" s="442"/>
      <c r="BE32" s="445"/>
      <c r="BF32" s="442"/>
      <c r="BG32" s="445"/>
      <c r="BH32" s="442"/>
      <c r="BI32" s="445"/>
      <c r="BJ32" s="27"/>
      <c r="BK32" s="366">
        <v>0</v>
      </c>
      <c r="BL32" s="27"/>
      <c r="BM32" s="27"/>
      <c r="BN32" s="27"/>
      <c r="BO32" s="382">
        <f t="shared" si="35"/>
        <v>0</v>
      </c>
      <c r="CB32" s="277">
        <v>42795.600173611114</v>
      </c>
      <c r="CC32" s="276" t="s">
        <v>115</v>
      </c>
    </row>
    <row r="33" spans="1:81" ht="15.75" thickBot="1" x14ac:dyDescent="0.3">
      <c r="A33" s="530"/>
      <c r="B33" s="531"/>
      <c r="C33" s="27">
        <v>500</v>
      </c>
      <c r="D33" s="27"/>
      <c r="E33" s="27"/>
      <c r="F33" s="27"/>
      <c r="G33" s="27"/>
      <c r="H33" s="27"/>
      <c r="I33" s="27"/>
      <c r="J33" s="27"/>
      <c r="K33" s="27"/>
      <c r="L33" s="443"/>
      <c r="M33" s="440"/>
      <c r="N33" s="443"/>
      <c r="O33" s="440"/>
      <c r="P33" s="443"/>
      <c r="Q33" s="440"/>
      <c r="R33" s="443"/>
      <c r="S33" s="440"/>
      <c r="T33" s="443"/>
      <c r="U33" s="440"/>
      <c r="V33" s="443"/>
      <c r="W33" s="421"/>
      <c r="X33" s="444"/>
      <c r="Y33" s="441"/>
      <c r="Z33" s="444"/>
      <c r="AA33" s="441"/>
      <c r="AB33" s="444"/>
      <c r="AC33" s="441"/>
      <c r="AD33" s="444"/>
      <c r="AE33" s="441"/>
      <c r="AF33" s="444"/>
      <c r="AG33" s="441"/>
      <c r="AH33" s="444"/>
      <c r="AI33" s="27"/>
      <c r="AJ33" s="362">
        <f>+SECOS!X37</f>
        <v>0</v>
      </c>
      <c r="AK33" s="27"/>
      <c r="AL33" s="27"/>
      <c r="AM33" s="445"/>
      <c r="AN33" s="442"/>
      <c r="AO33" s="445"/>
      <c r="AP33" s="442"/>
      <c r="AQ33" s="445"/>
      <c r="AR33" s="442"/>
      <c r="AS33" s="445"/>
      <c r="AT33" s="442"/>
      <c r="AU33" s="445"/>
      <c r="AV33" s="442"/>
      <c r="AW33" s="445"/>
      <c r="AX33" s="442"/>
      <c r="AY33" s="445"/>
      <c r="AZ33" s="442"/>
      <c r="BA33" s="445"/>
      <c r="BB33" s="442"/>
      <c r="BC33" s="445"/>
      <c r="BD33" s="442"/>
      <c r="BE33" s="445"/>
      <c r="BF33" s="442"/>
      <c r="BG33" s="445"/>
      <c r="BH33" s="442"/>
      <c r="BI33" s="445"/>
      <c r="BJ33" s="27"/>
      <c r="BK33" s="366">
        <v>0</v>
      </c>
      <c r="BL33" s="27"/>
      <c r="BM33" s="27"/>
      <c r="BN33" s="27"/>
      <c r="BO33" s="382">
        <f t="shared" si="35"/>
        <v>0</v>
      </c>
      <c r="CB33" s="277">
        <v>42795.600185185183</v>
      </c>
      <c r="CC33" s="276" t="s">
        <v>115</v>
      </c>
    </row>
    <row r="34" spans="1:81" x14ac:dyDescent="0.25">
      <c r="A34" s="530"/>
      <c r="B34" s="531"/>
      <c r="C34" s="27">
        <v>630</v>
      </c>
      <c r="D34" s="27"/>
      <c r="E34" s="27"/>
      <c r="F34" s="27"/>
      <c r="G34" s="27"/>
      <c r="H34" s="27"/>
      <c r="I34" s="27"/>
      <c r="J34" s="27"/>
      <c r="K34" s="27"/>
      <c r="L34" s="443"/>
      <c r="M34" s="440"/>
      <c r="N34" s="443"/>
      <c r="O34" s="440"/>
      <c r="P34" s="443"/>
      <c r="Q34" s="440"/>
      <c r="R34" s="443"/>
      <c r="S34" s="440"/>
      <c r="T34" s="443"/>
      <c r="U34" s="440"/>
      <c r="V34" s="443"/>
      <c r="W34" s="421"/>
      <c r="X34" s="444"/>
      <c r="Y34" s="441"/>
      <c r="Z34" s="444"/>
      <c r="AA34" s="441"/>
      <c r="AB34" s="444"/>
      <c r="AC34" s="441"/>
      <c r="AD34" s="444"/>
      <c r="AE34" s="441"/>
      <c r="AF34" s="444"/>
      <c r="AG34" s="441"/>
      <c r="AH34" s="444"/>
      <c r="AI34" s="27"/>
      <c r="AJ34" s="362">
        <f>+SECOS!X38</f>
        <v>0</v>
      </c>
      <c r="AK34" s="27"/>
      <c r="AL34" s="27"/>
      <c r="AM34" s="445"/>
      <c r="AN34" s="442"/>
      <c r="AO34" s="445"/>
      <c r="AP34" s="442"/>
      <c r="AQ34" s="445"/>
      <c r="AR34" s="442"/>
      <c r="AS34" s="445"/>
      <c r="AT34" s="442"/>
      <c r="AU34" s="445"/>
      <c r="AV34" s="442"/>
      <c r="AW34" s="445"/>
      <c r="AX34" s="442"/>
      <c r="AY34" s="445"/>
      <c r="AZ34" s="442"/>
      <c r="BA34" s="445"/>
      <c r="BB34" s="442"/>
      <c r="BC34" s="445"/>
      <c r="BD34" s="442"/>
      <c r="BE34" s="445"/>
      <c r="BF34" s="442"/>
      <c r="BG34" s="445"/>
      <c r="BH34" s="442"/>
      <c r="BI34" s="445"/>
      <c r="BJ34" s="27"/>
      <c r="BK34" s="366">
        <v>0</v>
      </c>
      <c r="BL34" s="27"/>
      <c r="BM34" s="27"/>
      <c r="BN34" s="27"/>
      <c r="BO34" s="382">
        <f t="shared" si="35"/>
        <v>0</v>
      </c>
      <c r="CB34" s="277">
        <v>42795.600185185183</v>
      </c>
      <c r="CC34" s="276" t="s">
        <v>115</v>
      </c>
    </row>
  </sheetData>
  <sheetProtection password="E047" sheet="1" objects="1" scenarios="1" selectLockedCells="1"/>
  <mergeCells count="71">
    <mergeCell ref="BN1:BN4"/>
    <mergeCell ref="BE2:BF2"/>
    <mergeCell ref="AW2:AX2"/>
    <mergeCell ref="BP1:BP4"/>
    <mergeCell ref="K1:K4"/>
    <mergeCell ref="BG2:BH2"/>
    <mergeCell ref="BC2:BD2"/>
    <mergeCell ref="BO1:BO4"/>
    <mergeCell ref="N2:O2"/>
    <mergeCell ref="P2:Q2"/>
    <mergeCell ref="AF2:AG2"/>
    <mergeCell ref="BI2:BJ2"/>
    <mergeCell ref="BK2:BL2"/>
    <mergeCell ref="BM2:BM4"/>
    <mergeCell ref="AS3:AS4"/>
    <mergeCell ref="AU3:AU4"/>
    <mergeCell ref="A5:A19"/>
    <mergeCell ref="B5:B19"/>
    <mergeCell ref="C1:C4"/>
    <mergeCell ref="D1:J1"/>
    <mergeCell ref="AH2:AI2"/>
    <mergeCell ref="L3:L4"/>
    <mergeCell ref="N3:N4"/>
    <mergeCell ref="P3:P4"/>
    <mergeCell ref="R3:R4"/>
    <mergeCell ref="Z3:Z4"/>
    <mergeCell ref="AD3:AD4"/>
    <mergeCell ref="AF3:AF4"/>
    <mergeCell ref="D2:E2"/>
    <mergeCell ref="F2:G2"/>
    <mergeCell ref="H2:I2"/>
    <mergeCell ref="J2:J4"/>
    <mergeCell ref="AO2:AP2"/>
    <mergeCell ref="AL2:AL4"/>
    <mergeCell ref="BK3:BK4"/>
    <mergeCell ref="BC3:BC4"/>
    <mergeCell ref="BE3:BE4"/>
    <mergeCell ref="BG3:BG4"/>
    <mergeCell ref="BI3:BI4"/>
    <mergeCell ref="X2:Y2"/>
    <mergeCell ref="Z2:AA2"/>
    <mergeCell ref="BA2:BB2"/>
    <mergeCell ref="AH3:AH4"/>
    <mergeCell ref="D3:D4"/>
    <mergeCell ref="F3:F4"/>
    <mergeCell ref="H3:H4"/>
    <mergeCell ref="T3:T4"/>
    <mergeCell ref="V3:V4"/>
    <mergeCell ref="AW3:AW4"/>
    <mergeCell ref="AY3:AY4"/>
    <mergeCell ref="BA3:BA4"/>
    <mergeCell ref="AJ3:AJ4"/>
    <mergeCell ref="AM3:AM4"/>
    <mergeCell ref="AQ3:AQ4"/>
    <mergeCell ref="AM2:AN2"/>
    <mergeCell ref="AB2:AC2"/>
    <mergeCell ref="AB3:AB4"/>
    <mergeCell ref="AS2:AT2"/>
    <mergeCell ref="AY2:AZ2"/>
    <mergeCell ref="A20:A34"/>
    <mergeCell ref="B20:B34"/>
    <mergeCell ref="A1:A4"/>
    <mergeCell ref="B1:B4"/>
    <mergeCell ref="AO3:AO4"/>
    <mergeCell ref="X3:X4"/>
    <mergeCell ref="L2:M2"/>
    <mergeCell ref="AJ2:AK2"/>
    <mergeCell ref="AD2:AE2"/>
    <mergeCell ref="R2:S2"/>
    <mergeCell ref="T2:U2"/>
    <mergeCell ref="V2:W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BM104"/>
  <sheetViews>
    <sheetView zoomScale="70" zoomScaleNormal="70" workbookViewId="0">
      <pane xSplit="3" ySplit="5" topLeftCell="L6" activePane="bottomRight" state="frozen"/>
      <selection pane="topRight" activeCell="D1" sqref="D1"/>
      <selection pane="bottomLeft" activeCell="A6" sqref="A6"/>
      <selection pane="bottomRight" activeCell="BC20" sqref="BC20"/>
    </sheetView>
  </sheetViews>
  <sheetFormatPr baseColWidth="10" defaultRowHeight="18.75" x14ac:dyDescent="0.3"/>
  <cols>
    <col min="1" max="1" width="11.5703125" bestFit="1" customWidth="1"/>
    <col min="2" max="2" width="18.5703125" customWidth="1"/>
    <col min="3" max="3" width="20.28515625" customWidth="1"/>
    <col min="4" max="4" width="16.7109375" style="73" hidden="1" customWidth="1"/>
    <col min="5" max="5" width="11.28515625" style="79" hidden="1" customWidth="1"/>
    <col min="6" max="6" width="7.140625" style="71" hidden="1" customWidth="1"/>
    <col min="7" max="7" width="21.140625" style="79" hidden="1" customWidth="1"/>
    <col min="8" max="8" width="10.5703125" style="71" hidden="1" customWidth="1"/>
    <col min="9" max="9" width="28.42578125" style="79" hidden="1" customWidth="1"/>
    <col min="10" max="10" width="19" style="81" hidden="1" customWidth="1"/>
    <col min="11" max="11" width="27.85546875" style="81" hidden="1" customWidth="1"/>
    <col min="12" max="12" width="19.5703125" style="81" bestFit="1" customWidth="1"/>
    <col min="13" max="13" width="16.7109375" style="81" hidden="1" customWidth="1"/>
    <col min="14" max="14" width="10.5703125" style="1" customWidth="1"/>
    <col min="15" max="15" width="16.7109375" style="80" hidden="1" customWidth="1"/>
    <col min="16" max="16" width="10.5703125" style="1" customWidth="1"/>
    <col min="17" max="17" width="11.28515625" style="80" hidden="1" customWidth="1"/>
    <col min="18" max="18" width="10.5703125" style="80" bestFit="1" customWidth="1"/>
    <col min="19" max="19" width="11.28515625" style="80" hidden="1" customWidth="1"/>
    <col min="20" max="20" width="10.5703125" style="1" bestFit="1" customWidth="1"/>
    <col min="21" max="21" width="11.28515625" style="80" hidden="1" customWidth="1"/>
    <col min="22" max="22" width="10.5703125" style="1" bestFit="1" customWidth="1"/>
    <col min="23" max="23" width="11.28515625" style="80" hidden="1" customWidth="1"/>
    <col min="24" max="24" width="10.5703125" style="80" hidden="1" customWidth="1"/>
    <col min="25" max="25" width="16.7109375" style="80" hidden="1" customWidth="1"/>
    <col min="26" max="26" width="28.28515625" style="26" bestFit="1" customWidth="1"/>
    <col min="27" max="27" width="10.5703125" bestFit="1" customWidth="1"/>
    <col min="28" max="28" width="16.7109375" style="80" hidden="1" customWidth="1"/>
    <col min="29" max="29" width="10.5703125" bestFit="1" customWidth="1"/>
    <col min="30" max="30" width="9.7109375" style="80" hidden="1" customWidth="1"/>
    <col min="31" max="31" width="10.5703125" style="2" bestFit="1" customWidth="1"/>
    <col min="32" max="32" width="10.5703125" style="80" hidden="1" customWidth="1"/>
    <col min="33" max="33" width="10.5703125" style="80" bestFit="1" customWidth="1"/>
    <col min="34" max="34" width="9.5703125" style="80" hidden="1" customWidth="1"/>
    <col min="35" max="35" width="10.5703125" bestFit="1" customWidth="1"/>
    <col min="36" max="36" width="9.5703125" style="80" hidden="1" customWidth="1"/>
    <col min="37" max="37" width="10.5703125" bestFit="1" customWidth="1"/>
    <col min="38" max="38" width="16.7109375" style="80" hidden="1" customWidth="1"/>
    <col min="39" max="39" width="10.5703125" style="2" bestFit="1" customWidth="1"/>
    <col min="40" max="40" width="16.7109375" style="80" hidden="1" customWidth="1"/>
    <col min="41" max="41" width="10.5703125" bestFit="1" customWidth="1"/>
    <col min="42" max="42" width="16.7109375" style="80" hidden="1" customWidth="1"/>
    <col min="43" max="43" width="10.5703125" style="80" bestFit="1" customWidth="1"/>
    <col min="44" max="44" width="16.7109375" hidden="1" customWidth="1"/>
    <col min="45" max="45" width="11" style="2" bestFit="1" customWidth="1"/>
    <col min="46" max="46" width="16.7109375" style="80" hidden="1" customWidth="1"/>
    <col min="47" max="47" width="10.5703125" bestFit="1" customWidth="1"/>
    <col min="48" max="48" width="16.7109375" style="80" hidden="1" customWidth="1"/>
    <col min="49" max="49" width="10.5703125" style="80" hidden="1" customWidth="1"/>
    <col min="50" max="50" width="16.7109375" style="80" hidden="1" customWidth="1"/>
    <col min="51" max="51" width="28.28515625" style="26" hidden="1" customWidth="1"/>
    <col min="52" max="52" width="17" style="89" bestFit="1" customWidth="1"/>
    <col min="53" max="53" width="27.7109375" bestFit="1" customWidth="1"/>
    <col min="54" max="54" width="20" customWidth="1"/>
    <col min="55" max="55" width="9" customWidth="1"/>
    <col min="56" max="56" width="13.140625" bestFit="1" customWidth="1"/>
    <col min="57" max="57" width="9" customWidth="1"/>
    <col min="58" max="58" width="10" bestFit="1" customWidth="1"/>
    <col min="59" max="62" width="11.42578125" customWidth="1"/>
    <col min="63" max="63" width="51.28515625" style="276" hidden="1" customWidth="1"/>
    <col min="64" max="64" width="18.5703125" style="276" hidden="1" customWidth="1"/>
    <col min="65" max="65" width="18.5703125" style="276" bestFit="1" customWidth="1"/>
    <col min="66" max="79" width="11.42578125" customWidth="1"/>
    <col min="80" max="80" width="16.42578125" customWidth="1"/>
    <col min="81" max="84" width="11.42578125" customWidth="1"/>
  </cols>
  <sheetData>
    <row r="1" spans="1:65" ht="19.5" thickBot="1" x14ac:dyDescent="0.35">
      <c r="A1" s="26"/>
      <c r="B1" s="26"/>
      <c r="C1" s="26"/>
      <c r="N1" s="26"/>
      <c r="P1" s="26"/>
      <c r="T1" s="26"/>
      <c r="V1" s="26"/>
      <c r="AA1" s="26"/>
      <c r="AC1" s="26"/>
      <c r="AE1" s="26"/>
      <c r="AI1" s="26"/>
      <c r="AK1" s="26"/>
      <c r="AM1" s="26"/>
      <c r="AO1" s="26"/>
      <c r="AR1" s="26"/>
      <c r="AS1" s="26"/>
      <c r="AU1" s="26"/>
      <c r="AZ1" s="226" t="s">
        <v>113</v>
      </c>
      <c r="BA1" s="227">
        <v>6500</v>
      </c>
      <c r="BB1" s="26"/>
      <c r="BK1" s="277"/>
    </row>
    <row r="2" spans="1:65" ht="15" customHeight="1" thickBot="1" x14ac:dyDescent="0.3">
      <c r="A2" s="532" t="s">
        <v>53</v>
      </c>
      <c r="B2" s="534" t="s">
        <v>1</v>
      </c>
      <c r="C2" s="535" t="s">
        <v>5</v>
      </c>
      <c r="D2" s="565" t="s">
        <v>50</v>
      </c>
      <c r="E2" s="566"/>
      <c r="F2" s="566"/>
      <c r="G2" s="566"/>
      <c r="H2" s="566"/>
      <c r="I2" s="566"/>
      <c r="J2" s="567"/>
      <c r="K2" s="581" t="s">
        <v>117</v>
      </c>
      <c r="L2" s="642" t="s">
        <v>51</v>
      </c>
      <c r="M2" s="643"/>
      <c r="N2" s="643"/>
      <c r="O2" s="643"/>
      <c r="P2" s="643"/>
      <c r="Q2" s="643"/>
      <c r="R2" s="643"/>
      <c r="S2" s="643"/>
      <c r="T2" s="643"/>
      <c r="U2" s="643"/>
      <c r="V2" s="643"/>
      <c r="W2" s="643"/>
      <c r="X2" s="643"/>
      <c r="Y2" s="189"/>
      <c r="Z2" s="190"/>
      <c r="AA2" s="605" t="s">
        <v>52</v>
      </c>
      <c r="AB2" s="606"/>
      <c r="AC2" s="606"/>
      <c r="AD2" s="606"/>
      <c r="AE2" s="606"/>
      <c r="AF2" s="606"/>
      <c r="AG2" s="606"/>
      <c r="AH2" s="606"/>
      <c r="AI2" s="606"/>
      <c r="AJ2" s="606"/>
      <c r="AK2" s="606"/>
      <c r="AL2" s="606"/>
      <c r="AM2" s="606"/>
      <c r="AN2" s="606"/>
      <c r="AO2" s="606"/>
      <c r="AP2" s="606"/>
      <c r="AQ2" s="606"/>
      <c r="AR2" s="606"/>
      <c r="AS2" s="606"/>
      <c r="AT2" s="606"/>
      <c r="AU2" s="606"/>
      <c r="AV2" s="606"/>
      <c r="AW2" s="606"/>
      <c r="AX2" s="606"/>
      <c r="AY2" s="607"/>
      <c r="AZ2" s="590" t="s">
        <v>49</v>
      </c>
      <c r="BA2" s="602" t="s">
        <v>78</v>
      </c>
      <c r="BB2" s="560" t="s">
        <v>114</v>
      </c>
      <c r="BK2" s="277"/>
    </row>
    <row r="3" spans="1:65" ht="22.5" customHeight="1" thickTop="1" thickBot="1" x14ac:dyDescent="0.3">
      <c r="A3" s="532"/>
      <c r="B3" s="534"/>
      <c r="C3" s="564"/>
      <c r="D3" s="574" t="s">
        <v>45</v>
      </c>
      <c r="E3" s="575"/>
      <c r="F3" s="575" t="s">
        <v>46</v>
      </c>
      <c r="G3" s="575"/>
      <c r="H3" s="575" t="s">
        <v>47</v>
      </c>
      <c r="I3" s="575"/>
      <c r="J3" s="576" t="s">
        <v>48</v>
      </c>
      <c r="K3" s="582"/>
      <c r="L3" s="613" t="s">
        <v>93</v>
      </c>
      <c r="M3" s="614"/>
      <c r="N3" s="647" t="s">
        <v>14</v>
      </c>
      <c r="O3" s="648"/>
      <c r="P3" s="638" t="s">
        <v>15</v>
      </c>
      <c r="Q3" s="639"/>
      <c r="R3" s="638" t="s">
        <v>110</v>
      </c>
      <c r="S3" s="639"/>
      <c r="T3" s="593" t="s">
        <v>17</v>
      </c>
      <c r="U3" s="594"/>
      <c r="V3" s="615" t="s">
        <v>18</v>
      </c>
      <c r="W3" s="616"/>
      <c r="X3" s="597" t="s">
        <v>58</v>
      </c>
      <c r="Y3" s="598"/>
      <c r="Z3" s="599" t="s">
        <v>48</v>
      </c>
      <c r="AA3" s="595" t="s">
        <v>6</v>
      </c>
      <c r="AB3" s="596"/>
      <c r="AC3" s="595" t="s">
        <v>76</v>
      </c>
      <c r="AD3" s="596"/>
      <c r="AE3" s="595" t="s">
        <v>29</v>
      </c>
      <c r="AF3" s="596"/>
      <c r="AG3" s="595" t="s">
        <v>95</v>
      </c>
      <c r="AH3" s="596"/>
      <c r="AI3" s="595" t="s">
        <v>94</v>
      </c>
      <c r="AJ3" s="596"/>
      <c r="AK3" s="595" t="s">
        <v>28</v>
      </c>
      <c r="AL3" s="596"/>
      <c r="AM3" s="595" t="s">
        <v>109</v>
      </c>
      <c r="AN3" s="596"/>
      <c r="AO3" s="595" t="s">
        <v>9</v>
      </c>
      <c r="AP3" s="596"/>
      <c r="AQ3" s="595" t="s">
        <v>96</v>
      </c>
      <c r="AR3" s="596"/>
      <c r="AS3" s="595" t="s">
        <v>26</v>
      </c>
      <c r="AT3" s="596"/>
      <c r="AU3" s="595" t="s">
        <v>10</v>
      </c>
      <c r="AV3" s="596"/>
      <c r="AW3" s="528" t="s">
        <v>58</v>
      </c>
      <c r="AX3" s="611"/>
      <c r="AY3" s="608" t="s">
        <v>48</v>
      </c>
      <c r="AZ3" s="591"/>
      <c r="BA3" s="603"/>
      <c r="BB3" s="560"/>
    </row>
    <row r="4" spans="1:65" ht="26.25" thickBot="1" x14ac:dyDescent="0.3">
      <c r="A4" s="532"/>
      <c r="B4" s="534"/>
      <c r="C4" s="564"/>
      <c r="D4" s="548" t="s">
        <v>43</v>
      </c>
      <c r="E4" s="82" t="s">
        <v>44</v>
      </c>
      <c r="F4" s="548" t="s">
        <v>43</v>
      </c>
      <c r="G4" s="82" t="s">
        <v>44</v>
      </c>
      <c r="H4" s="548" t="s">
        <v>43</v>
      </c>
      <c r="I4" s="82" t="s">
        <v>44</v>
      </c>
      <c r="J4" s="577"/>
      <c r="K4" s="582"/>
      <c r="L4" s="203" t="s">
        <v>89</v>
      </c>
      <c r="M4" s="204" t="s">
        <v>44</v>
      </c>
      <c r="N4" s="644" t="s">
        <v>43</v>
      </c>
      <c r="O4" s="204" t="s">
        <v>44</v>
      </c>
      <c r="P4" s="640" t="s">
        <v>43</v>
      </c>
      <c r="Q4" s="128" t="s">
        <v>44</v>
      </c>
      <c r="R4" s="640" t="s">
        <v>43</v>
      </c>
      <c r="S4" s="128" t="s">
        <v>44</v>
      </c>
      <c r="T4" s="640" t="s">
        <v>43</v>
      </c>
      <c r="U4" s="128" t="s">
        <v>44</v>
      </c>
      <c r="V4" s="646" t="s">
        <v>43</v>
      </c>
      <c r="W4" s="206" t="s">
        <v>44</v>
      </c>
      <c r="X4" s="649" t="s">
        <v>43</v>
      </c>
      <c r="Y4" s="224" t="s">
        <v>44</v>
      </c>
      <c r="Z4" s="600"/>
      <c r="AA4" s="536" t="s">
        <v>43</v>
      </c>
      <c r="AB4" s="173" t="s">
        <v>44</v>
      </c>
      <c r="AC4" s="536" t="s">
        <v>43</v>
      </c>
      <c r="AD4" s="173" t="s">
        <v>44</v>
      </c>
      <c r="AE4" s="554" t="s">
        <v>43</v>
      </c>
      <c r="AF4" s="173" t="s">
        <v>44</v>
      </c>
      <c r="AG4" s="554" t="s">
        <v>43</v>
      </c>
      <c r="AH4" s="173" t="s">
        <v>44</v>
      </c>
      <c r="AI4" s="536" t="s">
        <v>43</v>
      </c>
      <c r="AJ4" s="173" t="s">
        <v>44</v>
      </c>
      <c r="AK4" s="536" t="s">
        <v>43</v>
      </c>
      <c r="AL4" s="173" t="s">
        <v>44</v>
      </c>
      <c r="AM4" s="536" t="s">
        <v>43</v>
      </c>
      <c r="AN4" s="173" t="s">
        <v>44</v>
      </c>
      <c r="AO4" s="536" t="s">
        <v>43</v>
      </c>
      <c r="AP4" s="173" t="s">
        <v>44</v>
      </c>
      <c r="AQ4" s="536" t="s">
        <v>43</v>
      </c>
      <c r="AR4" s="173" t="s">
        <v>44</v>
      </c>
      <c r="AS4" s="536" t="s">
        <v>43</v>
      </c>
      <c r="AT4" s="173" t="s">
        <v>44</v>
      </c>
      <c r="AU4" s="536" t="s">
        <v>43</v>
      </c>
      <c r="AV4" s="173" t="s">
        <v>44</v>
      </c>
      <c r="AW4" s="558" t="s">
        <v>43</v>
      </c>
      <c r="AX4" s="180" t="s">
        <v>44</v>
      </c>
      <c r="AY4" s="609"/>
      <c r="AZ4" s="591"/>
      <c r="BA4" s="603"/>
      <c r="BB4" s="560"/>
    </row>
    <row r="5" spans="1:65" ht="21" customHeight="1" thickBot="1" x14ac:dyDescent="0.3">
      <c r="A5" s="533"/>
      <c r="B5" s="535"/>
      <c r="C5" s="564"/>
      <c r="D5" s="549"/>
      <c r="E5" s="90"/>
      <c r="F5" s="549"/>
      <c r="G5" s="90"/>
      <c r="H5" s="549"/>
      <c r="I5" s="90"/>
      <c r="J5" s="577"/>
      <c r="K5" s="612"/>
      <c r="L5" s="202"/>
      <c r="M5" s="151">
        <f>'VALOR HH'!B10</f>
        <v>7078</v>
      </c>
      <c r="N5" s="645"/>
      <c r="O5" s="205">
        <f>M5</f>
        <v>7078</v>
      </c>
      <c r="P5" s="641"/>
      <c r="Q5" s="129">
        <f>'VALOR HH'!B11</f>
        <v>5348</v>
      </c>
      <c r="R5" s="641"/>
      <c r="S5" s="129">
        <f>'VALOR HH'!B9</f>
        <v>7226</v>
      </c>
      <c r="T5" s="641"/>
      <c r="U5" s="129">
        <f>'VALOR HH'!B12</f>
        <v>5647</v>
      </c>
      <c r="V5" s="641"/>
      <c r="W5" s="136">
        <f>'VALOR HH'!B6</f>
        <v>6921</v>
      </c>
      <c r="X5" s="650"/>
      <c r="Y5" s="225">
        <v>6194</v>
      </c>
      <c r="Z5" s="601"/>
      <c r="AA5" s="537"/>
      <c r="AB5" s="122">
        <f>'VALOR HH'!B2</f>
        <v>6310</v>
      </c>
      <c r="AC5" s="537"/>
      <c r="AD5" s="122">
        <f>'VALOR HH'!B4</f>
        <v>6300</v>
      </c>
      <c r="AE5" s="555"/>
      <c r="AF5" s="126">
        <f>AD5</f>
        <v>6300</v>
      </c>
      <c r="AG5" s="555"/>
      <c r="AH5" s="126">
        <f>AB5</f>
        <v>6310</v>
      </c>
      <c r="AI5" s="537"/>
      <c r="AJ5" s="122">
        <f>AB5</f>
        <v>6310</v>
      </c>
      <c r="AK5" s="537"/>
      <c r="AL5" s="122">
        <f>'VALOR HH'!B5</f>
        <v>5370</v>
      </c>
      <c r="AM5" s="537"/>
      <c r="AN5" s="122">
        <f>AL5</f>
        <v>5370</v>
      </c>
      <c r="AO5" s="537"/>
      <c r="AP5" s="122">
        <f>'VALOR HH'!B3</f>
        <v>6737</v>
      </c>
      <c r="AQ5" s="537"/>
      <c r="AR5" s="122">
        <f>AD5</f>
        <v>6300</v>
      </c>
      <c r="AS5" s="537"/>
      <c r="AT5" s="122">
        <f>'VALOR HH'!B7</f>
        <v>13213</v>
      </c>
      <c r="AU5" s="537"/>
      <c r="AV5" s="122">
        <f>'VALOR HH'!B8</f>
        <v>5757</v>
      </c>
      <c r="AW5" s="559"/>
      <c r="AX5" s="181">
        <v>6732</v>
      </c>
      <c r="AY5" s="610"/>
      <c r="AZ5" s="592"/>
      <c r="BA5" s="604"/>
      <c r="BB5" s="560"/>
      <c r="BK5" s="277">
        <v>42950.504467592589</v>
      </c>
      <c r="BL5" s="276" t="s">
        <v>167</v>
      </c>
    </row>
    <row r="6" spans="1:65" s="26" customFormat="1" ht="19.5" thickBot="1" x14ac:dyDescent="0.35">
      <c r="A6" s="633" t="s">
        <v>3</v>
      </c>
      <c r="B6" s="617" t="s">
        <v>54</v>
      </c>
      <c r="C6" s="278">
        <v>15</v>
      </c>
      <c r="D6" s="77">
        <v>2</v>
      </c>
      <c r="E6" s="92">
        <f>$E$5</f>
        <v>0</v>
      </c>
      <c r="F6" s="77">
        <v>3</v>
      </c>
      <c r="G6" s="92" t="b">
        <f>G11=$G$5</f>
        <v>1</v>
      </c>
      <c r="H6" s="77">
        <v>2</v>
      </c>
      <c r="I6" s="92">
        <f>$I$5</f>
        <v>0</v>
      </c>
      <c r="J6" s="215">
        <f>D6*E6+F6*G6+H6*I6</f>
        <v>3</v>
      </c>
      <c r="K6" s="315" t="str">
        <f>+C6&amp;$B$6&amp;$A$6</f>
        <v>15CLASE H1.1KV</v>
      </c>
      <c r="L6" s="228">
        <v>0.5</v>
      </c>
      <c r="M6" s="271">
        <f>$M$5*L6</f>
        <v>3539</v>
      </c>
      <c r="N6" s="264">
        <v>0.25</v>
      </c>
      <c r="O6" s="265">
        <f>+$O$5*N6</f>
        <v>1769.5</v>
      </c>
      <c r="P6" s="264">
        <v>0.25</v>
      </c>
      <c r="Q6" s="266">
        <f>+$Q$5*P6</f>
        <v>1337</v>
      </c>
      <c r="R6" s="264">
        <v>4.5</v>
      </c>
      <c r="S6" s="267">
        <f>+$S$5*R6</f>
        <v>32517</v>
      </c>
      <c r="T6" s="264">
        <v>0.25</v>
      </c>
      <c r="U6" s="266">
        <f>+$U$5*T6</f>
        <v>1411.75</v>
      </c>
      <c r="V6" s="264">
        <v>0.25</v>
      </c>
      <c r="W6" s="266">
        <f>+$W$5*V6</f>
        <v>1730.25</v>
      </c>
      <c r="X6" s="243"/>
      <c r="Y6" s="267">
        <f>+$Y$5*X6</f>
        <v>0</v>
      </c>
      <c r="Z6" s="268">
        <f>+M6+O6+Q6+S6+U6+W6+Y6</f>
        <v>42304.5</v>
      </c>
      <c r="AA6" s="269">
        <v>19</v>
      </c>
      <c r="AB6" s="267">
        <f>+$AB$5*AA6</f>
        <v>119890</v>
      </c>
      <c r="AC6" s="270">
        <v>5.25</v>
      </c>
      <c r="AD6" s="267">
        <f>$AD$5*AC6</f>
        <v>33075</v>
      </c>
      <c r="AE6" s="270">
        <v>0</v>
      </c>
      <c r="AF6" s="267">
        <f>$AF$5*AE6</f>
        <v>0</v>
      </c>
      <c r="AG6" s="270">
        <v>0.25</v>
      </c>
      <c r="AH6" s="267">
        <f>$AH$5*AG6</f>
        <v>1577.5</v>
      </c>
      <c r="AI6" s="270">
        <v>1.25</v>
      </c>
      <c r="AJ6" s="267">
        <f>$AJ$5*AI6</f>
        <v>7887.5</v>
      </c>
      <c r="AK6" s="270">
        <v>1.05</v>
      </c>
      <c r="AL6" s="267">
        <f>$AL$5*AK6</f>
        <v>5638.5</v>
      </c>
      <c r="AM6" s="270">
        <v>0</v>
      </c>
      <c r="AN6" s="267">
        <f>$AN$5*AM6</f>
        <v>0</v>
      </c>
      <c r="AO6" s="270">
        <v>9.25</v>
      </c>
      <c r="AP6" s="271">
        <f>$AP$5*AO6</f>
        <v>62317.25</v>
      </c>
      <c r="AQ6" s="241">
        <v>2.5</v>
      </c>
      <c r="AR6" s="266">
        <f xml:space="preserve"> $AR$5*AQ6</f>
        <v>15750</v>
      </c>
      <c r="AS6" s="241">
        <v>3</v>
      </c>
      <c r="AT6" s="267">
        <f>$AT$5*AS6</f>
        <v>39639</v>
      </c>
      <c r="AU6" s="272">
        <v>3.25</v>
      </c>
      <c r="AV6" s="273">
        <f>$AV$5*AU6</f>
        <v>18710.25</v>
      </c>
      <c r="AW6" s="243"/>
      <c r="AX6" s="95">
        <f>+AW6*$AX$5</f>
        <v>0</v>
      </c>
      <c r="AY6" s="93">
        <f>AV6+AB6+AD6+AF6+AH6+AJ6+AL6+AN6+AP6+AR6+AT6+AX6</f>
        <v>304485</v>
      </c>
      <c r="AZ6" s="170">
        <f>Z6+AY6</f>
        <v>346789.5</v>
      </c>
      <c r="BA6" s="168">
        <f>+BB6*$BA$1</f>
        <v>330200</v>
      </c>
      <c r="BB6" s="263">
        <f>+L6+N6+P6+R6+T6+V6+X6+AA6+AC6+AE6+AG6+AI6+AK6+AM6+AO6+AQ6+AS6+AU6+AW6</f>
        <v>50.8</v>
      </c>
      <c r="BK6" s="277">
        <v>42950.505810185183</v>
      </c>
      <c r="BL6" s="277" t="s">
        <v>167</v>
      </c>
      <c r="BM6" s="276"/>
    </row>
    <row r="7" spans="1:65" s="26" customFormat="1" ht="19.5" thickBot="1" x14ac:dyDescent="0.35">
      <c r="A7" s="633"/>
      <c r="B7" s="617"/>
      <c r="C7" s="278">
        <v>20</v>
      </c>
      <c r="D7" s="77">
        <v>2</v>
      </c>
      <c r="E7" s="92">
        <f>$E$5</f>
        <v>0</v>
      </c>
      <c r="F7" s="77">
        <v>3</v>
      </c>
      <c r="G7" s="92" t="b">
        <f>G11=$G$5</f>
        <v>1</v>
      </c>
      <c r="H7" s="77">
        <v>2</v>
      </c>
      <c r="I7" s="92">
        <f>$I$5</f>
        <v>0</v>
      </c>
      <c r="J7" s="215">
        <f>D7*E7+F7*G7+H7*I7</f>
        <v>3</v>
      </c>
      <c r="K7" s="315" t="str">
        <f t="shared" ref="K7:K25" si="0">+C7&amp;$B$6&amp;$A$6</f>
        <v>20CLASE H1.1KV</v>
      </c>
      <c r="L7" s="228">
        <v>0.5</v>
      </c>
      <c r="M7" s="271">
        <f>$M$5*L7</f>
        <v>3539</v>
      </c>
      <c r="N7" s="264">
        <v>0.25</v>
      </c>
      <c r="O7" s="265">
        <f>+$O$5*N7</f>
        <v>1769.5</v>
      </c>
      <c r="P7" s="264">
        <v>0.25</v>
      </c>
      <c r="Q7" s="266">
        <f>+$Q$5*P7</f>
        <v>1337</v>
      </c>
      <c r="R7" s="264">
        <v>4.5</v>
      </c>
      <c r="S7" s="267">
        <f>+$S$5*R7</f>
        <v>32517</v>
      </c>
      <c r="T7" s="264">
        <v>0.25</v>
      </c>
      <c r="U7" s="266">
        <f>+$U$5*T7</f>
        <v>1411.75</v>
      </c>
      <c r="V7" s="264">
        <v>0.25</v>
      </c>
      <c r="W7" s="266">
        <f>+$W$5*V7</f>
        <v>1730.25</v>
      </c>
      <c r="X7" s="243"/>
      <c r="Y7" s="267">
        <f>+$Y$5*X7</f>
        <v>0</v>
      </c>
      <c r="Z7" s="268">
        <f>+M7+O7+Q7+S7+U7+W7+Y7</f>
        <v>42304.5</v>
      </c>
      <c r="AA7" s="269">
        <v>19</v>
      </c>
      <c r="AB7" s="267">
        <f>+$AB$5*AA7</f>
        <v>119890</v>
      </c>
      <c r="AC7" s="270">
        <v>5.25</v>
      </c>
      <c r="AD7" s="267">
        <f>$AD$5*AC7</f>
        <v>33075</v>
      </c>
      <c r="AE7" s="270">
        <v>0</v>
      </c>
      <c r="AF7" s="267">
        <f>$AF$5*AE7</f>
        <v>0</v>
      </c>
      <c r="AG7" s="270">
        <v>0.25</v>
      </c>
      <c r="AH7" s="267">
        <f>$AH$5*AG7</f>
        <v>1577.5</v>
      </c>
      <c r="AI7" s="270">
        <v>1.25</v>
      </c>
      <c r="AJ7" s="267">
        <f>$AJ$5*AI7</f>
        <v>7887.5</v>
      </c>
      <c r="AK7" s="270">
        <v>1.05</v>
      </c>
      <c r="AL7" s="267">
        <f>$AL$5*AK7</f>
        <v>5638.5</v>
      </c>
      <c r="AM7" s="270">
        <v>0</v>
      </c>
      <c r="AN7" s="267">
        <f>$AN$5*AM7</f>
        <v>0</v>
      </c>
      <c r="AO7" s="270">
        <v>9.25</v>
      </c>
      <c r="AP7" s="271">
        <f>$AP$5*AO7</f>
        <v>62317.25</v>
      </c>
      <c r="AQ7" s="241">
        <v>2.5</v>
      </c>
      <c r="AR7" s="266">
        <f xml:space="preserve"> $AR$5*AQ7</f>
        <v>15750</v>
      </c>
      <c r="AS7" s="241">
        <v>3</v>
      </c>
      <c r="AT7" s="267">
        <f>$AT$5*AS7</f>
        <v>39639</v>
      </c>
      <c r="AU7" s="272">
        <v>3.25</v>
      </c>
      <c r="AV7" s="273">
        <f>$AV$5*AU7</f>
        <v>18710.25</v>
      </c>
      <c r="AW7" s="243"/>
      <c r="AX7" s="95">
        <f>+AW7*$AX$5</f>
        <v>0</v>
      </c>
      <c r="AY7" s="93">
        <f>AV7+AB7+AD7+AF7+AH7+AJ7+AL7+AN7+AP7+AR7+AT7+AX7</f>
        <v>304485</v>
      </c>
      <c r="AZ7" s="170">
        <f>Z7+AY7</f>
        <v>346789.5</v>
      </c>
      <c r="BA7" s="168">
        <f>+BB7*$BA$1</f>
        <v>330200</v>
      </c>
      <c r="BB7" s="263">
        <f>+L7+N7+P7+R7+T7+V7+X7+AA7+AC7+AE7+AG7+AI7+AK7+AM7+AO7+AQ7+AS7+AU7+AW7</f>
        <v>50.8</v>
      </c>
      <c r="BK7" s="277">
        <v>42745.364108796297</v>
      </c>
      <c r="BL7" s="277" t="s">
        <v>115</v>
      </c>
      <c r="BM7" s="276"/>
    </row>
    <row r="8" spans="1:65" s="26" customFormat="1" ht="19.5" thickBot="1" x14ac:dyDescent="0.35">
      <c r="A8" s="633"/>
      <c r="B8" s="617"/>
      <c r="C8" s="278">
        <v>25</v>
      </c>
      <c r="D8" s="77">
        <v>2</v>
      </c>
      <c r="E8" s="92">
        <f>$E$5</f>
        <v>0</v>
      </c>
      <c r="F8" s="77">
        <v>3</v>
      </c>
      <c r="G8" s="92" t="b">
        <f>G13=$G$5</f>
        <v>1</v>
      </c>
      <c r="H8" s="77">
        <v>2</v>
      </c>
      <c r="I8" s="92">
        <f>$I$5</f>
        <v>0</v>
      </c>
      <c r="J8" s="215">
        <f>D8*E8+F8*G8+H8*I8</f>
        <v>3</v>
      </c>
      <c r="K8" s="315" t="str">
        <f t="shared" si="0"/>
        <v>25CLASE H1.1KV</v>
      </c>
      <c r="L8" s="228">
        <v>0.5</v>
      </c>
      <c r="M8" s="271">
        <f>$M$5*L8</f>
        <v>3539</v>
      </c>
      <c r="N8" s="264">
        <v>0.25</v>
      </c>
      <c r="O8" s="265">
        <f>+$O$5*N8</f>
        <v>1769.5</v>
      </c>
      <c r="P8" s="264">
        <v>0.25</v>
      </c>
      <c r="Q8" s="266">
        <f>+$Q$5*P8</f>
        <v>1337</v>
      </c>
      <c r="R8" s="264">
        <v>4.5</v>
      </c>
      <c r="S8" s="267">
        <f>+$S$5*R8</f>
        <v>32517</v>
      </c>
      <c r="T8" s="264">
        <v>0.25</v>
      </c>
      <c r="U8" s="266">
        <f>+$U$5*T8</f>
        <v>1411.75</v>
      </c>
      <c r="V8" s="264">
        <v>0.25</v>
      </c>
      <c r="W8" s="266">
        <f>+$W$5*V8</f>
        <v>1730.25</v>
      </c>
      <c r="X8" s="243"/>
      <c r="Y8" s="267">
        <f>+$Y$5*X8</f>
        <v>0</v>
      </c>
      <c r="Z8" s="268">
        <f>+M8+O8+Q8+S8+U8+W8+Y8</f>
        <v>42304.5</v>
      </c>
      <c r="AA8" s="269">
        <v>19</v>
      </c>
      <c r="AB8" s="267">
        <f>+$AB$5*AA8</f>
        <v>119890</v>
      </c>
      <c r="AC8" s="270">
        <v>5.25</v>
      </c>
      <c r="AD8" s="267">
        <f>$AD$5*AC8</f>
        <v>33075</v>
      </c>
      <c r="AE8" s="270">
        <v>0</v>
      </c>
      <c r="AF8" s="267">
        <f>$AF$5*AE8</f>
        <v>0</v>
      </c>
      <c r="AG8" s="270">
        <v>0.25</v>
      </c>
      <c r="AH8" s="267">
        <f>$AH$5*AG8</f>
        <v>1577.5</v>
      </c>
      <c r="AI8" s="270">
        <v>1.25</v>
      </c>
      <c r="AJ8" s="267">
        <f>$AJ$5*AI8</f>
        <v>7887.5</v>
      </c>
      <c r="AK8" s="270">
        <v>1.05</v>
      </c>
      <c r="AL8" s="267">
        <f>$AL$5*AK8</f>
        <v>5638.5</v>
      </c>
      <c r="AM8" s="270">
        <v>0</v>
      </c>
      <c r="AN8" s="267">
        <f>$AN$5*AM8</f>
        <v>0</v>
      </c>
      <c r="AO8" s="270">
        <v>9.25</v>
      </c>
      <c r="AP8" s="271">
        <f>$AP$5*AO8</f>
        <v>62317.25</v>
      </c>
      <c r="AQ8" s="241">
        <v>2.5</v>
      </c>
      <c r="AR8" s="266">
        <f xml:space="preserve"> $AR$5*AQ8</f>
        <v>15750</v>
      </c>
      <c r="AS8" s="241">
        <v>3</v>
      </c>
      <c r="AT8" s="267">
        <f>$AT$5*AS8</f>
        <v>39639</v>
      </c>
      <c r="AU8" s="272">
        <v>3.25</v>
      </c>
      <c r="AV8" s="273">
        <f>$AV$5*AU8</f>
        <v>18710.25</v>
      </c>
      <c r="AW8" s="243"/>
      <c r="AX8" s="95">
        <f>+AW8*$AX$5</f>
        <v>0</v>
      </c>
      <c r="AY8" s="93">
        <f>AV8+AB8+AD8+AF8+AH8+AJ8+AL8+AN8+AP8+AR8+AT8+AX8</f>
        <v>304485</v>
      </c>
      <c r="AZ8" s="170">
        <f>Z8+AY8</f>
        <v>346789.5</v>
      </c>
      <c r="BA8" s="168">
        <f>+BB8*$BA$1</f>
        <v>330200</v>
      </c>
      <c r="BB8" s="263">
        <f>+L8+N8+P8+R8+T8+V8+X8+AA8+AC8+AE8+AG8+AI8+AK8+AM8+AO8+AQ8+AS8+AU8+AW8</f>
        <v>50.8</v>
      </c>
      <c r="BK8" s="276"/>
      <c r="BL8" s="277"/>
      <c r="BM8" s="276"/>
    </row>
    <row r="9" spans="1:65" ht="19.5" thickBot="1" x14ac:dyDescent="0.35">
      <c r="A9" s="633"/>
      <c r="B9" s="617"/>
      <c r="C9" s="278">
        <v>30</v>
      </c>
      <c r="D9" s="77">
        <v>2</v>
      </c>
      <c r="E9" s="92">
        <f>$E$5</f>
        <v>0</v>
      </c>
      <c r="F9" s="77">
        <v>3</v>
      </c>
      <c r="G9" s="92" t="b">
        <f>G13=$G$5</f>
        <v>1</v>
      </c>
      <c r="H9" s="77">
        <v>2</v>
      </c>
      <c r="I9" s="92">
        <f>$I$5</f>
        <v>0</v>
      </c>
      <c r="J9" s="215">
        <f>D9*E9+F9*G9+H9*I9</f>
        <v>3</v>
      </c>
      <c r="K9" s="315" t="str">
        <f t="shared" si="0"/>
        <v>30CLASE H1.1KV</v>
      </c>
      <c r="L9" s="228">
        <v>0.5</v>
      </c>
      <c r="M9" s="271">
        <f>$M$5*L9</f>
        <v>3539</v>
      </c>
      <c r="N9" s="264">
        <v>0.25</v>
      </c>
      <c r="O9" s="265">
        <f>+$O$5*N9</f>
        <v>1769.5</v>
      </c>
      <c r="P9" s="264">
        <v>0.25</v>
      </c>
      <c r="Q9" s="266">
        <f>+$Q$5*P9</f>
        <v>1337</v>
      </c>
      <c r="R9" s="264">
        <v>4.5</v>
      </c>
      <c r="S9" s="267">
        <f>+$S$5*R9</f>
        <v>32517</v>
      </c>
      <c r="T9" s="264">
        <v>0.25</v>
      </c>
      <c r="U9" s="266">
        <f>+$U$5*T9</f>
        <v>1411.75</v>
      </c>
      <c r="V9" s="264">
        <v>0.25</v>
      </c>
      <c r="W9" s="266">
        <f>+$W$5*V9</f>
        <v>1730.25</v>
      </c>
      <c r="X9" s="243"/>
      <c r="Y9" s="267">
        <f>+$Y$5*X9</f>
        <v>0</v>
      </c>
      <c r="Z9" s="268">
        <f>+M9+O9+Q9+S9+U9+W9+Y9</f>
        <v>42304.5</v>
      </c>
      <c r="AA9" s="269">
        <v>19</v>
      </c>
      <c r="AB9" s="267">
        <f>+$AB$5*AA9</f>
        <v>119890</v>
      </c>
      <c r="AC9" s="270">
        <v>5.25</v>
      </c>
      <c r="AD9" s="267">
        <f>$AD$5*AC9</f>
        <v>33075</v>
      </c>
      <c r="AE9" s="270">
        <v>0</v>
      </c>
      <c r="AF9" s="267">
        <f>$AF$5*AE9</f>
        <v>0</v>
      </c>
      <c r="AG9" s="270">
        <v>0.25</v>
      </c>
      <c r="AH9" s="267">
        <f>$AH$5*AG9</f>
        <v>1577.5</v>
      </c>
      <c r="AI9" s="270">
        <v>1.25</v>
      </c>
      <c r="AJ9" s="267">
        <f>$AJ$5*AI9</f>
        <v>7887.5</v>
      </c>
      <c r="AK9" s="270">
        <v>1.05</v>
      </c>
      <c r="AL9" s="267">
        <f>$AL$5*AK9</f>
        <v>5638.5</v>
      </c>
      <c r="AM9" s="270">
        <v>0</v>
      </c>
      <c r="AN9" s="267">
        <f>$AN$5*AM9</f>
        <v>0</v>
      </c>
      <c r="AO9" s="270">
        <v>9.25</v>
      </c>
      <c r="AP9" s="271">
        <f>$AP$5*AO9</f>
        <v>62317.25</v>
      </c>
      <c r="AQ9" s="241">
        <v>2.5</v>
      </c>
      <c r="AR9" s="266">
        <f xml:space="preserve"> $AR$5*AQ9</f>
        <v>15750</v>
      </c>
      <c r="AS9" s="241">
        <v>3</v>
      </c>
      <c r="AT9" s="267">
        <f>$AT$5*AS9</f>
        <v>39639</v>
      </c>
      <c r="AU9" s="272">
        <v>3.25</v>
      </c>
      <c r="AV9" s="273">
        <f>$AV$5*AU9</f>
        <v>18710.25</v>
      </c>
      <c r="AW9" s="243"/>
      <c r="AX9" s="95">
        <f>+AW9*$AX$5</f>
        <v>0</v>
      </c>
      <c r="AY9" s="93">
        <f>AV9+AB9+AD9+AF9+AH9+AJ9+AL9+AN9+AP9+AR9+AT9+AX9</f>
        <v>304485</v>
      </c>
      <c r="AZ9" s="170">
        <f>Z9+AY9</f>
        <v>346789.5</v>
      </c>
      <c r="BA9" s="168">
        <f>+BB9*$BA$1</f>
        <v>330200</v>
      </c>
      <c r="BB9" s="263">
        <f>+L9+N9+P9+R9+T9+V9+X9+AA9+AC9+AE9+AG9+AI9+AK9+AM9+AO9+AQ9+AS9+AU9+AW9</f>
        <v>50.8</v>
      </c>
      <c r="BL9" s="277"/>
    </row>
    <row r="10" spans="1:65" ht="19.5" thickBot="1" x14ac:dyDescent="0.35">
      <c r="A10" s="633"/>
      <c r="B10" s="617"/>
      <c r="C10" s="133">
        <v>45</v>
      </c>
      <c r="D10" s="74">
        <v>2</v>
      </c>
      <c r="E10" s="83">
        <f t="shared" ref="E10:E76" si="1">$E$5</f>
        <v>0</v>
      </c>
      <c r="F10" s="74">
        <v>3</v>
      </c>
      <c r="G10" s="83">
        <f t="shared" ref="G10:G76" si="2">$G$5</f>
        <v>0</v>
      </c>
      <c r="H10" s="74">
        <v>2</v>
      </c>
      <c r="I10" s="83">
        <f t="shared" ref="I10:I76" si="3">$I$5</f>
        <v>0</v>
      </c>
      <c r="J10" s="216">
        <f t="shared" ref="J10:J52" si="4">D10*E10+F10*G10+H10*I10</f>
        <v>0</v>
      </c>
      <c r="K10" s="315" t="str">
        <f t="shared" si="0"/>
        <v>45CLASE H1.1KV</v>
      </c>
      <c r="L10" s="229">
        <v>0.5</v>
      </c>
      <c r="M10" s="271">
        <f t="shared" ref="M10:M76" si="5">$M$5*L10</f>
        <v>3539</v>
      </c>
      <c r="N10" s="241">
        <v>0.25</v>
      </c>
      <c r="O10" s="265">
        <f t="shared" ref="O10:O76" si="6">+$O$5*N10</f>
        <v>1769.5</v>
      </c>
      <c r="P10" s="241">
        <v>0.25</v>
      </c>
      <c r="Q10" s="266">
        <f t="shared" ref="Q10:Q76" si="7">+$Q$5*P10</f>
        <v>1337</v>
      </c>
      <c r="R10" s="241">
        <v>4.5</v>
      </c>
      <c r="S10" s="267">
        <f t="shared" ref="S10:S76" si="8">+$S$5*R10</f>
        <v>32517</v>
      </c>
      <c r="T10" s="241">
        <v>0.25</v>
      </c>
      <c r="U10" s="266">
        <f t="shared" ref="U10:U76" si="9">+$U$5*T10</f>
        <v>1411.75</v>
      </c>
      <c r="V10" s="241">
        <v>0.25</v>
      </c>
      <c r="W10" s="266">
        <f t="shared" ref="W10:W76" si="10">+$W$5*V10</f>
        <v>1730.25</v>
      </c>
      <c r="X10" s="243"/>
      <c r="Y10" s="267">
        <f t="shared" ref="Y10:Y76" si="11">+$Y$5*X10</f>
        <v>0</v>
      </c>
      <c r="Z10" s="268">
        <f t="shared" ref="Z10:Z76" si="12">+M10+O10+Q10+S10+U10+W10+Y10</f>
        <v>42304.5</v>
      </c>
      <c r="AA10" s="248">
        <v>21.5</v>
      </c>
      <c r="AB10" s="267">
        <f t="shared" ref="AB10:AB76" si="13">+$AB$5*AA10</f>
        <v>135665</v>
      </c>
      <c r="AC10" s="241">
        <v>5.25</v>
      </c>
      <c r="AD10" s="267">
        <f t="shared" ref="AD10:AD76" si="14">$AD$5*AC10</f>
        <v>33075</v>
      </c>
      <c r="AE10" s="241">
        <v>0</v>
      </c>
      <c r="AF10" s="267">
        <f t="shared" ref="AF10:AF76" si="15">$AF$5*AE10</f>
        <v>0</v>
      </c>
      <c r="AG10" s="241">
        <v>0.25</v>
      </c>
      <c r="AH10" s="267">
        <f t="shared" ref="AH10:AH76" si="16">$AH$5*AG10</f>
        <v>1577.5</v>
      </c>
      <c r="AI10" s="241">
        <v>1.25</v>
      </c>
      <c r="AJ10" s="267">
        <f t="shared" ref="AJ10:AJ76" si="17">$AJ$5*AI10</f>
        <v>7887.5</v>
      </c>
      <c r="AK10" s="241">
        <v>1.25</v>
      </c>
      <c r="AL10" s="267">
        <f t="shared" ref="AL10:AL76" si="18">$AL$5*AK10</f>
        <v>6712.5</v>
      </c>
      <c r="AM10" s="241">
        <v>0</v>
      </c>
      <c r="AN10" s="267">
        <f t="shared" ref="AN10:AN76" si="19">$AN$5*AM10</f>
        <v>0</v>
      </c>
      <c r="AO10" s="241">
        <v>11.25</v>
      </c>
      <c r="AP10" s="271">
        <f t="shared" ref="AP10:AP76" si="20">$AP$5*AO10</f>
        <v>75791.25</v>
      </c>
      <c r="AQ10" s="241">
        <v>3</v>
      </c>
      <c r="AR10" s="266">
        <f t="shared" ref="AR10:AR76" si="21" xml:space="preserve"> $AR$5*AQ10</f>
        <v>18900</v>
      </c>
      <c r="AS10" s="255">
        <v>3</v>
      </c>
      <c r="AT10" s="267">
        <f t="shared" ref="AT10:AT76" si="22">$AT$5*AS10</f>
        <v>39639</v>
      </c>
      <c r="AU10" s="241">
        <v>3.25</v>
      </c>
      <c r="AV10" s="273">
        <f t="shared" ref="AV10:AV76" si="23">$AV$5*AU10</f>
        <v>18710.25</v>
      </c>
      <c r="AW10" s="243"/>
      <c r="AX10" s="95">
        <f t="shared" ref="AX10:AX76" si="24">+AW10*$AX$5</f>
        <v>0</v>
      </c>
      <c r="AY10" s="108">
        <f t="shared" ref="AY10:AY76" si="25">AV10+AB10+AD10+AF10+AH10+AJ10+AL10+AN10+AP10+AR10+AT10+AX10</f>
        <v>337958</v>
      </c>
      <c r="AZ10" s="169">
        <f t="shared" ref="AZ10:AZ27" si="26">Z10+AY10</f>
        <v>380262.5</v>
      </c>
      <c r="BA10" s="110">
        <f t="shared" ref="BA10:BA76" si="27">+BB10*$BA$1</f>
        <v>364000</v>
      </c>
      <c r="BB10" s="263">
        <f t="shared" ref="BB10:BB77" si="28">+L10+N10+P10+R10+T10+V10+X10+AA10+AC10+AE10+AG10+AI10+AK10+AM10+AO10+AQ10+AS10+AU10+AW10</f>
        <v>56</v>
      </c>
      <c r="BK10" s="277">
        <v>42745.405555555553</v>
      </c>
      <c r="BL10" s="276" t="s">
        <v>115</v>
      </c>
    </row>
    <row r="11" spans="1:65" ht="19.5" thickBot="1" x14ac:dyDescent="0.35">
      <c r="A11" s="633"/>
      <c r="B11" s="617"/>
      <c r="C11" s="133">
        <v>50</v>
      </c>
      <c r="D11" s="74">
        <v>2</v>
      </c>
      <c r="E11" s="83">
        <f t="shared" si="1"/>
        <v>0</v>
      </c>
      <c r="F11" s="74">
        <v>3</v>
      </c>
      <c r="G11" s="83">
        <f t="shared" si="2"/>
        <v>0</v>
      </c>
      <c r="H11" s="74">
        <v>2</v>
      </c>
      <c r="I11" s="83">
        <f t="shared" si="3"/>
        <v>0</v>
      </c>
      <c r="J11" s="216">
        <f t="shared" si="4"/>
        <v>0</v>
      </c>
      <c r="K11" s="315" t="str">
        <f t="shared" si="0"/>
        <v>50CLASE H1.1KV</v>
      </c>
      <c r="L11" s="230">
        <v>0.5</v>
      </c>
      <c r="M11" s="271">
        <f t="shared" si="5"/>
        <v>3539</v>
      </c>
      <c r="N11" s="241">
        <v>0.25</v>
      </c>
      <c r="O11" s="265">
        <f t="shared" si="6"/>
        <v>1769.5</v>
      </c>
      <c r="P11" s="241">
        <v>0.25</v>
      </c>
      <c r="Q11" s="266">
        <f t="shared" si="7"/>
        <v>1337</v>
      </c>
      <c r="R11" s="241">
        <v>4.5</v>
      </c>
      <c r="S11" s="267">
        <f t="shared" si="8"/>
        <v>32517</v>
      </c>
      <c r="T11" s="241">
        <v>0.25</v>
      </c>
      <c r="U11" s="266">
        <f t="shared" si="9"/>
        <v>1411.75</v>
      </c>
      <c r="V11" s="241">
        <v>0.25</v>
      </c>
      <c r="W11" s="266">
        <f t="shared" si="10"/>
        <v>1730.25</v>
      </c>
      <c r="X11" s="243"/>
      <c r="Y11" s="267">
        <f t="shared" si="11"/>
        <v>0</v>
      </c>
      <c r="Z11" s="268">
        <f t="shared" si="12"/>
        <v>42304.5</v>
      </c>
      <c r="AA11" s="248">
        <v>24</v>
      </c>
      <c r="AB11" s="267">
        <f t="shared" si="13"/>
        <v>151440</v>
      </c>
      <c r="AC11" s="241">
        <v>5.5</v>
      </c>
      <c r="AD11" s="267">
        <f t="shared" si="14"/>
        <v>34650</v>
      </c>
      <c r="AE11" s="241">
        <v>0</v>
      </c>
      <c r="AF11" s="267">
        <f t="shared" si="15"/>
        <v>0</v>
      </c>
      <c r="AG11" s="241">
        <v>0.25</v>
      </c>
      <c r="AH11" s="267">
        <f t="shared" si="16"/>
        <v>1577.5</v>
      </c>
      <c r="AI11" s="241">
        <v>1.25</v>
      </c>
      <c r="AJ11" s="267">
        <f t="shared" si="17"/>
        <v>7887.5</v>
      </c>
      <c r="AK11" s="241">
        <v>1.28</v>
      </c>
      <c r="AL11" s="267">
        <f t="shared" si="18"/>
        <v>6873.6</v>
      </c>
      <c r="AM11" s="241">
        <v>0</v>
      </c>
      <c r="AN11" s="267">
        <f t="shared" si="19"/>
        <v>0</v>
      </c>
      <c r="AO11" s="241">
        <v>11.8</v>
      </c>
      <c r="AP11" s="271">
        <f t="shared" si="20"/>
        <v>79496.600000000006</v>
      </c>
      <c r="AQ11" s="241">
        <v>3</v>
      </c>
      <c r="AR11" s="266">
        <f t="shared" si="21"/>
        <v>18900</v>
      </c>
      <c r="AS11" s="255">
        <v>3</v>
      </c>
      <c r="AT11" s="267">
        <f t="shared" si="22"/>
        <v>39639</v>
      </c>
      <c r="AU11" s="241">
        <v>3.25</v>
      </c>
      <c r="AV11" s="273">
        <f t="shared" si="23"/>
        <v>18710.25</v>
      </c>
      <c r="AW11" s="243"/>
      <c r="AX11" s="95">
        <f t="shared" si="24"/>
        <v>0</v>
      </c>
      <c r="AY11" s="108">
        <f t="shared" si="25"/>
        <v>359174.45</v>
      </c>
      <c r="AZ11" s="169">
        <f t="shared" si="26"/>
        <v>401478.95</v>
      </c>
      <c r="BA11" s="110">
        <f t="shared" si="27"/>
        <v>385645</v>
      </c>
      <c r="BB11" s="263">
        <f t="shared" si="28"/>
        <v>59.33</v>
      </c>
      <c r="BL11" s="277"/>
    </row>
    <row r="12" spans="1:65" s="26" customFormat="1" ht="19.5" thickBot="1" x14ac:dyDescent="0.35">
      <c r="A12" s="633"/>
      <c r="B12" s="617"/>
      <c r="C12" s="133">
        <v>60</v>
      </c>
      <c r="D12" s="74">
        <v>2</v>
      </c>
      <c r="E12" s="83">
        <f t="shared" si="1"/>
        <v>0</v>
      </c>
      <c r="F12" s="74">
        <v>3</v>
      </c>
      <c r="G12" s="83">
        <f t="shared" si="2"/>
        <v>0</v>
      </c>
      <c r="H12" s="74">
        <v>2</v>
      </c>
      <c r="I12" s="83">
        <f t="shared" si="3"/>
        <v>0</v>
      </c>
      <c r="J12" s="216">
        <f t="shared" ref="J12" si="29">D12*E12+F12*G12+H12*I12</f>
        <v>0</v>
      </c>
      <c r="K12" s="315" t="str">
        <f t="shared" si="0"/>
        <v>60CLASE H1.1KV</v>
      </c>
      <c r="L12" s="230">
        <v>0.5</v>
      </c>
      <c r="M12" s="271">
        <f t="shared" ref="M12" si="30">$M$5*L12</f>
        <v>3539</v>
      </c>
      <c r="N12" s="241">
        <v>0.25</v>
      </c>
      <c r="O12" s="265">
        <f t="shared" ref="O12" si="31">+$O$5*N12</f>
        <v>1769.5</v>
      </c>
      <c r="P12" s="241">
        <v>0.25</v>
      </c>
      <c r="Q12" s="266">
        <f t="shared" ref="Q12" si="32">+$Q$5*P12</f>
        <v>1337</v>
      </c>
      <c r="R12" s="241">
        <v>4.5</v>
      </c>
      <c r="S12" s="267">
        <f t="shared" ref="S12" si="33">+$S$5*R12</f>
        <v>32517</v>
      </c>
      <c r="T12" s="241">
        <v>0.25</v>
      </c>
      <c r="U12" s="266">
        <f t="shared" ref="U12" si="34">+$U$5*T12</f>
        <v>1411.75</v>
      </c>
      <c r="V12" s="241">
        <v>0.25</v>
      </c>
      <c r="W12" s="266">
        <f t="shared" ref="W12" si="35">+$W$5*V12</f>
        <v>1730.25</v>
      </c>
      <c r="X12" s="243"/>
      <c r="Y12" s="267">
        <f t="shared" ref="Y12" si="36">+$Y$5*X12</f>
        <v>0</v>
      </c>
      <c r="Z12" s="268">
        <f t="shared" ref="Z12" si="37">+M12+O12+Q12+S12+U12+W12+Y12</f>
        <v>42304.5</v>
      </c>
      <c r="AA12" s="248">
        <v>24</v>
      </c>
      <c r="AB12" s="267">
        <f t="shared" ref="AB12" si="38">+$AB$5*AA12</f>
        <v>151440</v>
      </c>
      <c r="AC12" s="241">
        <v>5.5</v>
      </c>
      <c r="AD12" s="267">
        <f t="shared" ref="AD12" si="39">$AD$5*AC12</f>
        <v>34650</v>
      </c>
      <c r="AE12" s="241">
        <v>0</v>
      </c>
      <c r="AF12" s="267">
        <f t="shared" ref="AF12" si="40">$AF$5*AE12</f>
        <v>0</v>
      </c>
      <c r="AG12" s="241">
        <v>0.25</v>
      </c>
      <c r="AH12" s="267">
        <f t="shared" ref="AH12" si="41">$AH$5*AG12</f>
        <v>1577.5</v>
      </c>
      <c r="AI12" s="241">
        <v>1.25</v>
      </c>
      <c r="AJ12" s="267">
        <f t="shared" ref="AJ12" si="42">$AJ$5*AI12</f>
        <v>7887.5</v>
      </c>
      <c r="AK12" s="241">
        <v>1.28</v>
      </c>
      <c r="AL12" s="267">
        <f t="shared" ref="AL12" si="43">$AL$5*AK12</f>
        <v>6873.6</v>
      </c>
      <c r="AM12" s="241">
        <v>0</v>
      </c>
      <c r="AN12" s="267">
        <f t="shared" ref="AN12" si="44">$AN$5*AM12</f>
        <v>0</v>
      </c>
      <c r="AO12" s="241">
        <v>11.8</v>
      </c>
      <c r="AP12" s="271">
        <f t="shared" ref="AP12" si="45">$AP$5*AO12</f>
        <v>79496.600000000006</v>
      </c>
      <c r="AQ12" s="241">
        <v>3</v>
      </c>
      <c r="AR12" s="266">
        <f t="shared" ref="AR12" si="46" xml:space="preserve"> $AR$5*AQ12</f>
        <v>18900</v>
      </c>
      <c r="AS12" s="255">
        <v>3</v>
      </c>
      <c r="AT12" s="267">
        <f t="shared" ref="AT12" si="47">$AT$5*AS12</f>
        <v>39639</v>
      </c>
      <c r="AU12" s="241">
        <v>3.25</v>
      </c>
      <c r="AV12" s="273">
        <f t="shared" ref="AV12" si="48">$AV$5*AU12</f>
        <v>18710.25</v>
      </c>
      <c r="AW12" s="243"/>
      <c r="AX12" s="95">
        <f t="shared" ref="AX12" si="49">+AW12*$AX$5</f>
        <v>0</v>
      </c>
      <c r="AY12" s="108">
        <f t="shared" ref="AY12" si="50">AV12+AB12+AD12+AF12+AH12+AJ12+AL12+AN12+AP12+AR12+AT12+AX12</f>
        <v>359174.45</v>
      </c>
      <c r="AZ12" s="169">
        <f t="shared" ref="AZ12" si="51">Z12+AY12</f>
        <v>401478.95</v>
      </c>
      <c r="BA12" s="110">
        <f t="shared" ref="BA12" si="52">+BB12*$BA$1</f>
        <v>385645</v>
      </c>
      <c r="BB12" s="263">
        <f t="shared" ref="BB12" si="53">+L12+N12+P12+R12+T12+V12+X12+AA12+AC12+AE12+AG12+AI12+AK12+AM12+AO12+AQ12+AS12+AU12+AW12</f>
        <v>59.33</v>
      </c>
      <c r="BK12" s="276"/>
      <c r="BL12" s="277"/>
      <c r="BM12" s="276"/>
    </row>
    <row r="13" spans="1:65" ht="19.5" thickBot="1" x14ac:dyDescent="0.35">
      <c r="A13" s="633"/>
      <c r="B13" s="617"/>
      <c r="C13" s="133">
        <v>75</v>
      </c>
      <c r="D13" s="74">
        <v>4</v>
      </c>
      <c r="E13" s="83">
        <f t="shared" si="1"/>
        <v>0</v>
      </c>
      <c r="F13" s="74">
        <v>4</v>
      </c>
      <c r="G13" s="83">
        <f t="shared" si="2"/>
        <v>0</v>
      </c>
      <c r="H13" s="74">
        <v>2</v>
      </c>
      <c r="I13" s="83">
        <f t="shared" si="3"/>
        <v>0</v>
      </c>
      <c r="J13" s="216">
        <f t="shared" si="4"/>
        <v>0</v>
      </c>
      <c r="K13" s="315" t="str">
        <f t="shared" si="0"/>
        <v>75CLASE H1.1KV</v>
      </c>
      <c r="L13" s="230">
        <v>0.5</v>
      </c>
      <c r="M13" s="271">
        <f t="shared" si="5"/>
        <v>3539</v>
      </c>
      <c r="N13" s="241">
        <v>0.25</v>
      </c>
      <c r="O13" s="265">
        <f t="shared" si="6"/>
        <v>1769.5</v>
      </c>
      <c r="P13" s="241">
        <v>0.25</v>
      </c>
      <c r="Q13" s="266">
        <f t="shared" si="7"/>
        <v>1337</v>
      </c>
      <c r="R13" s="241">
        <v>4.5</v>
      </c>
      <c r="S13" s="267">
        <f t="shared" si="8"/>
        <v>32517</v>
      </c>
      <c r="T13" s="241">
        <v>0.25</v>
      </c>
      <c r="U13" s="266">
        <f t="shared" si="9"/>
        <v>1411.75</v>
      </c>
      <c r="V13" s="241">
        <v>0.25</v>
      </c>
      <c r="W13" s="266">
        <f t="shared" si="10"/>
        <v>1730.25</v>
      </c>
      <c r="X13" s="243"/>
      <c r="Y13" s="267">
        <f t="shared" si="11"/>
        <v>0</v>
      </c>
      <c r="Z13" s="268">
        <f t="shared" si="12"/>
        <v>42304.5</v>
      </c>
      <c r="AA13" s="248">
        <v>28</v>
      </c>
      <c r="AB13" s="267">
        <f t="shared" si="13"/>
        <v>176680</v>
      </c>
      <c r="AC13" s="241">
        <v>5.45</v>
      </c>
      <c r="AD13" s="267">
        <f t="shared" si="14"/>
        <v>34335</v>
      </c>
      <c r="AE13" s="241">
        <v>0</v>
      </c>
      <c r="AF13" s="267">
        <f t="shared" si="15"/>
        <v>0</v>
      </c>
      <c r="AG13" s="241">
        <v>0.25</v>
      </c>
      <c r="AH13" s="267">
        <f t="shared" si="16"/>
        <v>1577.5</v>
      </c>
      <c r="AI13" s="241">
        <v>1.25</v>
      </c>
      <c r="AJ13" s="267">
        <f t="shared" si="17"/>
        <v>7887.5</v>
      </c>
      <c r="AK13" s="241">
        <v>1.37</v>
      </c>
      <c r="AL13" s="267">
        <f t="shared" si="18"/>
        <v>7356.9000000000005</v>
      </c>
      <c r="AM13" s="241">
        <v>0</v>
      </c>
      <c r="AN13" s="267">
        <f t="shared" si="19"/>
        <v>0</v>
      </c>
      <c r="AO13" s="241">
        <v>12.25</v>
      </c>
      <c r="AP13" s="271">
        <f t="shared" si="20"/>
        <v>82528.25</v>
      </c>
      <c r="AQ13" s="241">
        <v>3.2</v>
      </c>
      <c r="AR13" s="266">
        <f t="shared" si="21"/>
        <v>20160</v>
      </c>
      <c r="AS13" s="255">
        <v>3</v>
      </c>
      <c r="AT13" s="267">
        <f t="shared" si="22"/>
        <v>39639</v>
      </c>
      <c r="AU13" s="241">
        <v>4</v>
      </c>
      <c r="AV13" s="273">
        <f t="shared" si="23"/>
        <v>23028</v>
      </c>
      <c r="AW13" s="243"/>
      <c r="AX13" s="95">
        <f t="shared" si="24"/>
        <v>0</v>
      </c>
      <c r="AY13" s="108">
        <f t="shared" si="25"/>
        <v>393192.15</v>
      </c>
      <c r="AZ13" s="169">
        <f t="shared" si="26"/>
        <v>435496.65</v>
      </c>
      <c r="BA13" s="110">
        <f t="shared" si="27"/>
        <v>421005.00000000006</v>
      </c>
      <c r="BB13" s="263">
        <f t="shared" si="28"/>
        <v>64.77000000000001</v>
      </c>
    </row>
    <row r="14" spans="1:65" ht="19.5" thickBot="1" x14ac:dyDescent="0.35">
      <c r="A14" s="633"/>
      <c r="B14" s="617"/>
      <c r="C14" s="133">
        <v>112.5</v>
      </c>
      <c r="D14" s="74">
        <v>4</v>
      </c>
      <c r="E14" s="83">
        <f t="shared" si="1"/>
        <v>0</v>
      </c>
      <c r="F14" s="74">
        <v>4</v>
      </c>
      <c r="G14" s="83">
        <f t="shared" si="2"/>
        <v>0</v>
      </c>
      <c r="H14" s="74">
        <v>2</v>
      </c>
      <c r="I14" s="83">
        <f t="shared" si="3"/>
        <v>0</v>
      </c>
      <c r="J14" s="216">
        <f t="shared" si="4"/>
        <v>0</v>
      </c>
      <c r="K14" s="315" t="str">
        <f t="shared" si="0"/>
        <v>112.5CLASE H1.1KV</v>
      </c>
      <c r="L14" s="230">
        <v>0.5</v>
      </c>
      <c r="M14" s="271">
        <f t="shared" si="5"/>
        <v>3539</v>
      </c>
      <c r="N14" s="241">
        <v>0.25</v>
      </c>
      <c r="O14" s="265">
        <f t="shared" si="6"/>
        <v>1769.5</v>
      </c>
      <c r="P14" s="241">
        <v>0.25</v>
      </c>
      <c r="Q14" s="266">
        <f t="shared" si="7"/>
        <v>1337</v>
      </c>
      <c r="R14" s="241">
        <v>4.5</v>
      </c>
      <c r="S14" s="267">
        <f t="shared" si="8"/>
        <v>32517</v>
      </c>
      <c r="T14" s="241">
        <v>0.25</v>
      </c>
      <c r="U14" s="266">
        <f t="shared" si="9"/>
        <v>1411.75</v>
      </c>
      <c r="V14" s="241">
        <v>0.33</v>
      </c>
      <c r="W14" s="266">
        <f t="shared" si="10"/>
        <v>2283.9300000000003</v>
      </c>
      <c r="X14" s="243"/>
      <c r="Y14" s="267">
        <f t="shared" si="11"/>
        <v>0</v>
      </c>
      <c r="Z14" s="268">
        <f t="shared" si="12"/>
        <v>42858.18</v>
      </c>
      <c r="AA14" s="248">
        <v>31.18</v>
      </c>
      <c r="AB14" s="267">
        <f t="shared" si="13"/>
        <v>196745.8</v>
      </c>
      <c r="AC14" s="241">
        <v>5.5</v>
      </c>
      <c r="AD14" s="267">
        <f t="shared" si="14"/>
        <v>34650</v>
      </c>
      <c r="AE14" s="241">
        <v>0</v>
      </c>
      <c r="AF14" s="267">
        <f t="shared" si="15"/>
        <v>0</v>
      </c>
      <c r="AG14" s="241">
        <v>0.25</v>
      </c>
      <c r="AH14" s="267">
        <f t="shared" si="16"/>
        <v>1577.5</v>
      </c>
      <c r="AI14" s="241">
        <v>1.25</v>
      </c>
      <c r="AJ14" s="267">
        <f t="shared" si="17"/>
        <v>7887.5</v>
      </c>
      <c r="AK14" s="241">
        <v>1.65</v>
      </c>
      <c r="AL14" s="267">
        <f t="shared" si="18"/>
        <v>8860.5</v>
      </c>
      <c r="AM14" s="241">
        <v>0</v>
      </c>
      <c r="AN14" s="267">
        <f t="shared" si="19"/>
        <v>0</v>
      </c>
      <c r="AO14" s="241">
        <v>12.5</v>
      </c>
      <c r="AP14" s="271">
        <f t="shared" si="20"/>
        <v>84212.5</v>
      </c>
      <c r="AQ14" s="241">
        <v>3.2</v>
      </c>
      <c r="AR14" s="266">
        <f t="shared" si="21"/>
        <v>20160</v>
      </c>
      <c r="AS14" s="255">
        <v>3</v>
      </c>
      <c r="AT14" s="267">
        <f t="shared" si="22"/>
        <v>39639</v>
      </c>
      <c r="AU14" s="241">
        <v>4.25</v>
      </c>
      <c r="AV14" s="273">
        <f t="shared" si="23"/>
        <v>24467.25</v>
      </c>
      <c r="AW14" s="243"/>
      <c r="AX14" s="95">
        <f t="shared" si="24"/>
        <v>0</v>
      </c>
      <c r="AY14" s="108">
        <f t="shared" si="25"/>
        <v>418200.05</v>
      </c>
      <c r="AZ14" s="169">
        <f t="shared" si="26"/>
        <v>461058.23</v>
      </c>
      <c r="BA14" s="110">
        <f t="shared" si="27"/>
        <v>447590</v>
      </c>
      <c r="BB14" s="263">
        <f t="shared" si="28"/>
        <v>68.86</v>
      </c>
      <c r="BL14" s="277"/>
    </row>
    <row r="15" spans="1:65" s="26" customFormat="1" ht="19.5" thickBot="1" x14ac:dyDescent="0.35">
      <c r="A15" s="633"/>
      <c r="B15" s="617"/>
      <c r="C15" s="133">
        <v>125</v>
      </c>
      <c r="D15" s="74"/>
      <c r="E15" s="83"/>
      <c r="F15" s="74"/>
      <c r="G15" s="83"/>
      <c r="H15" s="74"/>
      <c r="I15" s="83"/>
      <c r="J15" s="216"/>
      <c r="K15" s="315" t="str">
        <f t="shared" si="0"/>
        <v>125CLASE H1.1KV</v>
      </c>
      <c r="L15" s="230"/>
      <c r="M15" s="271">
        <f t="shared" ref="M15" si="54">$M$5*L15</f>
        <v>0</v>
      </c>
      <c r="N15" s="241"/>
      <c r="O15" s="265">
        <f t="shared" ref="O15" si="55">+$O$5*N15</f>
        <v>0</v>
      </c>
      <c r="P15" s="241"/>
      <c r="Q15" s="266">
        <f t="shared" ref="Q15" si="56">+$Q$5*P15</f>
        <v>0</v>
      </c>
      <c r="R15" s="241"/>
      <c r="S15" s="267">
        <f t="shared" ref="S15" si="57">+$S$5*R15</f>
        <v>0</v>
      </c>
      <c r="T15" s="241"/>
      <c r="U15" s="266">
        <f t="shared" ref="U15" si="58">+$U$5*T15</f>
        <v>0</v>
      </c>
      <c r="V15" s="241"/>
      <c r="W15" s="266">
        <f t="shared" si="10"/>
        <v>0</v>
      </c>
      <c r="X15" s="243"/>
      <c r="Y15" s="267"/>
      <c r="Z15" s="268">
        <f t="shared" si="12"/>
        <v>0</v>
      </c>
      <c r="AA15" s="248"/>
      <c r="AB15" s="267"/>
      <c r="AC15" s="241"/>
      <c r="AD15" s="267"/>
      <c r="AE15" s="241"/>
      <c r="AF15" s="267"/>
      <c r="AG15" s="241"/>
      <c r="AH15" s="267"/>
      <c r="AI15" s="241"/>
      <c r="AJ15" s="267"/>
      <c r="AK15" s="241"/>
      <c r="AL15" s="267"/>
      <c r="AM15" s="241"/>
      <c r="AN15" s="267"/>
      <c r="AO15" s="241"/>
      <c r="AP15" s="271"/>
      <c r="AQ15" s="241"/>
      <c r="AR15" s="266"/>
      <c r="AS15" s="255"/>
      <c r="AT15" s="267"/>
      <c r="AU15" s="241"/>
      <c r="AV15" s="273"/>
      <c r="AW15" s="243"/>
      <c r="AX15" s="95"/>
      <c r="AY15" s="108"/>
      <c r="AZ15" s="169">
        <f t="shared" ref="AZ15" si="59">Z15+AY15</f>
        <v>0</v>
      </c>
      <c r="BA15" s="110">
        <f t="shared" ref="BA15" si="60">+BB15*$BA$1</f>
        <v>0</v>
      </c>
      <c r="BB15" s="263">
        <f t="shared" ref="BB15" si="61">+L15+N15+P15+R15+T15+V15+X15+AA15+AC15+AE15+AG15+AI15+AK15+AM15+AO15+AQ15+AS15+AU15+AW15</f>
        <v>0</v>
      </c>
      <c r="BK15" s="277">
        <v>42957.612141203703</v>
      </c>
      <c r="BL15" s="277" t="s">
        <v>167</v>
      </c>
      <c r="BM15" s="276"/>
    </row>
    <row r="16" spans="1:65" ht="19.5" thickBot="1" x14ac:dyDescent="0.35">
      <c r="A16" s="633"/>
      <c r="B16" s="617"/>
      <c r="C16" s="133">
        <v>150</v>
      </c>
      <c r="D16" s="74">
        <v>4</v>
      </c>
      <c r="E16" s="83">
        <f t="shared" si="1"/>
        <v>0</v>
      </c>
      <c r="F16" s="74">
        <v>4</v>
      </c>
      <c r="G16" s="83">
        <f t="shared" si="2"/>
        <v>0</v>
      </c>
      <c r="H16" s="74">
        <v>2</v>
      </c>
      <c r="I16" s="83">
        <f t="shared" si="3"/>
        <v>0</v>
      </c>
      <c r="J16" s="216">
        <f t="shared" si="4"/>
        <v>0</v>
      </c>
      <c r="K16" s="315" t="str">
        <f t="shared" si="0"/>
        <v>150CLASE H1.1KV</v>
      </c>
      <c r="L16" s="230">
        <v>0.5</v>
      </c>
      <c r="M16" s="271">
        <f t="shared" si="5"/>
        <v>3539</v>
      </c>
      <c r="N16" s="241">
        <v>0.5</v>
      </c>
      <c r="O16" s="265">
        <f t="shared" si="6"/>
        <v>3539</v>
      </c>
      <c r="P16" s="241">
        <v>0.25</v>
      </c>
      <c r="Q16" s="266">
        <f t="shared" si="7"/>
        <v>1337</v>
      </c>
      <c r="R16" s="241">
        <v>6</v>
      </c>
      <c r="S16" s="267">
        <f t="shared" si="8"/>
        <v>43356</v>
      </c>
      <c r="T16" s="241">
        <v>0.25</v>
      </c>
      <c r="U16" s="266">
        <f t="shared" si="9"/>
        <v>1411.75</v>
      </c>
      <c r="V16" s="241">
        <v>0.33</v>
      </c>
      <c r="W16" s="266">
        <f t="shared" si="10"/>
        <v>2283.9300000000003</v>
      </c>
      <c r="X16" s="243"/>
      <c r="Y16" s="267">
        <f t="shared" si="11"/>
        <v>0</v>
      </c>
      <c r="Z16" s="268">
        <f t="shared" si="12"/>
        <v>55466.68</v>
      </c>
      <c r="AA16" s="248">
        <v>33.36</v>
      </c>
      <c r="AB16" s="267">
        <f t="shared" si="13"/>
        <v>210501.6</v>
      </c>
      <c r="AC16" s="241">
        <v>6.25</v>
      </c>
      <c r="AD16" s="267">
        <f t="shared" si="14"/>
        <v>39375</v>
      </c>
      <c r="AE16" s="241">
        <v>0</v>
      </c>
      <c r="AF16" s="267">
        <f t="shared" si="15"/>
        <v>0</v>
      </c>
      <c r="AG16" s="241">
        <v>0.5</v>
      </c>
      <c r="AH16" s="267">
        <f t="shared" si="16"/>
        <v>3155</v>
      </c>
      <c r="AI16" s="241">
        <v>1.5</v>
      </c>
      <c r="AJ16" s="267">
        <f t="shared" si="17"/>
        <v>9465</v>
      </c>
      <c r="AK16" s="241">
        <v>1.92</v>
      </c>
      <c r="AL16" s="267">
        <f t="shared" si="18"/>
        <v>10310.4</v>
      </c>
      <c r="AM16" s="241">
        <v>0</v>
      </c>
      <c r="AN16" s="267">
        <f t="shared" si="19"/>
        <v>0</v>
      </c>
      <c r="AO16" s="241">
        <v>12.5</v>
      </c>
      <c r="AP16" s="271">
        <f t="shared" si="20"/>
        <v>84212.5</v>
      </c>
      <c r="AQ16" s="241">
        <v>3.2</v>
      </c>
      <c r="AR16" s="266">
        <f t="shared" si="21"/>
        <v>20160</v>
      </c>
      <c r="AS16" s="255">
        <v>3</v>
      </c>
      <c r="AT16" s="267">
        <f t="shared" si="22"/>
        <v>39639</v>
      </c>
      <c r="AU16" s="241">
        <v>4.25</v>
      </c>
      <c r="AV16" s="273">
        <f t="shared" si="23"/>
        <v>24467.25</v>
      </c>
      <c r="AW16" s="243"/>
      <c r="AX16" s="95">
        <f t="shared" si="24"/>
        <v>0</v>
      </c>
      <c r="AY16" s="108">
        <f t="shared" si="25"/>
        <v>441285.75</v>
      </c>
      <c r="AZ16" s="169">
        <f t="shared" si="26"/>
        <v>496752.43</v>
      </c>
      <c r="BA16" s="110">
        <f t="shared" si="27"/>
        <v>483015</v>
      </c>
      <c r="BB16" s="263">
        <f t="shared" si="28"/>
        <v>74.31</v>
      </c>
    </row>
    <row r="17" spans="1:65" ht="19.5" thickBot="1" x14ac:dyDescent="0.35">
      <c r="A17" s="633"/>
      <c r="B17" s="617"/>
      <c r="C17" s="133">
        <v>225</v>
      </c>
      <c r="D17" s="74">
        <v>6</v>
      </c>
      <c r="E17" s="83">
        <f t="shared" si="1"/>
        <v>0</v>
      </c>
      <c r="F17" s="74">
        <v>4</v>
      </c>
      <c r="G17" s="83">
        <f t="shared" si="2"/>
        <v>0</v>
      </c>
      <c r="H17" s="74">
        <v>2</v>
      </c>
      <c r="I17" s="83">
        <f t="shared" si="3"/>
        <v>0</v>
      </c>
      <c r="J17" s="216">
        <f t="shared" si="4"/>
        <v>0</v>
      </c>
      <c r="K17" s="315" t="str">
        <f t="shared" si="0"/>
        <v>225CLASE H1.1KV</v>
      </c>
      <c r="L17" s="230">
        <v>0.5</v>
      </c>
      <c r="M17" s="271">
        <f t="shared" si="5"/>
        <v>3539</v>
      </c>
      <c r="N17" s="241">
        <v>0.5</v>
      </c>
      <c r="O17" s="265">
        <f t="shared" si="6"/>
        <v>3539</v>
      </c>
      <c r="P17" s="274">
        <v>0.25</v>
      </c>
      <c r="Q17" s="266">
        <f t="shared" si="7"/>
        <v>1337</v>
      </c>
      <c r="R17" s="241">
        <v>6</v>
      </c>
      <c r="S17" s="267">
        <f t="shared" si="8"/>
        <v>43356</v>
      </c>
      <c r="T17" s="241">
        <v>0.5</v>
      </c>
      <c r="U17" s="266">
        <f t="shared" si="9"/>
        <v>2823.5</v>
      </c>
      <c r="V17" s="241">
        <v>0.33</v>
      </c>
      <c r="W17" s="266">
        <f t="shared" si="10"/>
        <v>2283.9300000000003</v>
      </c>
      <c r="X17" s="243"/>
      <c r="Y17" s="267">
        <f t="shared" si="11"/>
        <v>0</v>
      </c>
      <c r="Z17" s="268">
        <f t="shared" si="12"/>
        <v>56878.43</v>
      </c>
      <c r="AA17" s="248">
        <v>36.5</v>
      </c>
      <c r="AB17" s="267">
        <f t="shared" si="13"/>
        <v>230315</v>
      </c>
      <c r="AC17" s="241">
        <v>6.5</v>
      </c>
      <c r="AD17" s="267">
        <f t="shared" si="14"/>
        <v>40950</v>
      </c>
      <c r="AE17" s="241">
        <v>0</v>
      </c>
      <c r="AF17" s="267">
        <f t="shared" si="15"/>
        <v>0</v>
      </c>
      <c r="AG17" s="241">
        <v>0.5</v>
      </c>
      <c r="AH17" s="267">
        <f t="shared" si="16"/>
        <v>3155</v>
      </c>
      <c r="AI17" s="241">
        <v>1.5</v>
      </c>
      <c r="AJ17" s="267">
        <f t="shared" si="17"/>
        <v>9465</v>
      </c>
      <c r="AK17" s="241">
        <v>2.25</v>
      </c>
      <c r="AL17" s="267">
        <f t="shared" si="18"/>
        <v>12082.5</v>
      </c>
      <c r="AM17" s="241">
        <v>0</v>
      </c>
      <c r="AN17" s="267">
        <f t="shared" si="19"/>
        <v>0</v>
      </c>
      <c r="AO17" s="241">
        <v>12.8</v>
      </c>
      <c r="AP17" s="271">
        <f t="shared" si="20"/>
        <v>86233.600000000006</v>
      </c>
      <c r="AQ17" s="241">
        <v>3.2</v>
      </c>
      <c r="AR17" s="266">
        <f t="shared" si="21"/>
        <v>20160</v>
      </c>
      <c r="AS17" s="255">
        <v>3</v>
      </c>
      <c r="AT17" s="267">
        <f t="shared" si="22"/>
        <v>39639</v>
      </c>
      <c r="AU17" s="241">
        <v>4.75</v>
      </c>
      <c r="AV17" s="273">
        <f t="shared" si="23"/>
        <v>27345.75</v>
      </c>
      <c r="AW17" s="243"/>
      <c r="AX17" s="95">
        <f t="shared" si="24"/>
        <v>0</v>
      </c>
      <c r="AY17" s="108">
        <f t="shared" si="25"/>
        <v>469345.85</v>
      </c>
      <c r="AZ17" s="169">
        <f t="shared" si="26"/>
        <v>526224.28</v>
      </c>
      <c r="BA17" s="110">
        <f t="shared" si="27"/>
        <v>514020</v>
      </c>
      <c r="BB17" s="263">
        <f t="shared" si="28"/>
        <v>79.08</v>
      </c>
    </row>
    <row r="18" spans="1:65" ht="19.5" thickBot="1" x14ac:dyDescent="0.35">
      <c r="A18" s="633"/>
      <c r="B18" s="617"/>
      <c r="C18" s="134">
        <v>300</v>
      </c>
      <c r="D18" s="75">
        <v>6</v>
      </c>
      <c r="E18" s="83">
        <f t="shared" si="1"/>
        <v>0</v>
      </c>
      <c r="F18" s="75">
        <v>6</v>
      </c>
      <c r="G18" s="83">
        <f t="shared" si="2"/>
        <v>0</v>
      </c>
      <c r="H18" s="75">
        <v>2</v>
      </c>
      <c r="I18" s="83">
        <f t="shared" si="3"/>
        <v>0</v>
      </c>
      <c r="J18" s="216">
        <f t="shared" si="4"/>
        <v>0</v>
      </c>
      <c r="K18" s="315" t="str">
        <f t="shared" si="0"/>
        <v>300CLASE H1.1KV</v>
      </c>
      <c r="L18" s="230">
        <v>0.5</v>
      </c>
      <c r="M18" s="271">
        <f t="shared" si="5"/>
        <v>3539</v>
      </c>
      <c r="N18" s="236">
        <v>0.75</v>
      </c>
      <c r="O18" s="265">
        <f t="shared" si="6"/>
        <v>5308.5</v>
      </c>
      <c r="P18" s="241">
        <v>0.25</v>
      </c>
      <c r="Q18" s="266">
        <f t="shared" si="7"/>
        <v>1337</v>
      </c>
      <c r="R18" s="236">
        <v>6</v>
      </c>
      <c r="S18" s="267">
        <f t="shared" si="8"/>
        <v>43356</v>
      </c>
      <c r="T18" s="236">
        <v>0.5</v>
      </c>
      <c r="U18" s="266">
        <f t="shared" si="9"/>
        <v>2823.5</v>
      </c>
      <c r="V18" s="236">
        <v>0.5</v>
      </c>
      <c r="W18" s="266">
        <f t="shared" si="10"/>
        <v>3460.5</v>
      </c>
      <c r="X18" s="243"/>
      <c r="Y18" s="267">
        <f t="shared" si="11"/>
        <v>0</v>
      </c>
      <c r="Z18" s="268">
        <f t="shared" si="12"/>
        <v>59824.5</v>
      </c>
      <c r="AA18" s="247">
        <v>42.51</v>
      </c>
      <c r="AB18" s="267">
        <f t="shared" si="13"/>
        <v>268238.09999999998</v>
      </c>
      <c r="AC18" s="236">
        <v>7.25</v>
      </c>
      <c r="AD18" s="267">
        <f t="shared" si="14"/>
        <v>45675</v>
      </c>
      <c r="AE18" s="241">
        <v>0</v>
      </c>
      <c r="AF18" s="267">
        <f t="shared" si="15"/>
        <v>0</v>
      </c>
      <c r="AG18" s="241">
        <v>0.5</v>
      </c>
      <c r="AH18" s="267">
        <f t="shared" si="16"/>
        <v>3155</v>
      </c>
      <c r="AI18" s="241">
        <v>1.5</v>
      </c>
      <c r="AJ18" s="267">
        <f t="shared" si="17"/>
        <v>9465</v>
      </c>
      <c r="AK18" s="236">
        <v>2.75</v>
      </c>
      <c r="AL18" s="267">
        <f t="shared" si="18"/>
        <v>14767.5</v>
      </c>
      <c r="AM18" s="236">
        <v>0</v>
      </c>
      <c r="AN18" s="267">
        <f t="shared" si="19"/>
        <v>0</v>
      </c>
      <c r="AO18" s="236">
        <v>13</v>
      </c>
      <c r="AP18" s="271">
        <f t="shared" si="20"/>
        <v>87581</v>
      </c>
      <c r="AQ18" s="241">
        <v>3.4</v>
      </c>
      <c r="AR18" s="266">
        <f t="shared" si="21"/>
        <v>21420</v>
      </c>
      <c r="AS18" s="255">
        <v>3</v>
      </c>
      <c r="AT18" s="267">
        <f t="shared" si="22"/>
        <v>39639</v>
      </c>
      <c r="AU18" s="236">
        <v>4.75</v>
      </c>
      <c r="AV18" s="273">
        <f t="shared" si="23"/>
        <v>27345.75</v>
      </c>
      <c r="AW18" s="243"/>
      <c r="AX18" s="95">
        <f t="shared" si="24"/>
        <v>0</v>
      </c>
      <c r="AY18" s="108">
        <f t="shared" si="25"/>
        <v>517286.35</v>
      </c>
      <c r="AZ18" s="169">
        <f t="shared" si="26"/>
        <v>577110.85</v>
      </c>
      <c r="BA18" s="110">
        <f t="shared" si="27"/>
        <v>566540</v>
      </c>
      <c r="BB18" s="263">
        <f t="shared" si="28"/>
        <v>87.16</v>
      </c>
    </row>
    <row r="19" spans="1:65" ht="19.5" thickBot="1" x14ac:dyDescent="0.35">
      <c r="A19" s="633"/>
      <c r="B19" s="617"/>
      <c r="C19" s="279">
        <v>400</v>
      </c>
      <c r="D19" s="75">
        <v>8</v>
      </c>
      <c r="E19" s="83">
        <f t="shared" si="1"/>
        <v>0</v>
      </c>
      <c r="F19" s="75">
        <v>6</v>
      </c>
      <c r="G19" s="83">
        <f t="shared" si="2"/>
        <v>0</v>
      </c>
      <c r="H19" s="75">
        <v>2</v>
      </c>
      <c r="I19" s="83">
        <f t="shared" si="3"/>
        <v>0</v>
      </c>
      <c r="J19" s="216">
        <f t="shared" si="4"/>
        <v>0</v>
      </c>
      <c r="K19" s="315" t="str">
        <f t="shared" si="0"/>
        <v>400CLASE H1.1KV</v>
      </c>
      <c r="L19" s="230">
        <v>0.5</v>
      </c>
      <c r="M19" s="271">
        <f t="shared" si="5"/>
        <v>3539</v>
      </c>
      <c r="N19" s="236">
        <v>0.75</v>
      </c>
      <c r="O19" s="265">
        <f t="shared" si="6"/>
        <v>5308.5</v>
      </c>
      <c r="P19" s="241">
        <v>0.25</v>
      </c>
      <c r="Q19" s="266">
        <f t="shared" si="7"/>
        <v>1337</v>
      </c>
      <c r="R19" s="236">
        <v>7</v>
      </c>
      <c r="S19" s="267">
        <f t="shared" si="8"/>
        <v>50582</v>
      </c>
      <c r="T19" s="236">
        <v>0.5</v>
      </c>
      <c r="U19" s="266">
        <f t="shared" si="9"/>
        <v>2823.5</v>
      </c>
      <c r="V19" s="236">
        <v>0.5</v>
      </c>
      <c r="W19" s="266">
        <f t="shared" si="10"/>
        <v>3460.5</v>
      </c>
      <c r="X19" s="243"/>
      <c r="Y19" s="267">
        <f t="shared" si="11"/>
        <v>0</v>
      </c>
      <c r="Z19" s="268">
        <f t="shared" si="12"/>
        <v>67050.5</v>
      </c>
      <c r="AA19" s="244">
        <v>53.8</v>
      </c>
      <c r="AB19" s="267">
        <f t="shared" si="13"/>
        <v>339478</v>
      </c>
      <c r="AC19" s="236">
        <v>15</v>
      </c>
      <c r="AD19" s="267">
        <f t="shared" si="14"/>
        <v>94500</v>
      </c>
      <c r="AE19" s="241">
        <v>0</v>
      </c>
      <c r="AF19" s="267">
        <f t="shared" si="15"/>
        <v>0</v>
      </c>
      <c r="AG19" s="241">
        <v>0.5</v>
      </c>
      <c r="AH19" s="267">
        <f t="shared" si="16"/>
        <v>3155</v>
      </c>
      <c r="AI19" s="241">
        <v>1.5</v>
      </c>
      <c r="AJ19" s="267">
        <f t="shared" si="17"/>
        <v>9465</v>
      </c>
      <c r="AK19" s="236">
        <v>4.5199999999999996</v>
      </c>
      <c r="AL19" s="267">
        <f t="shared" si="18"/>
        <v>24272.399999999998</v>
      </c>
      <c r="AM19" s="236">
        <v>0</v>
      </c>
      <c r="AN19" s="267">
        <f t="shared" si="19"/>
        <v>0</v>
      </c>
      <c r="AO19" s="236">
        <v>13.8</v>
      </c>
      <c r="AP19" s="271">
        <f t="shared" si="20"/>
        <v>92970.6</v>
      </c>
      <c r="AQ19" s="241">
        <v>3.4</v>
      </c>
      <c r="AR19" s="266">
        <f t="shared" si="21"/>
        <v>21420</v>
      </c>
      <c r="AS19" s="255">
        <v>3</v>
      </c>
      <c r="AT19" s="267">
        <f t="shared" si="22"/>
        <v>39639</v>
      </c>
      <c r="AU19" s="236">
        <v>5</v>
      </c>
      <c r="AV19" s="273">
        <f t="shared" si="23"/>
        <v>28785</v>
      </c>
      <c r="AW19" s="243"/>
      <c r="AX19" s="95">
        <f t="shared" si="24"/>
        <v>0</v>
      </c>
      <c r="AY19" s="108">
        <f t="shared" si="25"/>
        <v>653685</v>
      </c>
      <c r="AZ19" s="169">
        <f t="shared" si="26"/>
        <v>720735.5</v>
      </c>
      <c r="BA19" s="110">
        <f t="shared" si="27"/>
        <v>715130</v>
      </c>
      <c r="BB19" s="263">
        <f t="shared" si="28"/>
        <v>110.02</v>
      </c>
      <c r="BL19" s="277"/>
    </row>
    <row r="20" spans="1:65" ht="19.5" thickBot="1" x14ac:dyDescent="0.35">
      <c r="A20" s="633"/>
      <c r="B20" s="617"/>
      <c r="C20" s="279">
        <v>500</v>
      </c>
      <c r="D20" s="75">
        <v>8</v>
      </c>
      <c r="E20" s="83">
        <f t="shared" si="1"/>
        <v>0</v>
      </c>
      <c r="F20" s="75">
        <v>6</v>
      </c>
      <c r="G20" s="83">
        <f t="shared" si="2"/>
        <v>0</v>
      </c>
      <c r="H20" s="75">
        <v>2</v>
      </c>
      <c r="I20" s="83">
        <f t="shared" si="3"/>
        <v>0</v>
      </c>
      <c r="J20" s="216">
        <f t="shared" si="4"/>
        <v>0</v>
      </c>
      <c r="K20" s="315" t="str">
        <f t="shared" si="0"/>
        <v>500CLASE H1.1KV</v>
      </c>
      <c r="L20" s="230">
        <v>0.5</v>
      </c>
      <c r="M20" s="271">
        <f t="shared" si="5"/>
        <v>3539</v>
      </c>
      <c r="N20" s="236">
        <v>0.75</v>
      </c>
      <c r="O20" s="265">
        <f t="shared" si="6"/>
        <v>5308.5</v>
      </c>
      <c r="P20" s="241">
        <v>0.25</v>
      </c>
      <c r="Q20" s="266">
        <f t="shared" si="7"/>
        <v>1337</v>
      </c>
      <c r="R20" s="236">
        <v>7</v>
      </c>
      <c r="S20" s="267">
        <f t="shared" si="8"/>
        <v>50582</v>
      </c>
      <c r="T20" s="236">
        <v>0.5</v>
      </c>
      <c r="U20" s="266">
        <f t="shared" si="9"/>
        <v>2823.5</v>
      </c>
      <c r="V20" s="236">
        <v>0.5</v>
      </c>
      <c r="W20" s="266">
        <f t="shared" si="10"/>
        <v>3460.5</v>
      </c>
      <c r="X20" s="243"/>
      <c r="Y20" s="267">
        <f t="shared" si="11"/>
        <v>0</v>
      </c>
      <c r="Z20" s="268">
        <f t="shared" si="12"/>
        <v>67050.5</v>
      </c>
      <c r="AA20" s="244">
        <v>62.12</v>
      </c>
      <c r="AB20" s="267">
        <f t="shared" si="13"/>
        <v>391977.2</v>
      </c>
      <c r="AC20" s="236">
        <v>15</v>
      </c>
      <c r="AD20" s="267">
        <f t="shared" si="14"/>
        <v>94500</v>
      </c>
      <c r="AE20" s="241">
        <v>0</v>
      </c>
      <c r="AF20" s="267">
        <f t="shared" si="15"/>
        <v>0</v>
      </c>
      <c r="AG20" s="241">
        <v>0.5</v>
      </c>
      <c r="AH20" s="267">
        <f t="shared" si="16"/>
        <v>3155</v>
      </c>
      <c r="AI20" s="241">
        <v>1.5</v>
      </c>
      <c r="AJ20" s="267">
        <f t="shared" si="17"/>
        <v>9465</v>
      </c>
      <c r="AK20" s="236">
        <v>4.5199999999999996</v>
      </c>
      <c r="AL20" s="267">
        <f t="shared" si="18"/>
        <v>24272.399999999998</v>
      </c>
      <c r="AM20" s="236">
        <v>0</v>
      </c>
      <c r="AN20" s="267">
        <f t="shared" si="19"/>
        <v>0</v>
      </c>
      <c r="AO20" s="236">
        <v>13.8</v>
      </c>
      <c r="AP20" s="271">
        <f t="shared" si="20"/>
        <v>92970.6</v>
      </c>
      <c r="AQ20" s="241">
        <v>3.4</v>
      </c>
      <c r="AR20" s="266">
        <f t="shared" si="21"/>
        <v>21420</v>
      </c>
      <c r="AS20" s="255">
        <v>3</v>
      </c>
      <c r="AT20" s="267">
        <f t="shared" si="22"/>
        <v>39639</v>
      </c>
      <c r="AU20" s="236">
        <v>5.25</v>
      </c>
      <c r="AV20" s="273">
        <f t="shared" si="23"/>
        <v>30224.25</v>
      </c>
      <c r="AW20" s="243"/>
      <c r="AX20" s="95">
        <f t="shared" si="24"/>
        <v>0</v>
      </c>
      <c r="AY20" s="108">
        <f t="shared" si="25"/>
        <v>707623.45</v>
      </c>
      <c r="AZ20" s="169">
        <f t="shared" si="26"/>
        <v>774673.95</v>
      </c>
      <c r="BA20" s="110">
        <f t="shared" si="27"/>
        <v>770835</v>
      </c>
      <c r="BB20" s="263">
        <f t="shared" si="28"/>
        <v>118.59</v>
      </c>
    </row>
    <row r="21" spans="1:65" ht="19.5" thickBot="1" x14ac:dyDescent="0.35">
      <c r="A21" s="633"/>
      <c r="B21" s="617"/>
      <c r="C21" s="279">
        <v>630</v>
      </c>
      <c r="D21" s="75">
        <v>8</v>
      </c>
      <c r="E21" s="83">
        <f t="shared" si="1"/>
        <v>0</v>
      </c>
      <c r="F21" s="75">
        <v>6</v>
      </c>
      <c r="G21" s="83">
        <f t="shared" si="2"/>
        <v>0</v>
      </c>
      <c r="H21" s="75">
        <v>2</v>
      </c>
      <c r="I21" s="83">
        <f t="shared" si="3"/>
        <v>0</v>
      </c>
      <c r="J21" s="216">
        <f t="shared" si="4"/>
        <v>0</v>
      </c>
      <c r="K21" s="315" t="str">
        <f t="shared" si="0"/>
        <v>630CLASE H1.1KV</v>
      </c>
      <c r="L21" s="230">
        <v>0.5</v>
      </c>
      <c r="M21" s="271">
        <f t="shared" si="5"/>
        <v>3539</v>
      </c>
      <c r="N21" s="236">
        <v>1.25</v>
      </c>
      <c r="O21" s="265">
        <f t="shared" si="6"/>
        <v>8847.5</v>
      </c>
      <c r="P21" s="241">
        <v>0.25</v>
      </c>
      <c r="Q21" s="266">
        <f t="shared" si="7"/>
        <v>1337</v>
      </c>
      <c r="R21" s="236">
        <v>7</v>
      </c>
      <c r="S21" s="267">
        <f t="shared" si="8"/>
        <v>50582</v>
      </c>
      <c r="T21" s="236">
        <v>0.75</v>
      </c>
      <c r="U21" s="266">
        <f t="shared" si="9"/>
        <v>4235.25</v>
      </c>
      <c r="V21" s="236">
        <v>0.75</v>
      </c>
      <c r="W21" s="266">
        <f t="shared" si="10"/>
        <v>5190.75</v>
      </c>
      <c r="X21" s="243"/>
      <c r="Y21" s="267">
        <f t="shared" si="11"/>
        <v>0</v>
      </c>
      <c r="Z21" s="268">
        <f t="shared" si="12"/>
        <v>73731.5</v>
      </c>
      <c r="AA21" s="244">
        <v>70.8</v>
      </c>
      <c r="AB21" s="267">
        <f t="shared" si="13"/>
        <v>446748</v>
      </c>
      <c r="AC21" s="236">
        <v>15.5</v>
      </c>
      <c r="AD21" s="267">
        <f t="shared" si="14"/>
        <v>97650</v>
      </c>
      <c r="AE21" s="241">
        <v>0</v>
      </c>
      <c r="AF21" s="267">
        <f t="shared" si="15"/>
        <v>0</v>
      </c>
      <c r="AG21" s="241">
        <v>0.5</v>
      </c>
      <c r="AH21" s="267">
        <f t="shared" si="16"/>
        <v>3155</v>
      </c>
      <c r="AI21" s="241">
        <v>1.5</v>
      </c>
      <c r="AJ21" s="267">
        <f t="shared" si="17"/>
        <v>9465</v>
      </c>
      <c r="AK21" s="236">
        <v>5.25</v>
      </c>
      <c r="AL21" s="267">
        <f t="shared" si="18"/>
        <v>28192.5</v>
      </c>
      <c r="AM21" s="236">
        <v>0</v>
      </c>
      <c r="AN21" s="267">
        <f t="shared" si="19"/>
        <v>0</v>
      </c>
      <c r="AO21" s="236">
        <v>14.5</v>
      </c>
      <c r="AP21" s="271">
        <f t="shared" si="20"/>
        <v>97686.5</v>
      </c>
      <c r="AQ21" s="241">
        <v>4</v>
      </c>
      <c r="AR21" s="266">
        <f t="shared" si="21"/>
        <v>25200</v>
      </c>
      <c r="AS21" s="255">
        <v>3</v>
      </c>
      <c r="AT21" s="267">
        <f t="shared" si="22"/>
        <v>39639</v>
      </c>
      <c r="AU21" s="236">
        <v>5.25</v>
      </c>
      <c r="AV21" s="273">
        <f t="shared" si="23"/>
        <v>30224.25</v>
      </c>
      <c r="AW21" s="243"/>
      <c r="AX21" s="95">
        <f t="shared" si="24"/>
        <v>0</v>
      </c>
      <c r="AY21" s="108">
        <f t="shared" si="25"/>
        <v>777960.25</v>
      </c>
      <c r="AZ21" s="169">
        <f t="shared" si="26"/>
        <v>851691.75</v>
      </c>
      <c r="BA21" s="110">
        <f t="shared" si="27"/>
        <v>850200.00000000012</v>
      </c>
      <c r="BB21" s="263">
        <f t="shared" si="28"/>
        <v>130.80000000000001</v>
      </c>
      <c r="BK21" s="277">
        <v>42957.610706018517</v>
      </c>
      <c r="BL21" s="276" t="s">
        <v>167</v>
      </c>
    </row>
    <row r="22" spans="1:65" ht="19.5" thickBot="1" x14ac:dyDescent="0.35">
      <c r="A22" s="633"/>
      <c r="B22" s="617"/>
      <c r="C22" s="134">
        <v>800</v>
      </c>
      <c r="D22" s="75">
        <v>8</v>
      </c>
      <c r="E22" s="83">
        <f t="shared" si="1"/>
        <v>0</v>
      </c>
      <c r="F22" s="75">
        <v>8</v>
      </c>
      <c r="G22" s="83">
        <f t="shared" si="2"/>
        <v>0</v>
      </c>
      <c r="H22" s="75">
        <v>4</v>
      </c>
      <c r="I22" s="83">
        <f t="shared" si="3"/>
        <v>0</v>
      </c>
      <c r="J22" s="216">
        <f t="shared" si="4"/>
        <v>0</v>
      </c>
      <c r="K22" s="315" t="str">
        <f t="shared" si="0"/>
        <v>800CLASE H1.1KV</v>
      </c>
      <c r="L22" s="230">
        <v>0.5</v>
      </c>
      <c r="M22" s="271">
        <f t="shared" si="5"/>
        <v>3539</v>
      </c>
      <c r="N22" s="236">
        <v>1.25</v>
      </c>
      <c r="O22" s="265">
        <f t="shared" si="6"/>
        <v>8847.5</v>
      </c>
      <c r="P22" s="241">
        <v>0.3</v>
      </c>
      <c r="Q22" s="266">
        <f t="shared" si="7"/>
        <v>1604.3999999999999</v>
      </c>
      <c r="R22" s="236">
        <v>7</v>
      </c>
      <c r="S22" s="267">
        <f t="shared" si="8"/>
        <v>50582</v>
      </c>
      <c r="T22" s="236">
        <v>0.75</v>
      </c>
      <c r="U22" s="266">
        <f t="shared" si="9"/>
        <v>4235.25</v>
      </c>
      <c r="V22" s="236">
        <v>0.75</v>
      </c>
      <c r="W22" s="266">
        <f t="shared" si="10"/>
        <v>5190.75</v>
      </c>
      <c r="X22" s="243"/>
      <c r="Y22" s="267">
        <f t="shared" si="11"/>
        <v>0</v>
      </c>
      <c r="Z22" s="268">
        <f t="shared" si="12"/>
        <v>73998.899999999994</v>
      </c>
      <c r="AA22" s="244">
        <v>95.5</v>
      </c>
      <c r="AB22" s="267">
        <f t="shared" si="13"/>
        <v>602605</v>
      </c>
      <c r="AC22" s="236">
        <v>15.5</v>
      </c>
      <c r="AD22" s="267">
        <f t="shared" si="14"/>
        <v>97650</v>
      </c>
      <c r="AE22" s="241">
        <v>0</v>
      </c>
      <c r="AF22" s="267">
        <f t="shared" si="15"/>
        <v>0</v>
      </c>
      <c r="AG22" s="241">
        <v>0.5</v>
      </c>
      <c r="AH22" s="267">
        <f t="shared" si="16"/>
        <v>3155</v>
      </c>
      <c r="AI22" s="241">
        <v>1.5</v>
      </c>
      <c r="AJ22" s="267">
        <f t="shared" si="17"/>
        <v>9465</v>
      </c>
      <c r="AK22" s="236">
        <v>47.65</v>
      </c>
      <c r="AL22" s="267">
        <f t="shared" si="18"/>
        <v>255880.5</v>
      </c>
      <c r="AM22" s="236">
        <v>31</v>
      </c>
      <c r="AN22" s="267">
        <f t="shared" si="19"/>
        <v>166470</v>
      </c>
      <c r="AO22" s="236">
        <v>16</v>
      </c>
      <c r="AP22" s="271">
        <f t="shared" si="20"/>
        <v>107792</v>
      </c>
      <c r="AQ22" s="241">
        <v>5</v>
      </c>
      <c r="AR22" s="266">
        <f t="shared" si="21"/>
        <v>31500</v>
      </c>
      <c r="AS22" s="255">
        <v>3</v>
      </c>
      <c r="AT22" s="267">
        <f t="shared" si="22"/>
        <v>39639</v>
      </c>
      <c r="AU22" s="236">
        <v>5.75</v>
      </c>
      <c r="AV22" s="273">
        <f t="shared" si="23"/>
        <v>33102.75</v>
      </c>
      <c r="AW22" s="243"/>
      <c r="AX22" s="95">
        <f t="shared" si="24"/>
        <v>0</v>
      </c>
      <c r="AY22" s="108">
        <f t="shared" si="25"/>
        <v>1347259.25</v>
      </c>
      <c r="AZ22" s="169">
        <f t="shared" si="26"/>
        <v>1421258.15</v>
      </c>
      <c r="BA22" s="110">
        <f t="shared" si="27"/>
        <v>1507675</v>
      </c>
      <c r="BB22" s="263">
        <f t="shared" si="28"/>
        <v>231.95</v>
      </c>
    </row>
    <row r="23" spans="1:65" ht="19.5" thickBot="1" x14ac:dyDescent="0.35">
      <c r="A23" s="633"/>
      <c r="B23" s="617"/>
      <c r="C23" s="134">
        <v>1000</v>
      </c>
      <c r="D23" s="75">
        <v>12</v>
      </c>
      <c r="E23" s="83">
        <f t="shared" si="1"/>
        <v>0</v>
      </c>
      <c r="F23" s="75">
        <v>8</v>
      </c>
      <c r="G23" s="83">
        <f t="shared" si="2"/>
        <v>0</v>
      </c>
      <c r="H23" s="75">
        <v>4</v>
      </c>
      <c r="I23" s="83">
        <f t="shared" si="3"/>
        <v>0</v>
      </c>
      <c r="J23" s="216">
        <f t="shared" si="4"/>
        <v>0</v>
      </c>
      <c r="K23" s="315" t="str">
        <f t="shared" si="0"/>
        <v>1000CLASE H1.1KV</v>
      </c>
      <c r="L23" s="230">
        <v>0.5</v>
      </c>
      <c r="M23" s="271">
        <f t="shared" si="5"/>
        <v>3539</v>
      </c>
      <c r="N23" s="236">
        <v>1.5</v>
      </c>
      <c r="O23" s="265">
        <f t="shared" si="6"/>
        <v>10617</v>
      </c>
      <c r="P23" s="241">
        <v>0.3</v>
      </c>
      <c r="Q23" s="266">
        <f t="shared" si="7"/>
        <v>1604.3999999999999</v>
      </c>
      <c r="R23" s="236">
        <v>7</v>
      </c>
      <c r="S23" s="267">
        <f t="shared" si="8"/>
        <v>50582</v>
      </c>
      <c r="T23" s="236">
        <v>0.75</v>
      </c>
      <c r="U23" s="266">
        <f t="shared" si="9"/>
        <v>4235.25</v>
      </c>
      <c r="V23" s="236">
        <v>0.75</v>
      </c>
      <c r="W23" s="266">
        <f t="shared" si="10"/>
        <v>5190.75</v>
      </c>
      <c r="X23" s="243"/>
      <c r="Y23" s="267">
        <f t="shared" si="11"/>
        <v>0</v>
      </c>
      <c r="Z23" s="268">
        <f t="shared" si="12"/>
        <v>75768.399999999994</v>
      </c>
      <c r="AA23" s="244">
        <v>105.8</v>
      </c>
      <c r="AB23" s="267">
        <f t="shared" si="13"/>
        <v>667598</v>
      </c>
      <c r="AC23" s="236">
        <v>15.5</v>
      </c>
      <c r="AD23" s="267">
        <f t="shared" si="14"/>
        <v>97650</v>
      </c>
      <c r="AE23" s="241">
        <v>0</v>
      </c>
      <c r="AF23" s="267">
        <f t="shared" si="15"/>
        <v>0</v>
      </c>
      <c r="AG23" s="241">
        <v>0.5</v>
      </c>
      <c r="AH23" s="267">
        <f t="shared" si="16"/>
        <v>3155</v>
      </c>
      <c r="AI23" s="236">
        <v>2</v>
      </c>
      <c r="AJ23" s="267">
        <f t="shared" si="17"/>
        <v>12620</v>
      </c>
      <c r="AK23" s="236">
        <v>53.55</v>
      </c>
      <c r="AL23" s="267">
        <f t="shared" si="18"/>
        <v>287563.5</v>
      </c>
      <c r="AM23" s="236">
        <v>35.5</v>
      </c>
      <c r="AN23" s="267">
        <f t="shared" si="19"/>
        <v>190635</v>
      </c>
      <c r="AO23" s="236">
        <v>17.75</v>
      </c>
      <c r="AP23" s="271">
        <f t="shared" si="20"/>
        <v>119581.75</v>
      </c>
      <c r="AQ23" s="241">
        <v>5.25</v>
      </c>
      <c r="AR23" s="266">
        <f t="shared" si="21"/>
        <v>33075</v>
      </c>
      <c r="AS23" s="255">
        <v>3</v>
      </c>
      <c r="AT23" s="267">
        <f t="shared" si="22"/>
        <v>39639</v>
      </c>
      <c r="AU23" s="236">
        <v>6.25</v>
      </c>
      <c r="AV23" s="273">
        <f t="shared" si="23"/>
        <v>35981.25</v>
      </c>
      <c r="AW23" s="243"/>
      <c r="AX23" s="95">
        <f t="shared" si="24"/>
        <v>0</v>
      </c>
      <c r="AY23" s="108">
        <f t="shared" si="25"/>
        <v>1487498.5</v>
      </c>
      <c r="AZ23" s="169">
        <f t="shared" si="26"/>
        <v>1563266.9</v>
      </c>
      <c r="BA23" s="110">
        <f t="shared" si="27"/>
        <v>1663349.9999999998</v>
      </c>
      <c r="BB23" s="263">
        <f t="shared" si="28"/>
        <v>255.89999999999998</v>
      </c>
    </row>
    <row r="24" spans="1:65" ht="19.5" thickBot="1" x14ac:dyDescent="0.35">
      <c r="A24" s="633"/>
      <c r="B24" s="617"/>
      <c r="C24" s="134">
        <v>1250</v>
      </c>
      <c r="D24" s="75">
        <v>12</v>
      </c>
      <c r="E24" s="83">
        <f t="shared" si="1"/>
        <v>0</v>
      </c>
      <c r="F24" s="75">
        <v>8</v>
      </c>
      <c r="G24" s="83">
        <f t="shared" si="2"/>
        <v>0</v>
      </c>
      <c r="H24" s="75">
        <v>4</v>
      </c>
      <c r="I24" s="83">
        <f t="shared" si="3"/>
        <v>0</v>
      </c>
      <c r="J24" s="216">
        <f t="shared" si="4"/>
        <v>0</v>
      </c>
      <c r="K24" s="315" t="str">
        <f t="shared" si="0"/>
        <v>1250CLASE H1.1KV</v>
      </c>
      <c r="L24" s="230">
        <v>0.5</v>
      </c>
      <c r="M24" s="271">
        <f t="shared" si="5"/>
        <v>3539</v>
      </c>
      <c r="N24" s="236">
        <v>1.5</v>
      </c>
      <c r="O24" s="265">
        <f t="shared" si="6"/>
        <v>10617</v>
      </c>
      <c r="P24" s="241">
        <v>0.3</v>
      </c>
      <c r="Q24" s="266">
        <f t="shared" si="7"/>
        <v>1604.3999999999999</v>
      </c>
      <c r="R24" s="236">
        <v>7</v>
      </c>
      <c r="S24" s="267">
        <f t="shared" si="8"/>
        <v>50582</v>
      </c>
      <c r="T24" s="236">
        <v>0.75</v>
      </c>
      <c r="U24" s="266">
        <f t="shared" si="9"/>
        <v>4235.25</v>
      </c>
      <c r="V24" s="236">
        <v>0.75</v>
      </c>
      <c r="W24" s="266">
        <f t="shared" si="10"/>
        <v>5190.75</v>
      </c>
      <c r="X24" s="243"/>
      <c r="Y24" s="267">
        <f t="shared" si="11"/>
        <v>0</v>
      </c>
      <c r="Z24" s="268">
        <f t="shared" si="12"/>
        <v>75768.399999999994</v>
      </c>
      <c r="AA24" s="244">
        <v>135.44999999999999</v>
      </c>
      <c r="AB24" s="267">
        <f t="shared" si="13"/>
        <v>854689.49999999988</v>
      </c>
      <c r="AC24" s="236">
        <v>16.5</v>
      </c>
      <c r="AD24" s="267">
        <f t="shared" si="14"/>
        <v>103950</v>
      </c>
      <c r="AE24" s="241">
        <v>0</v>
      </c>
      <c r="AF24" s="267">
        <f t="shared" si="15"/>
        <v>0</v>
      </c>
      <c r="AG24" s="241">
        <v>0.5</v>
      </c>
      <c r="AH24" s="267">
        <f t="shared" si="16"/>
        <v>3155</v>
      </c>
      <c r="AI24" s="236">
        <v>2</v>
      </c>
      <c r="AJ24" s="267">
        <f t="shared" si="17"/>
        <v>12620</v>
      </c>
      <c r="AK24" s="236">
        <v>59.5</v>
      </c>
      <c r="AL24" s="267">
        <f t="shared" si="18"/>
        <v>319515</v>
      </c>
      <c r="AM24" s="236">
        <v>38.75</v>
      </c>
      <c r="AN24" s="267">
        <f t="shared" si="19"/>
        <v>208087.5</v>
      </c>
      <c r="AO24" s="236">
        <v>17.75</v>
      </c>
      <c r="AP24" s="271">
        <f t="shared" si="20"/>
        <v>119581.75</v>
      </c>
      <c r="AQ24" s="241">
        <v>5.25</v>
      </c>
      <c r="AR24" s="266">
        <f t="shared" si="21"/>
        <v>33075</v>
      </c>
      <c r="AS24" s="255">
        <v>3.25</v>
      </c>
      <c r="AT24" s="267">
        <f t="shared" si="22"/>
        <v>42942.25</v>
      </c>
      <c r="AU24" s="236">
        <v>6.75</v>
      </c>
      <c r="AV24" s="273">
        <f t="shared" si="23"/>
        <v>38859.75</v>
      </c>
      <c r="AW24" s="243"/>
      <c r="AX24" s="95">
        <f t="shared" si="24"/>
        <v>0</v>
      </c>
      <c r="AY24" s="108">
        <f t="shared" si="25"/>
        <v>1736475.75</v>
      </c>
      <c r="AZ24" s="169">
        <f t="shared" si="26"/>
        <v>1812244.15</v>
      </c>
      <c r="BA24" s="110">
        <f t="shared" si="27"/>
        <v>1927250</v>
      </c>
      <c r="BB24" s="263">
        <f t="shared" si="28"/>
        <v>296.5</v>
      </c>
    </row>
    <row r="25" spans="1:65" ht="19.5" thickBot="1" x14ac:dyDescent="0.35">
      <c r="A25" s="633"/>
      <c r="B25" s="618"/>
      <c r="C25" s="162">
        <v>1600</v>
      </c>
      <c r="D25" s="163">
        <v>16</v>
      </c>
      <c r="E25" s="156">
        <f t="shared" si="1"/>
        <v>0</v>
      </c>
      <c r="F25" s="163">
        <v>8</v>
      </c>
      <c r="G25" s="156">
        <f t="shared" si="2"/>
        <v>0</v>
      </c>
      <c r="H25" s="163">
        <v>4</v>
      </c>
      <c r="I25" s="156">
        <f t="shared" si="3"/>
        <v>0</v>
      </c>
      <c r="J25" s="217">
        <f t="shared" si="4"/>
        <v>0</v>
      </c>
      <c r="K25" s="315" t="str">
        <f t="shared" si="0"/>
        <v>1600CLASE H1.1KV</v>
      </c>
      <c r="L25" s="229">
        <v>0.5</v>
      </c>
      <c r="M25" s="271">
        <f t="shared" si="5"/>
        <v>3539</v>
      </c>
      <c r="N25" s="237">
        <v>1.5</v>
      </c>
      <c r="O25" s="265">
        <f t="shared" si="6"/>
        <v>10617</v>
      </c>
      <c r="P25" s="237">
        <v>0.3</v>
      </c>
      <c r="Q25" s="266">
        <f t="shared" si="7"/>
        <v>1604.3999999999999</v>
      </c>
      <c r="R25" s="237">
        <v>7</v>
      </c>
      <c r="S25" s="267">
        <f t="shared" si="8"/>
        <v>50582</v>
      </c>
      <c r="T25" s="237">
        <v>0.75</v>
      </c>
      <c r="U25" s="266">
        <f t="shared" si="9"/>
        <v>4235.25</v>
      </c>
      <c r="V25" s="237">
        <v>0.75</v>
      </c>
      <c r="W25" s="266">
        <f t="shared" si="10"/>
        <v>5190.75</v>
      </c>
      <c r="X25" s="243"/>
      <c r="Y25" s="267">
        <f t="shared" si="11"/>
        <v>0</v>
      </c>
      <c r="Z25" s="268">
        <f t="shared" si="12"/>
        <v>75768.399999999994</v>
      </c>
      <c r="AA25" s="246">
        <v>150.75</v>
      </c>
      <c r="AB25" s="267">
        <f t="shared" si="13"/>
        <v>951232.5</v>
      </c>
      <c r="AC25" s="250">
        <v>16.5</v>
      </c>
      <c r="AD25" s="267">
        <f t="shared" si="14"/>
        <v>103950</v>
      </c>
      <c r="AE25" s="251">
        <v>0</v>
      </c>
      <c r="AF25" s="267">
        <f t="shared" si="15"/>
        <v>0</v>
      </c>
      <c r="AG25" s="251">
        <v>0.5</v>
      </c>
      <c r="AH25" s="267">
        <f t="shared" si="16"/>
        <v>3155</v>
      </c>
      <c r="AI25" s="250">
        <v>2</v>
      </c>
      <c r="AJ25" s="267">
        <f t="shared" si="17"/>
        <v>12620</v>
      </c>
      <c r="AK25" s="250">
        <v>62.5</v>
      </c>
      <c r="AL25" s="267">
        <f t="shared" si="18"/>
        <v>335625</v>
      </c>
      <c r="AM25" s="250">
        <v>40.5</v>
      </c>
      <c r="AN25" s="267">
        <f t="shared" si="19"/>
        <v>217485</v>
      </c>
      <c r="AO25" s="250">
        <v>18</v>
      </c>
      <c r="AP25" s="271">
        <f t="shared" si="20"/>
        <v>121266</v>
      </c>
      <c r="AQ25" s="261">
        <v>6</v>
      </c>
      <c r="AR25" s="266">
        <f t="shared" si="21"/>
        <v>37800</v>
      </c>
      <c r="AS25" s="251">
        <v>3.25</v>
      </c>
      <c r="AT25" s="267">
        <f t="shared" si="22"/>
        <v>42942.25</v>
      </c>
      <c r="AU25" s="251">
        <v>7.3</v>
      </c>
      <c r="AV25" s="273">
        <f t="shared" si="23"/>
        <v>42026.1</v>
      </c>
      <c r="AW25" s="243"/>
      <c r="AX25" s="95">
        <f t="shared" si="24"/>
        <v>0</v>
      </c>
      <c r="AY25" s="178">
        <f t="shared" si="25"/>
        <v>1868101.85</v>
      </c>
      <c r="AZ25" s="166">
        <f t="shared" si="26"/>
        <v>1943870.25</v>
      </c>
      <c r="BA25" s="167">
        <f t="shared" si="27"/>
        <v>2067650.0000000002</v>
      </c>
      <c r="BB25" s="263">
        <f t="shared" si="28"/>
        <v>318.10000000000002</v>
      </c>
    </row>
    <row r="26" spans="1:65" s="26" customFormat="1" ht="20.25" thickTop="1" thickBot="1" x14ac:dyDescent="0.35">
      <c r="A26" s="633" t="s">
        <v>21</v>
      </c>
      <c r="B26" s="635" t="s">
        <v>54</v>
      </c>
      <c r="C26" s="157">
        <v>30</v>
      </c>
      <c r="D26" s="153">
        <v>4</v>
      </c>
      <c r="E26" s="83">
        <f t="shared" si="1"/>
        <v>0</v>
      </c>
      <c r="F26" s="153">
        <v>4</v>
      </c>
      <c r="G26" s="83">
        <f t="shared" si="2"/>
        <v>0</v>
      </c>
      <c r="H26" s="153">
        <v>2</v>
      </c>
      <c r="I26" s="83">
        <f t="shared" si="3"/>
        <v>0</v>
      </c>
      <c r="J26" s="216">
        <f t="shared" ref="J26:J27" si="62">D26*E26+F26*G26+H26*I26</f>
        <v>0</v>
      </c>
      <c r="K26" s="315" t="str">
        <f t="shared" ref="K26:K41" si="63">C26&amp;$B$26&amp;$A$26</f>
        <v>30CLASE H15KV</v>
      </c>
      <c r="L26" s="231">
        <v>1.5</v>
      </c>
      <c r="M26" s="271">
        <f t="shared" ref="M26:M27" si="64">$M$5*L26</f>
        <v>10617</v>
      </c>
      <c r="N26" s="238">
        <v>0.65</v>
      </c>
      <c r="O26" s="265">
        <f t="shared" ref="O26:O27" si="65">+$O$5*N26</f>
        <v>4600.7</v>
      </c>
      <c r="P26" s="239">
        <v>0.4</v>
      </c>
      <c r="Q26" s="266">
        <f t="shared" ref="Q26:Q27" si="66">+$Q$5*P26</f>
        <v>2139.2000000000003</v>
      </c>
      <c r="R26" s="239">
        <v>6.45</v>
      </c>
      <c r="S26" s="267">
        <f t="shared" ref="S26:S27" si="67">+$S$5*R26</f>
        <v>46607.700000000004</v>
      </c>
      <c r="T26" s="242">
        <v>0.25</v>
      </c>
      <c r="U26" s="266">
        <f t="shared" ref="U26:U27" si="68">+$U$5*T26</f>
        <v>1411.75</v>
      </c>
      <c r="V26" s="242">
        <v>0.75</v>
      </c>
      <c r="W26" s="266">
        <f t="shared" ref="W26:W27" si="69">+$W$5*V26</f>
        <v>5190.75</v>
      </c>
      <c r="X26" s="243"/>
      <c r="Y26" s="267">
        <f t="shared" ref="Y26:Y27" si="70">+$Y$5*X26</f>
        <v>0</v>
      </c>
      <c r="Z26" s="268">
        <f t="shared" ref="Z26:Z27" si="71">+M26+O26+Q26+S26+U26+W26+Y26</f>
        <v>70567.100000000006</v>
      </c>
      <c r="AA26" s="275">
        <v>22.5</v>
      </c>
      <c r="AB26" s="267">
        <f t="shared" ref="AB26:AB27" si="72">+$AB$5*AA26</f>
        <v>141975</v>
      </c>
      <c r="AC26" s="262">
        <v>4.25</v>
      </c>
      <c r="AD26" s="267">
        <f t="shared" ref="AD26:AD27" si="73">$AD$5*AC26</f>
        <v>26775</v>
      </c>
      <c r="AE26" s="238">
        <v>6.45</v>
      </c>
      <c r="AF26" s="267">
        <f t="shared" ref="AF26:AF27" si="74">$AF$5*AE26</f>
        <v>40635</v>
      </c>
      <c r="AG26" s="257">
        <v>0.25</v>
      </c>
      <c r="AH26" s="267">
        <f t="shared" ref="AH26:AH27" si="75">$AH$5*AG26</f>
        <v>1577.5</v>
      </c>
      <c r="AI26" s="262">
        <v>1.25</v>
      </c>
      <c r="AJ26" s="267">
        <f t="shared" ref="AJ26:AJ27" si="76">$AJ$5*AI26</f>
        <v>7887.5</v>
      </c>
      <c r="AK26" s="262">
        <v>24.25</v>
      </c>
      <c r="AL26" s="267">
        <f t="shared" ref="AL26:AL27" si="77">$AL$5*AK26</f>
        <v>130222.5</v>
      </c>
      <c r="AM26" s="262">
        <v>15.25</v>
      </c>
      <c r="AN26" s="267">
        <f t="shared" ref="AN26:AN27" si="78">$AN$5*AM26</f>
        <v>81892.5</v>
      </c>
      <c r="AO26" s="262">
        <v>14.75</v>
      </c>
      <c r="AP26" s="271">
        <f t="shared" ref="AP26:AP27" si="79">$AP$5*AO26</f>
        <v>99370.75</v>
      </c>
      <c r="AQ26" s="256">
        <v>5.45</v>
      </c>
      <c r="AR26" s="266">
        <f t="shared" ref="AR26:AR27" si="80" xml:space="preserve"> $AR$5*AQ26</f>
        <v>34335</v>
      </c>
      <c r="AS26" s="262">
        <v>2.5</v>
      </c>
      <c r="AT26" s="267">
        <f t="shared" ref="AT26:AT27" si="81">$AT$5*AS26</f>
        <v>33032.5</v>
      </c>
      <c r="AU26" s="236">
        <v>3</v>
      </c>
      <c r="AV26" s="273">
        <f t="shared" ref="AV26:AV27" si="82">$AV$5*AU26</f>
        <v>17271</v>
      </c>
      <c r="AW26" s="243"/>
      <c r="AX26" s="95">
        <f t="shared" ref="AX26:AX27" si="83">+AW26*$AX$5</f>
        <v>0</v>
      </c>
      <c r="AY26" s="179">
        <f t="shared" ref="AY26:AY27" si="84">AV26+AB26+AD26+AF26+AH26+AJ26+AL26+AN26+AP26+AR26+AT26+AX26</f>
        <v>614974.25</v>
      </c>
      <c r="AZ26" s="164">
        <f t="shared" si="26"/>
        <v>685541.35</v>
      </c>
      <c r="BA26" s="165">
        <f t="shared" ref="BA26:BA27" si="85">+BB26*$BA$1</f>
        <v>714350</v>
      </c>
      <c r="BB26" s="263">
        <f t="shared" ref="BB26:BB27" si="86">+L26+N26+P26+R26+T26+V26+X26+AA26+AC26+AE26+AG26+AI26+AK26+AM26+AO26+AQ26+AS26+AU26+AW26</f>
        <v>109.9</v>
      </c>
      <c r="BI26" s="116"/>
      <c r="BK26" s="277">
        <v>42880.648680555554</v>
      </c>
      <c r="BL26" s="276" t="s">
        <v>167</v>
      </c>
      <c r="BM26" s="276"/>
    </row>
    <row r="27" spans="1:65" s="26" customFormat="1" ht="19.5" thickBot="1" x14ac:dyDescent="0.35">
      <c r="A27" s="633"/>
      <c r="B27" s="636"/>
      <c r="C27" s="86">
        <v>45</v>
      </c>
      <c r="D27" s="74">
        <v>4</v>
      </c>
      <c r="E27" s="83">
        <f t="shared" si="1"/>
        <v>0</v>
      </c>
      <c r="F27" s="74">
        <v>4</v>
      </c>
      <c r="G27" s="83">
        <f t="shared" si="2"/>
        <v>0</v>
      </c>
      <c r="H27" s="74">
        <v>2</v>
      </c>
      <c r="I27" s="83">
        <f t="shared" si="3"/>
        <v>0</v>
      </c>
      <c r="J27" s="218">
        <f t="shared" si="62"/>
        <v>0</v>
      </c>
      <c r="K27" s="315" t="str">
        <f t="shared" si="63"/>
        <v>45CLASE H15KV</v>
      </c>
      <c r="L27" s="232">
        <v>1.5</v>
      </c>
      <c r="M27" s="271">
        <f t="shared" si="64"/>
        <v>10617</v>
      </c>
      <c r="N27" s="236">
        <v>0.75</v>
      </c>
      <c r="O27" s="265">
        <f t="shared" si="65"/>
        <v>5308.5</v>
      </c>
      <c r="P27" s="236">
        <v>0.4</v>
      </c>
      <c r="Q27" s="266">
        <f t="shared" si="66"/>
        <v>2139.2000000000003</v>
      </c>
      <c r="R27" s="236">
        <v>6.78</v>
      </c>
      <c r="S27" s="267">
        <f t="shared" si="67"/>
        <v>48992.28</v>
      </c>
      <c r="T27" s="236">
        <v>0.25</v>
      </c>
      <c r="U27" s="266">
        <f t="shared" si="68"/>
        <v>1411.75</v>
      </c>
      <c r="V27" s="236">
        <v>0.75</v>
      </c>
      <c r="W27" s="266">
        <f t="shared" si="69"/>
        <v>5190.75</v>
      </c>
      <c r="X27" s="243"/>
      <c r="Y27" s="267">
        <f t="shared" si="70"/>
        <v>0</v>
      </c>
      <c r="Z27" s="268">
        <f t="shared" si="71"/>
        <v>73659.48</v>
      </c>
      <c r="AA27" s="244">
        <v>22.75</v>
      </c>
      <c r="AB27" s="267">
        <f t="shared" si="72"/>
        <v>143552.5</v>
      </c>
      <c r="AC27" s="236">
        <v>4.5</v>
      </c>
      <c r="AD27" s="267">
        <f t="shared" si="73"/>
        <v>28350</v>
      </c>
      <c r="AE27" s="236">
        <v>7.25</v>
      </c>
      <c r="AF27" s="267">
        <f t="shared" si="74"/>
        <v>45675</v>
      </c>
      <c r="AG27" s="241">
        <v>0.25</v>
      </c>
      <c r="AH27" s="267">
        <f t="shared" si="75"/>
        <v>1577.5</v>
      </c>
      <c r="AI27" s="236">
        <v>1.25</v>
      </c>
      <c r="AJ27" s="267">
        <f t="shared" si="76"/>
        <v>7887.5</v>
      </c>
      <c r="AK27" s="236">
        <v>24.56</v>
      </c>
      <c r="AL27" s="267">
        <f t="shared" si="77"/>
        <v>131887.19999999998</v>
      </c>
      <c r="AM27" s="236">
        <v>15.75</v>
      </c>
      <c r="AN27" s="267">
        <f t="shared" si="78"/>
        <v>84577.5</v>
      </c>
      <c r="AO27" s="236">
        <v>14.25</v>
      </c>
      <c r="AP27" s="271">
        <f t="shared" si="79"/>
        <v>96002.25</v>
      </c>
      <c r="AQ27" s="256">
        <v>6.15</v>
      </c>
      <c r="AR27" s="266">
        <f t="shared" si="80"/>
        <v>38745</v>
      </c>
      <c r="AS27" s="256">
        <v>2.5</v>
      </c>
      <c r="AT27" s="267">
        <f t="shared" si="81"/>
        <v>33032.5</v>
      </c>
      <c r="AU27" s="236">
        <v>3</v>
      </c>
      <c r="AV27" s="273">
        <f t="shared" si="82"/>
        <v>17271</v>
      </c>
      <c r="AW27" s="243"/>
      <c r="AX27" s="95">
        <f t="shared" si="83"/>
        <v>0</v>
      </c>
      <c r="AY27" s="108">
        <f t="shared" si="84"/>
        <v>628557.94999999995</v>
      </c>
      <c r="AZ27" s="169">
        <f t="shared" si="26"/>
        <v>702217.42999999993</v>
      </c>
      <c r="BA27" s="110">
        <f t="shared" si="85"/>
        <v>732160</v>
      </c>
      <c r="BB27" s="263">
        <f t="shared" si="86"/>
        <v>112.64</v>
      </c>
      <c r="BI27" s="116"/>
      <c r="BK27" s="277">
        <v>42880.649629629632</v>
      </c>
      <c r="BL27" s="276" t="s">
        <v>167</v>
      </c>
      <c r="BM27" s="276"/>
    </row>
    <row r="28" spans="1:65" ht="20.25" thickTop="1" thickBot="1" x14ac:dyDescent="0.35">
      <c r="A28" s="633"/>
      <c r="B28" s="636"/>
      <c r="C28" s="157">
        <v>75</v>
      </c>
      <c r="D28" s="153">
        <v>4</v>
      </c>
      <c r="E28" s="83">
        <f t="shared" si="1"/>
        <v>0</v>
      </c>
      <c r="F28" s="153">
        <v>4</v>
      </c>
      <c r="G28" s="83">
        <f t="shared" si="2"/>
        <v>0</v>
      </c>
      <c r="H28" s="153">
        <v>2</v>
      </c>
      <c r="I28" s="83">
        <f t="shared" si="3"/>
        <v>0</v>
      </c>
      <c r="J28" s="216">
        <f t="shared" si="4"/>
        <v>0</v>
      </c>
      <c r="K28" s="315" t="str">
        <f t="shared" si="63"/>
        <v>75CLASE H15KV</v>
      </c>
      <c r="L28" s="231">
        <v>1.5</v>
      </c>
      <c r="M28" s="271">
        <f t="shared" si="5"/>
        <v>10617</v>
      </c>
      <c r="N28" s="238">
        <v>0.75</v>
      </c>
      <c r="O28" s="265">
        <f t="shared" si="6"/>
        <v>5308.5</v>
      </c>
      <c r="P28" s="239">
        <v>0.4</v>
      </c>
      <c r="Q28" s="266">
        <f t="shared" si="7"/>
        <v>2139.2000000000003</v>
      </c>
      <c r="R28" s="239">
        <v>7</v>
      </c>
      <c r="S28" s="267">
        <f t="shared" si="8"/>
        <v>50582</v>
      </c>
      <c r="T28" s="242">
        <v>0.25</v>
      </c>
      <c r="U28" s="266">
        <f t="shared" si="9"/>
        <v>1411.75</v>
      </c>
      <c r="V28" s="242">
        <v>0.84</v>
      </c>
      <c r="W28" s="266">
        <f t="shared" si="10"/>
        <v>5813.6399999999994</v>
      </c>
      <c r="X28" s="243"/>
      <c r="Y28" s="267">
        <f t="shared" si="11"/>
        <v>0</v>
      </c>
      <c r="Z28" s="268">
        <f t="shared" si="12"/>
        <v>75872.09</v>
      </c>
      <c r="AA28" s="275">
        <v>23</v>
      </c>
      <c r="AB28" s="267">
        <f t="shared" si="13"/>
        <v>145130</v>
      </c>
      <c r="AC28" s="262">
        <v>4.75</v>
      </c>
      <c r="AD28" s="267">
        <f t="shared" si="14"/>
        <v>29925</v>
      </c>
      <c r="AE28" s="238">
        <v>9</v>
      </c>
      <c r="AF28" s="267">
        <f t="shared" si="15"/>
        <v>56700</v>
      </c>
      <c r="AG28" s="257">
        <v>0.25</v>
      </c>
      <c r="AH28" s="267">
        <f t="shared" si="16"/>
        <v>1577.5</v>
      </c>
      <c r="AI28" s="262">
        <v>1.25</v>
      </c>
      <c r="AJ28" s="267">
        <f t="shared" si="17"/>
        <v>7887.5</v>
      </c>
      <c r="AK28" s="262">
        <v>24.93</v>
      </c>
      <c r="AL28" s="267">
        <f t="shared" si="18"/>
        <v>133874.1</v>
      </c>
      <c r="AM28" s="262">
        <v>15.75</v>
      </c>
      <c r="AN28" s="267">
        <f t="shared" si="19"/>
        <v>84577.5</v>
      </c>
      <c r="AO28" s="262">
        <v>11.75</v>
      </c>
      <c r="AP28" s="271">
        <f t="shared" si="20"/>
        <v>79159.75</v>
      </c>
      <c r="AQ28" s="256">
        <v>6.5</v>
      </c>
      <c r="AR28" s="266">
        <f t="shared" si="21"/>
        <v>40950</v>
      </c>
      <c r="AS28" s="262">
        <v>3</v>
      </c>
      <c r="AT28" s="267">
        <f t="shared" si="22"/>
        <v>39639</v>
      </c>
      <c r="AU28" s="236">
        <v>3</v>
      </c>
      <c r="AV28" s="273">
        <f t="shared" si="23"/>
        <v>17271</v>
      </c>
      <c r="AW28" s="243"/>
      <c r="AX28" s="95">
        <f t="shared" si="24"/>
        <v>0</v>
      </c>
      <c r="AY28" s="179">
        <f t="shared" si="25"/>
        <v>636691.35</v>
      </c>
      <c r="AZ28" s="164">
        <f t="shared" ref="AZ28:AZ76" si="87">Z28+AY28</f>
        <v>712563.44</v>
      </c>
      <c r="BA28" s="165">
        <f t="shared" si="27"/>
        <v>740480</v>
      </c>
      <c r="BB28" s="263">
        <f t="shared" si="28"/>
        <v>113.92</v>
      </c>
      <c r="BI28" s="116"/>
      <c r="BK28" s="277">
        <v>42880.629780092589</v>
      </c>
      <c r="BL28" s="276" t="s">
        <v>167</v>
      </c>
    </row>
    <row r="29" spans="1:65" ht="19.5" thickBot="1" x14ac:dyDescent="0.35">
      <c r="A29" s="633"/>
      <c r="B29" s="636"/>
      <c r="C29" s="86">
        <v>112.5</v>
      </c>
      <c r="D29" s="74">
        <v>4</v>
      </c>
      <c r="E29" s="83">
        <f t="shared" si="1"/>
        <v>0</v>
      </c>
      <c r="F29" s="74">
        <v>4</v>
      </c>
      <c r="G29" s="83">
        <f t="shared" si="2"/>
        <v>0</v>
      </c>
      <c r="H29" s="74">
        <v>2</v>
      </c>
      <c r="I29" s="83">
        <f t="shared" si="3"/>
        <v>0</v>
      </c>
      <c r="J29" s="218">
        <f t="shared" si="4"/>
        <v>0</v>
      </c>
      <c r="K29" s="315" t="str">
        <f t="shared" si="63"/>
        <v>112.5CLASE H15KV</v>
      </c>
      <c r="L29" s="232">
        <v>1.5</v>
      </c>
      <c r="M29" s="271">
        <f t="shared" si="5"/>
        <v>10617</v>
      </c>
      <c r="N29" s="236">
        <v>1.25</v>
      </c>
      <c r="O29" s="265">
        <f t="shared" si="6"/>
        <v>8847.5</v>
      </c>
      <c r="P29" s="236">
        <v>0.4</v>
      </c>
      <c r="Q29" s="266">
        <f t="shared" si="7"/>
        <v>2139.2000000000003</v>
      </c>
      <c r="R29" s="236">
        <v>7</v>
      </c>
      <c r="S29" s="267">
        <f t="shared" si="8"/>
        <v>50582</v>
      </c>
      <c r="T29" s="236">
        <v>0.25</v>
      </c>
      <c r="U29" s="266">
        <f t="shared" si="9"/>
        <v>1411.75</v>
      </c>
      <c r="V29" s="236">
        <v>1</v>
      </c>
      <c r="W29" s="266">
        <f t="shared" si="10"/>
        <v>6921</v>
      </c>
      <c r="X29" s="243"/>
      <c r="Y29" s="267">
        <f t="shared" si="11"/>
        <v>0</v>
      </c>
      <c r="Z29" s="268">
        <f t="shared" si="12"/>
        <v>80518.45</v>
      </c>
      <c r="AA29" s="244">
        <v>24.5</v>
      </c>
      <c r="AB29" s="267">
        <f t="shared" si="13"/>
        <v>154595</v>
      </c>
      <c r="AC29" s="236">
        <v>4.78</v>
      </c>
      <c r="AD29" s="267">
        <f t="shared" si="14"/>
        <v>30114</v>
      </c>
      <c r="AE29" s="236">
        <v>9.25</v>
      </c>
      <c r="AF29" s="267">
        <f t="shared" si="15"/>
        <v>58275</v>
      </c>
      <c r="AG29" s="241">
        <v>0.25</v>
      </c>
      <c r="AH29" s="267">
        <f t="shared" si="16"/>
        <v>1577.5</v>
      </c>
      <c r="AI29" s="236">
        <v>1.25</v>
      </c>
      <c r="AJ29" s="267">
        <f t="shared" si="17"/>
        <v>7887.5</v>
      </c>
      <c r="AK29" s="236">
        <v>25.7</v>
      </c>
      <c r="AL29" s="267">
        <f t="shared" si="18"/>
        <v>138009</v>
      </c>
      <c r="AM29" s="236">
        <v>16.5</v>
      </c>
      <c r="AN29" s="267">
        <f t="shared" si="19"/>
        <v>88605</v>
      </c>
      <c r="AO29" s="236">
        <v>12</v>
      </c>
      <c r="AP29" s="271">
        <f t="shared" si="20"/>
        <v>80844</v>
      </c>
      <c r="AQ29" s="256">
        <v>7</v>
      </c>
      <c r="AR29" s="266">
        <f t="shared" si="21"/>
        <v>44100</v>
      </c>
      <c r="AS29" s="256">
        <v>3</v>
      </c>
      <c r="AT29" s="267">
        <f t="shared" si="22"/>
        <v>39639</v>
      </c>
      <c r="AU29" s="236">
        <v>3.25</v>
      </c>
      <c r="AV29" s="273">
        <f t="shared" si="23"/>
        <v>18710.25</v>
      </c>
      <c r="AW29" s="243"/>
      <c r="AX29" s="95">
        <f t="shared" si="24"/>
        <v>0</v>
      </c>
      <c r="AY29" s="108">
        <f t="shared" si="25"/>
        <v>662356.25</v>
      </c>
      <c r="AZ29" s="169">
        <f t="shared" si="87"/>
        <v>742874.7</v>
      </c>
      <c r="BA29" s="110">
        <f t="shared" si="27"/>
        <v>772720</v>
      </c>
      <c r="BB29" s="263">
        <f t="shared" si="28"/>
        <v>118.88</v>
      </c>
      <c r="BG29" s="26"/>
      <c r="BI29" s="116"/>
      <c r="BK29" s="277">
        <v>42880.629687499997</v>
      </c>
      <c r="BL29" s="276" t="s">
        <v>167</v>
      </c>
    </row>
    <row r="30" spans="1:65" ht="19.5" thickBot="1" x14ac:dyDescent="0.35">
      <c r="A30" s="633"/>
      <c r="B30" s="636"/>
      <c r="C30" s="86">
        <v>150</v>
      </c>
      <c r="D30" s="74">
        <v>4</v>
      </c>
      <c r="E30" s="83">
        <f t="shared" si="1"/>
        <v>0</v>
      </c>
      <c r="F30" s="74">
        <v>4</v>
      </c>
      <c r="G30" s="83">
        <f t="shared" si="2"/>
        <v>0</v>
      </c>
      <c r="H30" s="74">
        <v>2</v>
      </c>
      <c r="I30" s="83">
        <f t="shared" si="3"/>
        <v>0</v>
      </c>
      <c r="J30" s="218">
        <f t="shared" si="4"/>
        <v>0</v>
      </c>
      <c r="K30" s="315" t="str">
        <f t="shared" si="63"/>
        <v>150CLASE H15KV</v>
      </c>
      <c r="L30" s="232">
        <v>1.5</v>
      </c>
      <c r="M30" s="271">
        <f t="shared" si="5"/>
        <v>10617</v>
      </c>
      <c r="N30" s="236">
        <v>1.25</v>
      </c>
      <c r="O30" s="265">
        <f t="shared" si="6"/>
        <v>8847.5</v>
      </c>
      <c r="P30" s="236">
        <v>0.4</v>
      </c>
      <c r="Q30" s="266">
        <f t="shared" si="7"/>
        <v>2139.2000000000003</v>
      </c>
      <c r="R30" s="236">
        <v>7</v>
      </c>
      <c r="S30" s="267">
        <f t="shared" si="8"/>
        <v>50582</v>
      </c>
      <c r="T30" s="236">
        <v>0.25</v>
      </c>
      <c r="U30" s="266">
        <f t="shared" si="9"/>
        <v>1411.75</v>
      </c>
      <c r="V30" s="236">
        <v>1</v>
      </c>
      <c r="W30" s="266">
        <f t="shared" si="10"/>
        <v>6921</v>
      </c>
      <c r="X30" s="243"/>
      <c r="Y30" s="267">
        <f t="shared" si="11"/>
        <v>0</v>
      </c>
      <c r="Z30" s="268">
        <f t="shared" si="12"/>
        <v>80518.45</v>
      </c>
      <c r="AA30" s="244">
        <v>24.75</v>
      </c>
      <c r="AB30" s="267">
        <f t="shared" si="13"/>
        <v>156172.5</v>
      </c>
      <c r="AC30" s="236">
        <v>4.55</v>
      </c>
      <c r="AD30" s="267">
        <f t="shared" si="14"/>
        <v>28665</v>
      </c>
      <c r="AE30" s="236">
        <v>9.75</v>
      </c>
      <c r="AF30" s="267">
        <f t="shared" si="15"/>
        <v>61425</v>
      </c>
      <c r="AG30" s="241">
        <v>0.25</v>
      </c>
      <c r="AH30" s="267">
        <f t="shared" si="16"/>
        <v>1577.5</v>
      </c>
      <c r="AI30" s="236">
        <v>1.25</v>
      </c>
      <c r="AJ30" s="267">
        <f t="shared" si="17"/>
        <v>7887.5</v>
      </c>
      <c r="AK30" s="236">
        <v>26</v>
      </c>
      <c r="AL30" s="267">
        <f t="shared" si="18"/>
        <v>139620</v>
      </c>
      <c r="AM30" s="236">
        <v>17.45</v>
      </c>
      <c r="AN30" s="267">
        <f t="shared" si="19"/>
        <v>93706.5</v>
      </c>
      <c r="AO30" s="236">
        <v>12</v>
      </c>
      <c r="AP30" s="271">
        <f t="shared" si="20"/>
        <v>80844</v>
      </c>
      <c r="AQ30" s="256">
        <v>7</v>
      </c>
      <c r="AR30" s="266">
        <f t="shared" si="21"/>
        <v>44100</v>
      </c>
      <c r="AS30" s="256">
        <v>3</v>
      </c>
      <c r="AT30" s="267">
        <f t="shared" si="22"/>
        <v>39639</v>
      </c>
      <c r="AU30" s="236">
        <v>4</v>
      </c>
      <c r="AV30" s="273">
        <f t="shared" si="23"/>
        <v>23028</v>
      </c>
      <c r="AW30" s="243"/>
      <c r="AX30" s="95">
        <f t="shared" si="24"/>
        <v>0</v>
      </c>
      <c r="AY30" s="108">
        <f t="shared" si="25"/>
        <v>676665</v>
      </c>
      <c r="AZ30" s="169">
        <f t="shared" si="87"/>
        <v>757183.45</v>
      </c>
      <c r="BA30" s="110">
        <f t="shared" si="27"/>
        <v>789100</v>
      </c>
      <c r="BB30" s="263">
        <f t="shared" si="28"/>
        <v>121.39999999999999</v>
      </c>
      <c r="BG30" s="26"/>
      <c r="BI30" s="116"/>
      <c r="BK30" s="277">
        <v>42880.629618055558</v>
      </c>
      <c r="BL30" s="276" t="s">
        <v>167</v>
      </c>
    </row>
    <row r="31" spans="1:65" ht="19.5" thickBot="1" x14ac:dyDescent="0.35">
      <c r="A31" s="633"/>
      <c r="B31" s="636"/>
      <c r="C31" s="86">
        <v>225</v>
      </c>
      <c r="D31" s="74">
        <v>6</v>
      </c>
      <c r="E31" s="83">
        <f t="shared" si="1"/>
        <v>0</v>
      </c>
      <c r="F31" s="74">
        <v>4</v>
      </c>
      <c r="G31" s="83">
        <f t="shared" si="2"/>
        <v>0</v>
      </c>
      <c r="H31" s="74">
        <v>2</v>
      </c>
      <c r="I31" s="83">
        <f t="shared" si="3"/>
        <v>0</v>
      </c>
      <c r="J31" s="218">
        <f t="shared" si="4"/>
        <v>0</v>
      </c>
      <c r="K31" s="315" t="str">
        <f t="shared" si="63"/>
        <v>225CLASE H15KV</v>
      </c>
      <c r="L31" s="232">
        <v>1.5</v>
      </c>
      <c r="M31" s="271">
        <f t="shared" si="5"/>
        <v>10617</v>
      </c>
      <c r="N31" s="236">
        <v>1.25</v>
      </c>
      <c r="O31" s="265">
        <f t="shared" si="6"/>
        <v>8847.5</v>
      </c>
      <c r="P31" s="236">
        <v>0.4</v>
      </c>
      <c r="Q31" s="266">
        <f t="shared" si="7"/>
        <v>2139.2000000000003</v>
      </c>
      <c r="R31" s="236">
        <v>7</v>
      </c>
      <c r="S31" s="267">
        <f t="shared" si="8"/>
        <v>50582</v>
      </c>
      <c r="T31" s="236">
        <v>0.25</v>
      </c>
      <c r="U31" s="266">
        <f t="shared" si="9"/>
        <v>1411.75</v>
      </c>
      <c r="V31" s="236">
        <v>1</v>
      </c>
      <c r="W31" s="266">
        <f t="shared" si="10"/>
        <v>6921</v>
      </c>
      <c r="X31" s="243"/>
      <c r="Y31" s="267">
        <f t="shared" si="11"/>
        <v>0</v>
      </c>
      <c r="Z31" s="268">
        <f t="shared" si="12"/>
        <v>80518.45</v>
      </c>
      <c r="AA31" s="244">
        <v>25.5</v>
      </c>
      <c r="AB31" s="267">
        <f t="shared" si="13"/>
        <v>160905</v>
      </c>
      <c r="AC31" s="236">
        <v>4.41</v>
      </c>
      <c r="AD31" s="267">
        <f t="shared" si="14"/>
        <v>27783</v>
      </c>
      <c r="AE31" s="236">
        <v>10</v>
      </c>
      <c r="AF31" s="267">
        <f t="shared" si="15"/>
        <v>63000</v>
      </c>
      <c r="AG31" s="241">
        <v>0.25</v>
      </c>
      <c r="AH31" s="267">
        <f t="shared" si="16"/>
        <v>1577.5</v>
      </c>
      <c r="AI31" s="236">
        <v>1.5</v>
      </c>
      <c r="AJ31" s="267">
        <f t="shared" si="17"/>
        <v>9465</v>
      </c>
      <c r="AK31" s="236">
        <v>28</v>
      </c>
      <c r="AL31" s="267">
        <f t="shared" si="18"/>
        <v>150360</v>
      </c>
      <c r="AM31" s="236">
        <v>19.25</v>
      </c>
      <c r="AN31" s="267">
        <f t="shared" si="19"/>
        <v>103372.5</v>
      </c>
      <c r="AO31" s="236">
        <v>12.5</v>
      </c>
      <c r="AP31" s="271">
        <f t="shared" si="20"/>
        <v>84212.5</v>
      </c>
      <c r="AQ31" s="256">
        <v>7.25</v>
      </c>
      <c r="AR31" s="266">
        <f t="shared" si="21"/>
        <v>45675</v>
      </c>
      <c r="AS31" s="256">
        <v>3</v>
      </c>
      <c r="AT31" s="267">
        <f t="shared" si="22"/>
        <v>39639</v>
      </c>
      <c r="AU31" s="236">
        <v>4.8499999999999996</v>
      </c>
      <c r="AV31" s="273">
        <f t="shared" si="23"/>
        <v>27921.449999999997</v>
      </c>
      <c r="AW31" s="243"/>
      <c r="AX31" s="95">
        <f t="shared" si="24"/>
        <v>0</v>
      </c>
      <c r="AY31" s="108">
        <f t="shared" si="25"/>
        <v>713910.95</v>
      </c>
      <c r="AZ31" s="169">
        <f>Z31+AY31</f>
        <v>794429.39999999991</v>
      </c>
      <c r="BA31" s="110">
        <f t="shared" si="27"/>
        <v>831415</v>
      </c>
      <c r="BB31" s="263">
        <f t="shared" si="28"/>
        <v>127.91</v>
      </c>
      <c r="BG31" s="26"/>
      <c r="BI31" s="116"/>
      <c r="BK31" s="277">
        <v>42880.371261574073</v>
      </c>
      <c r="BL31" s="276" t="s">
        <v>167</v>
      </c>
    </row>
    <row r="32" spans="1:65" ht="19.5" thickBot="1" x14ac:dyDescent="0.35">
      <c r="A32" s="633"/>
      <c r="B32" s="636"/>
      <c r="C32" s="86">
        <v>300</v>
      </c>
      <c r="D32" s="74">
        <v>6</v>
      </c>
      <c r="E32" s="83">
        <f t="shared" si="1"/>
        <v>0</v>
      </c>
      <c r="F32" s="74">
        <v>6</v>
      </c>
      <c r="G32" s="83">
        <f t="shared" si="2"/>
        <v>0</v>
      </c>
      <c r="H32" s="74">
        <v>2</v>
      </c>
      <c r="I32" s="83">
        <f t="shared" si="3"/>
        <v>0</v>
      </c>
      <c r="J32" s="218">
        <f t="shared" si="4"/>
        <v>0</v>
      </c>
      <c r="K32" s="315" t="str">
        <f t="shared" si="63"/>
        <v>300CLASE H15KV</v>
      </c>
      <c r="L32" s="232">
        <v>1.5</v>
      </c>
      <c r="M32" s="271">
        <f t="shared" si="5"/>
        <v>10617</v>
      </c>
      <c r="N32" s="236">
        <v>1.25</v>
      </c>
      <c r="O32" s="265">
        <f t="shared" si="6"/>
        <v>8847.5</v>
      </c>
      <c r="P32" s="236">
        <v>0.4</v>
      </c>
      <c r="Q32" s="266">
        <f t="shared" si="7"/>
        <v>2139.2000000000003</v>
      </c>
      <c r="R32" s="236">
        <v>7</v>
      </c>
      <c r="S32" s="267">
        <f t="shared" si="8"/>
        <v>50582</v>
      </c>
      <c r="T32" s="236">
        <v>0.25</v>
      </c>
      <c r="U32" s="266">
        <f t="shared" si="9"/>
        <v>1411.75</v>
      </c>
      <c r="V32" s="236">
        <v>1.05</v>
      </c>
      <c r="W32" s="266">
        <f t="shared" si="10"/>
        <v>7267.05</v>
      </c>
      <c r="X32" s="243"/>
      <c r="Y32" s="267">
        <f t="shared" si="11"/>
        <v>0</v>
      </c>
      <c r="Z32" s="268">
        <f t="shared" si="12"/>
        <v>80864.5</v>
      </c>
      <c r="AA32" s="244">
        <v>26</v>
      </c>
      <c r="AB32" s="267">
        <f t="shared" si="13"/>
        <v>164060</v>
      </c>
      <c r="AC32" s="236">
        <v>5.25</v>
      </c>
      <c r="AD32" s="267">
        <f t="shared" si="14"/>
        <v>33075</v>
      </c>
      <c r="AE32" s="236">
        <v>11.75</v>
      </c>
      <c r="AF32" s="267">
        <f t="shared" si="15"/>
        <v>74025</v>
      </c>
      <c r="AG32" s="241">
        <v>0.25</v>
      </c>
      <c r="AH32" s="267">
        <f t="shared" si="16"/>
        <v>1577.5</v>
      </c>
      <c r="AI32" s="236">
        <v>2</v>
      </c>
      <c r="AJ32" s="267">
        <f t="shared" si="17"/>
        <v>12620</v>
      </c>
      <c r="AK32" s="236">
        <v>33.5</v>
      </c>
      <c r="AL32" s="267">
        <f t="shared" si="18"/>
        <v>179895</v>
      </c>
      <c r="AM32" s="236">
        <v>20.87</v>
      </c>
      <c r="AN32" s="267">
        <f t="shared" si="19"/>
        <v>112071.90000000001</v>
      </c>
      <c r="AO32" s="236">
        <v>13</v>
      </c>
      <c r="AP32" s="271">
        <f t="shared" si="20"/>
        <v>87581</v>
      </c>
      <c r="AQ32" s="256">
        <v>7.25</v>
      </c>
      <c r="AR32" s="266">
        <f t="shared" si="21"/>
        <v>45675</v>
      </c>
      <c r="AS32" s="256">
        <v>3</v>
      </c>
      <c r="AT32" s="267">
        <f t="shared" si="22"/>
        <v>39639</v>
      </c>
      <c r="AU32" s="236">
        <v>5</v>
      </c>
      <c r="AV32" s="273">
        <f t="shared" si="23"/>
        <v>28785</v>
      </c>
      <c r="AW32" s="243"/>
      <c r="AX32" s="95">
        <f t="shared" si="24"/>
        <v>0</v>
      </c>
      <c r="AY32" s="108">
        <f t="shared" si="25"/>
        <v>779004.4</v>
      </c>
      <c r="AZ32" s="169">
        <f t="shared" si="87"/>
        <v>859868.9</v>
      </c>
      <c r="BA32" s="110">
        <f>+BB32*$BA$1</f>
        <v>905580</v>
      </c>
      <c r="BB32" s="263">
        <f>+L32+N32+P32+R32+T32+V32+X32+AA32+AC32+AE32+AG32+AI32+AK32+AM32+AO32+AQ32+AS32+AU32+AW32</f>
        <v>139.32</v>
      </c>
      <c r="BG32" s="26"/>
      <c r="BI32" s="116"/>
      <c r="BK32" s="277">
        <v>42880.371215277781</v>
      </c>
      <c r="BL32" s="276" t="s">
        <v>167</v>
      </c>
    </row>
    <row r="33" spans="1:65" ht="19.5" thickBot="1" x14ac:dyDescent="0.35">
      <c r="A33" s="633"/>
      <c r="B33" s="636"/>
      <c r="C33" s="86">
        <v>400</v>
      </c>
      <c r="D33" s="74">
        <v>6</v>
      </c>
      <c r="E33" s="83">
        <f t="shared" si="1"/>
        <v>0</v>
      </c>
      <c r="F33" s="74">
        <v>6</v>
      </c>
      <c r="G33" s="83">
        <f t="shared" si="2"/>
        <v>0</v>
      </c>
      <c r="H33" s="74">
        <v>2</v>
      </c>
      <c r="I33" s="83">
        <f t="shared" si="3"/>
        <v>0</v>
      </c>
      <c r="J33" s="218">
        <f t="shared" si="4"/>
        <v>0</v>
      </c>
      <c r="K33" s="315" t="str">
        <f t="shared" si="63"/>
        <v>400CLASE H15KV</v>
      </c>
      <c r="L33" s="232">
        <v>1.5</v>
      </c>
      <c r="M33" s="271">
        <f t="shared" si="5"/>
        <v>10617</v>
      </c>
      <c r="N33" s="236">
        <v>1.5</v>
      </c>
      <c r="O33" s="265">
        <f t="shared" si="6"/>
        <v>10617</v>
      </c>
      <c r="P33" s="236">
        <v>0.4</v>
      </c>
      <c r="Q33" s="266">
        <f t="shared" si="7"/>
        <v>2139.2000000000003</v>
      </c>
      <c r="R33" s="236">
        <v>8</v>
      </c>
      <c r="S33" s="267">
        <f t="shared" si="8"/>
        <v>57808</v>
      </c>
      <c r="T33" s="236">
        <v>0.75</v>
      </c>
      <c r="U33" s="266">
        <f t="shared" si="9"/>
        <v>4235.25</v>
      </c>
      <c r="V33" s="236">
        <v>1.1499999999999999</v>
      </c>
      <c r="W33" s="266">
        <f t="shared" si="10"/>
        <v>7959.15</v>
      </c>
      <c r="X33" s="243"/>
      <c r="Y33" s="267">
        <f t="shared" si="11"/>
        <v>0</v>
      </c>
      <c r="Z33" s="268">
        <f t="shared" si="12"/>
        <v>93375.599999999991</v>
      </c>
      <c r="AA33" s="244">
        <v>30</v>
      </c>
      <c r="AB33" s="267">
        <f t="shared" si="13"/>
        <v>189300</v>
      </c>
      <c r="AC33" s="236">
        <v>5.45</v>
      </c>
      <c r="AD33" s="267">
        <f t="shared" si="14"/>
        <v>34335</v>
      </c>
      <c r="AE33" s="236">
        <v>12</v>
      </c>
      <c r="AF33" s="267">
        <f t="shared" si="15"/>
        <v>75600</v>
      </c>
      <c r="AG33" s="241">
        <v>0.25</v>
      </c>
      <c r="AH33" s="267">
        <f t="shared" si="16"/>
        <v>1577.5</v>
      </c>
      <c r="AI33" s="236">
        <v>2</v>
      </c>
      <c r="AJ33" s="267">
        <f t="shared" si="17"/>
        <v>12620</v>
      </c>
      <c r="AK33" s="236">
        <v>38.25</v>
      </c>
      <c r="AL33" s="267">
        <f t="shared" si="18"/>
        <v>205402.5</v>
      </c>
      <c r="AM33" s="236">
        <v>22.35</v>
      </c>
      <c r="AN33" s="267">
        <f t="shared" si="19"/>
        <v>120019.50000000001</v>
      </c>
      <c r="AO33" s="236">
        <v>14.5</v>
      </c>
      <c r="AP33" s="271">
        <f t="shared" si="20"/>
        <v>97686.5</v>
      </c>
      <c r="AQ33" s="256">
        <v>7.75</v>
      </c>
      <c r="AR33" s="266">
        <f t="shared" si="21"/>
        <v>48825</v>
      </c>
      <c r="AS33" s="256">
        <v>3</v>
      </c>
      <c r="AT33" s="267">
        <f t="shared" si="22"/>
        <v>39639</v>
      </c>
      <c r="AU33" s="236">
        <v>5.25</v>
      </c>
      <c r="AV33" s="273">
        <f t="shared" si="23"/>
        <v>30224.25</v>
      </c>
      <c r="AW33" s="243"/>
      <c r="AX33" s="95">
        <f t="shared" si="24"/>
        <v>0</v>
      </c>
      <c r="AY33" s="108">
        <f t="shared" si="25"/>
        <v>855229.25</v>
      </c>
      <c r="AZ33" s="169">
        <f t="shared" si="87"/>
        <v>948604.85</v>
      </c>
      <c r="BA33" s="110">
        <f t="shared" si="27"/>
        <v>1001650</v>
      </c>
      <c r="BB33" s="263">
        <f t="shared" si="28"/>
        <v>154.1</v>
      </c>
      <c r="BG33" s="26"/>
      <c r="BI33" s="116"/>
      <c r="BK33" s="277">
        <v>42880.371192129627</v>
      </c>
      <c r="BL33" s="277" t="s">
        <v>167</v>
      </c>
    </row>
    <row r="34" spans="1:65" ht="19.5" thickBot="1" x14ac:dyDescent="0.35">
      <c r="A34" s="633"/>
      <c r="B34" s="636"/>
      <c r="C34" s="86">
        <v>500</v>
      </c>
      <c r="D34" s="74">
        <v>6</v>
      </c>
      <c r="E34" s="83">
        <f t="shared" si="1"/>
        <v>0</v>
      </c>
      <c r="F34" s="74">
        <v>6</v>
      </c>
      <c r="G34" s="83">
        <f t="shared" si="2"/>
        <v>0</v>
      </c>
      <c r="H34" s="74">
        <v>2</v>
      </c>
      <c r="I34" s="83">
        <f t="shared" si="3"/>
        <v>0</v>
      </c>
      <c r="J34" s="218">
        <f t="shared" si="4"/>
        <v>0</v>
      </c>
      <c r="K34" s="315" t="str">
        <f t="shared" si="63"/>
        <v>500CLASE H15KV</v>
      </c>
      <c r="L34" s="232">
        <v>1.5</v>
      </c>
      <c r="M34" s="271">
        <f t="shared" si="5"/>
        <v>10617</v>
      </c>
      <c r="N34" s="236">
        <v>1.5</v>
      </c>
      <c r="O34" s="265">
        <f t="shared" si="6"/>
        <v>10617</v>
      </c>
      <c r="P34" s="236">
        <v>0.5</v>
      </c>
      <c r="Q34" s="266">
        <f t="shared" si="7"/>
        <v>2674</v>
      </c>
      <c r="R34" s="236">
        <v>8</v>
      </c>
      <c r="S34" s="267">
        <f t="shared" si="8"/>
        <v>57808</v>
      </c>
      <c r="T34" s="236">
        <v>0.75</v>
      </c>
      <c r="U34" s="266">
        <f t="shared" si="9"/>
        <v>4235.25</v>
      </c>
      <c r="V34" s="236">
        <v>1.1499999999999999</v>
      </c>
      <c r="W34" s="266">
        <f t="shared" si="10"/>
        <v>7959.15</v>
      </c>
      <c r="X34" s="243"/>
      <c r="Y34" s="267">
        <f t="shared" si="11"/>
        <v>0</v>
      </c>
      <c r="Z34" s="268">
        <f t="shared" si="12"/>
        <v>93910.399999999994</v>
      </c>
      <c r="AA34" s="244">
        <v>35</v>
      </c>
      <c r="AB34" s="267">
        <f t="shared" si="13"/>
        <v>220850</v>
      </c>
      <c r="AC34" s="236">
        <v>5.64</v>
      </c>
      <c r="AD34" s="267">
        <f t="shared" si="14"/>
        <v>35532</v>
      </c>
      <c r="AE34" s="236">
        <v>12.5</v>
      </c>
      <c r="AF34" s="267">
        <f t="shared" si="15"/>
        <v>78750</v>
      </c>
      <c r="AG34" s="241">
        <v>0.25</v>
      </c>
      <c r="AH34" s="267">
        <f t="shared" si="16"/>
        <v>1577.5</v>
      </c>
      <c r="AI34" s="236">
        <v>2.25</v>
      </c>
      <c r="AJ34" s="267">
        <f t="shared" si="17"/>
        <v>14197.5</v>
      </c>
      <c r="AK34" s="236">
        <v>42.8</v>
      </c>
      <c r="AL34" s="267">
        <f t="shared" si="18"/>
        <v>229835.99999999997</v>
      </c>
      <c r="AM34" s="236">
        <v>24.25</v>
      </c>
      <c r="AN34" s="267">
        <f t="shared" si="19"/>
        <v>130222.5</v>
      </c>
      <c r="AO34" s="236">
        <v>15</v>
      </c>
      <c r="AP34" s="271">
        <f t="shared" si="20"/>
        <v>101055</v>
      </c>
      <c r="AQ34" s="256">
        <v>7.75</v>
      </c>
      <c r="AR34" s="266">
        <f t="shared" si="21"/>
        <v>48825</v>
      </c>
      <c r="AS34" s="256">
        <v>3</v>
      </c>
      <c r="AT34" s="267">
        <f t="shared" si="22"/>
        <v>39639</v>
      </c>
      <c r="AU34" s="236">
        <v>5.5</v>
      </c>
      <c r="AV34" s="273">
        <f t="shared" si="23"/>
        <v>31663.5</v>
      </c>
      <c r="AW34" s="243"/>
      <c r="AX34" s="95">
        <f t="shared" si="24"/>
        <v>0</v>
      </c>
      <c r="AY34" s="108">
        <f t="shared" si="25"/>
        <v>932148</v>
      </c>
      <c r="AZ34" s="169">
        <f t="shared" si="87"/>
        <v>1026058.4</v>
      </c>
      <c r="BA34" s="110">
        <f t="shared" si="27"/>
        <v>1087709.9999999998</v>
      </c>
      <c r="BB34" s="263">
        <f t="shared" si="28"/>
        <v>167.33999999999997</v>
      </c>
      <c r="BG34" s="26"/>
      <c r="BI34" s="116"/>
      <c r="BK34" s="277">
        <v>42880.370821759258</v>
      </c>
      <c r="BL34" s="276" t="s">
        <v>167</v>
      </c>
    </row>
    <row r="35" spans="1:65" ht="19.5" thickBot="1" x14ac:dyDescent="0.35">
      <c r="A35" s="633"/>
      <c r="B35" s="636"/>
      <c r="C35" s="86">
        <v>630</v>
      </c>
      <c r="D35" s="74">
        <v>8</v>
      </c>
      <c r="E35" s="83">
        <f t="shared" si="1"/>
        <v>0</v>
      </c>
      <c r="F35" s="74">
        <v>6</v>
      </c>
      <c r="G35" s="83">
        <f t="shared" si="2"/>
        <v>0</v>
      </c>
      <c r="H35" s="74">
        <v>2</v>
      </c>
      <c r="I35" s="83">
        <f t="shared" si="3"/>
        <v>0</v>
      </c>
      <c r="J35" s="218">
        <f t="shared" si="4"/>
        <v>0</v>
      </c>
      <c r="K35" s="315" t="str">
        <f t="shared" si="63"/>
        <v>630CLASE H15KV</v>
      </c>
      <c r="L35" s="232">
        <v>1.5</v>
      </c>
      <c r="M35" s="271">
        <f t="shared" si="5"/>
        <v>10617</v>
      </c>
      <c r="N35" s="236">
        <v>1.25</v>
      </c>
      <c r="O35" s="265">
        <f t="shared" si="6"/>
        <v>8847.5</v>
      </c>
      <c r="P35" s="236">
        <v>0.5</v>
      </c>
      <c r="Q35" s="266">
        <f t="shared" si="7"/>
        <v>2674</v>
      </c>
      <c r="R35" s="236">
        <v>8</v>
      </c>
      <c r="S35" s="267">
        <f t="shared" si="8"/>
        <v>57808</v>
      </c>
      <c r="T35" s="236">
        <v>0.75</v>
      </c>
      <c r="U35" s="266">
        <f t="shared" si="9"/>
        <v>4235.25</v>
      </c>
      <c r="V35" s="236">
        <v>1.25</v>
      </c>
      <c r="W35" s="266">
        <f t="shared" si="10"/>
        <v>8651.25</v>
      </c>
      <c r="X35" s="243"/>
      <c r="Y35" s="267">
        <f t="shared" si="11"/>
        <v>0</v>
      </c>
      <c r="Z35" s="268">
        <f t="shared" si="12"/>
        <v>92833</v>
      </c>
      <c r="AA35" s="244">
        <v>39</v>
      </c>
      <c r="AB35" s="267">
        <f t="shared" si="13"/>
        <v>246090</v>
      </c>
      <c r="AC35" s="236">
        <v>6.27</v>
      </c>
      <c r="AD35" s="267">
        <f t="shared" si="14"/>
        <v>39501</v>
      </c>
      <c r="AE35" s="236">
        <v>12.5</v>
      </c>
      <c r="AF35" s="267">
        <f t="shared" si="15"/>
        <v>78750</v>
      </c>
      <c r="AG35" s="241">
        <v>0.25</v>
      </c>
      <c r="AH35" s="267">
        <f t="shared" si="16"/>
        <v>1577.5</v>
      </c>
      <c r="AI35" s="236">
        <v>2.5</v>
      </c>
      <c r="AJ35" s="267">
        <f t="shared" si="17"/>
        <v>15775</v>
      </c>
      <c r="AK35" s="236">
        <v>51.35</v>
      </c>
      <c r="AL35" s="267">
        <f t="shared" si="18"/>
        <v>275749.5</v>
      </c>
      <c r="AM35" s="236">
        <v>26.5</v>
      </c>
      <c r="AN35" s="267">
        <f t="shared" si="19"/>
        <v>142305</v>
      </c>
      <c r="AO35" s="236">
        <v>16</v>
      </c>
      <c r="AP35" s="271">
        <f t="shared" si="20"/>
        <v>107792</v>
      </c>
      <c r="AQ35" s="256">
        <v>8.25</v>
      </c>
      <c r="AR35" s="266">
        <f t="shared" si="21"/>
        <v>51975</v>
      </c>
      <c r="AS35" s="256">
        <v>3</v>
      </c>
      <c r="AT35" s="267">
        <f t="shared" si="22"/>
        <v>39639</v>
      </c>
      <c r="AU35" s="236">
        <v>6</v>
      </c>
      <c r="AV35" s="273">
        <f t="shared" si="23"/>
        <v>34542</v>
      </c>
      <c r="AW35" s="243"/>
      <c r="AX35" s="95">
        <f t="shared" si="24"/>
        <v>0</v>
      </c>
      <c r="AY35" s="108">
        <f t="shared" si="25"/>
        <v>1033696</v>
      </c>
      <c r="AZ35" s="169">
        <f t="shared" si="87"/>
        <v>1126529</v>
      </c>
      <c r="BA35" s="110">
        <f t="shared" si="27"/>
        <v>1201655</v>
      </c>
      <c r="BB35" s="263">
        <f t="shared" si="28"/>
        <v>184.87</v>
      </c>
      <c r="BG35" s="26"/>
      <c r="BI35" s="116"/>
      <c r="BK35" s="277">
        <v>42880.370868055557</v>
      </c>
      <c r="BL35" s="276" t="s">
        <v>167</v>
      </c>
    </row>
    <row r="36" spans="1:65" s="26" customFormat="1" ht="19.5" thickBot="1" x14ac:dyDescent="0.35">
      <c r="A36" s="633"/>
      <c r="B36" s="636"/>
      <c r="C36" s="86">
        <v>750</v>
      </c>
      <c r="D36" s="74">
        <v>8</v>
      </c>
      <c r="E36" s="83">
        <f t="shared" si="1"/>
        <v>0</v>
      </c>
      <c r="F36" s="74">
        <v>6</v>
      </c>
      <c r="G36" s="83">
        <f t="shared" si="2"/>
        <v>0</v>
      </c>
      <c r="H36" s="74">
        <v>4</v>
      </c>
      <c r="I36" s="83">
        <f t="shared" si="3"/>
        <v>0</v>
      </c>
      <c r="J36" s="218">
        <f t="shared" ref="J36" si="88">D36*E36+F36*G36+H36*I36</f>
        <v>0</v>
      </c>
      <c r="K36" s="315" t="str">
        <f t="shared" si="63"/>
        <v>750CLASE H15KV</v>
      </c>
      <c r="L36" s="232">
        <v>1.5</v>
      </c>
      <c r="M36" s="271">
        <f t="shared" ref="M36" si="89">$M$5*L36</f>
        <v>10617</v>
      </c>
      <c r="N36" s="236">
        <v>2.25</v>
      </c>
      <c r="O36" s="265">
        <f t="shared" ref="O36" si="90">+$O$5*N36</f>
        <v>15925.5</v>
      </c>
      <c r="P36" s="236">
        <v>0.5</v>
      </c>
      <c r="Q36" s="266">
        <f t="shared" ref="Q36" si="91">+$Q$5*P36</f>
        <v>2674</v>
      </c>
      <c r="R36" s="236">
        <v>8</v>
      </c>
      <c r="S36" s="267">
        <f t="shared" ref="S36" si="92">+$S$5*R36</f>
        <v>57808</v>
      </c>
      <c r="T36" s="236">
        <v>1</v>
      </c>
      <c r="U36" s="266">
        <f t="shared" ref="U36" si="93">+$U$5*T36</f>
        <v>5647</v>
      </c>
      <c r="V36" s="236">
        <v>1.25</v>
      </c>
      <c r="W36" s="266">
        <f t="shared" ref="W36" si="94">+$W$5*V36</f>
        <v>8651.25</v>
      </c>
      <c r="X36" s="243"/>
      <c r="Y36" s="267">
        <f t="shared" ref="Y36" si="95">+$Y$5*X36</f>
        <v>0</v>
      </c>
      <c r="Z36" s="268">
        <f t="shared" ref="Z36" si="96">+M36+O36+Q36+S36+U36+W36+Y36</f>
        <v>101322.75</v>
      </c>
      <c r="AA36" s="244">
        <v>41.75</v>
      </c>
      <c r="AB36" s="267">
        <f t="shared" ref="AB36" si="97">+$AB$5*AA36</f>
        <v>263442.5</v>
      </c>
      <c r="AC36" s="236">
        <v>6.5</v>
      </c>
      <c r="AD36" s="267">
        <f t="shared" ref="AD36" si="98">$AD$5*AC36</f>
        <v>40950</v>
      </c>
      <c r="AE36" s="236">
        <v>14.8</v>
      </c>
      <c r="AF36" s="267">
        <f t="shared" ref="AF36" si="99">$AF$5*AE36</f>
        <v>93240</v>
      </c>
      <c r="AG36" s="241">
        <v>0.5</v>
      </c>
      <c r="AH36" s="267">
        <f t="shared" ref="AH36" si="100">$AH$5*AG36</f>
        <v>3155</v>
      </c>
      <c r="AI36" s="236">
        <v>2.5</v>
      </c>
      <c r="AJ36" s="267">
        <f t="shared" ref="AJ36" si="101">$AJ$5*AI36</f>
        <v>15775</v>
      </c>
      <c r="AK36" s="236">
        <v>55</v>
      </c>
      <c r="AL36" s="267">
        <f t="shared" ref="AL36" si="102">$AL$5*AK36</f>
        <v>295350</v>
      </c>
      <c r="AM36" s="236">
        <v>28.5</v>
      </c>
      <c r="AN36" s="267">
        <f t="shared" ref="AN36" si="103">$AN$5*AM36</f>
        <v>153045</v>
      </c>
      <c r="AO36" s="236">
        <v>18</v>
      </c>
      <c r="AP36" s="271">
        <f t="shared" ref="AP36" si="104">$AP$5*AO36</f>
        <v>121266</v>
      </c>
      <c r="AQ36" s="256">
        <v>8.25</v>
      </c>
      <c r="AR36" s="266">
        <f t="shared" ref="AR36" si="105" xml:space="preserve"> $AR$5*AQ36</f>
        <v>51975</v>
      </c>
      <c r="AS36" s="256">
        <v>3</v>
      </c>
      <c r="AT36" s="267">
        <f t="shared" ref="AT36" si="106">$AT$5*AS36</f>
        <v>39639</v>
      </c>
      <c r="AU36" s="236">
        <v>6.25</v>
      </c>
      <c r="AV36" s="273">
        <f t="shared" ref="AV36" si="107">$AV$5*AU36</f>
        <v>35981.25</v>
      </c>
      <c r="AW36" s="243"/>
      <c r="AX36" s="95">
        <f t="shared" ref="AX36" si="108">+AW36*$AX$5</f>
        <v>0</v>
      </c>
      <c r="AY36" s="108">
        <f t="shared" ref="AY36" si="109">AV36+AB36+AD36+AF36+AH36+AJ36+AL36+AN36+AP36+AR36+AT36+AX36</f>
        <v>1113818.75</v>
      </c>
      <c r="AZ36" s="169">
        <f t="shared" ref="AZ36" si="110">Z36+AY36</f>
        <v>1215141.5</v>
      </c>
      <c r="BA36" s="110">
        <f t="shared" ref="BA36" si="111">+BB36*$BA$1</f>
        <v>1297075</v>
      </c>
      <c r="BB36" s="263">
        <f t="shared" ref="BB36" si="112">+L36+N36+P36+R36+T36+V36+X36+AA36+AC36+AE36+AG36+AI36+AK36+AM36+AO36+AQ36+AS36+AU36+AW36</f>
        <v>199.55</v>
      </c>
      <c r="BI36" s="116"/>
      <c r="BK36" s="277">
        <v>42880.37091435185</v>
      </c>
      <c r="BL36" s="276" t="s">
        <v>167</v>
      </c>
      <c r="BM36" s="276"/>
    </row>
    <row r="37" spans="1:65" ht="19.5" thickBot="1" x14ac:dyDescent="0.35">
      <c r="A37" s="633"/>
      <c r="B37" s="636"/>
      <c r="C37" s="86">
        <v>800</v>
      </c>
      <c r="D37" s="74">
        <v>8</v>
      </c>
      <c r="E37" s="83">
        <f t="shared" si="1"/>
        <v>0</v>
      </c>
      <c r="F37" s="74">
        <v>6</v>
      </c>
      <c r="G37" s="83">
        <f t="shared" si="2"/>
        <v>0</v>
      </c>
      <c r="H37" s="74">
        <v>4</v>
      </c>
      <c r="I37" s="83">
        <f t="shared" si="3"/>
        <v>0</v>
      </c>
      <c r="J37" s="218">
        <f t="shared" si="4"/>
        <v>0</v>
      </c>
      <c r="K37" s="315" t="str">
        <f t="shared" si="63"/>
        <v>800CLASE H15KV</v>
      </c>
      <c r="L37" s="232">
        <v>1.5</v>
      </c>
      <c r="M37" s="271">
        <f t="shared" si="5"/>
        <v>10617</v>
      </c>
      <c r="N37" s="236">
        <v>2.25</v>
      </c>
      <c r="O37" s="265">
        <f t="shared" si="6"/>
        <v>15925.5</v>
      </c>
      <c r="P37" s="236">
        <v>0.5</v>
      </c>
      <c r="Q37" s="266">
        <f t="shared" si="7"/>
        <v>2674</v>
      </c>
      <c r="R37" s="236">
        <v>8</v>
      </c>
      <c r="S37" s="267">
        <f t="shared" si="8"/>
        <v>57808</v>
      </c>
      <c r="T37" s="236">
        <v>1</v>
      </c>
      <c r="U37" s="266">
        <f t="shared" si="9"/>
        <v>5647</v>
      </c>
      <c r="V37" s="236">
        <v>1.25</v>
      </c>
      <c r="W37" s="266">
        <f t="shared" si="10"/>
        <v>8651.25</v>
      </c>
      <c r="X37" s="243"/>
      <c r="Y37" s="267">
        <f t="shared" si="11"/>
        <v>0</v>
      </c>
      <c r="Z37" s="268">
        <f t="shared" si="12"/>
        <v>101322.75</v>
      </c>
      <c r="AA37" s="244">
        <v>41.75</v>
      </c>
      <c r="AB37" s="267">
        <f t="shared" si="13"/>
        <v>263442.5</v>
      </c>
      <c r="AC37" s="236">
        <v>6.5</v>
      </c>
      <c r="AD37" s="267">
        <f t="shared" si="14"/>
        <v>40950</v>
      </c>
      <c r="AE37" s="236">
        <v>14.8</v>
      </c>
      <c r="AF37" s="267">
        <f t="shared" si="15"/>
        <v>93240</v>
      </c>
      <c r="AG37" s="241">
        <v>0.5</v>
      </c>
      <c r="AH37" s="267">
        <f t="shared" si="16"/>
        <v>3155</v>
      </c>
      <c r="AI37" s="236">
        <v>2.5</v>
      </c>
      <c r="AJ37" s="267">
        <f t="shared" si="17"/>
        <v>15775</v>
      </c>
      <c r="AK37" s="236">
        <v>55</v>
      </c>
      <c r="AL37" s="267">
        <f t="shared" si="18"/>
        <v>295350</v>
      </c>
      <c r="AM37" s="236">
        <v>29.84</v>
      </c>
      <c r="AN37" s="267">
        <f t="shared" si="19"/>
        <v>160240.79999999999</v>
      </c>
      <c r="AO37" s="236">
        <v>18</v>
      </c>
      <c r="AP37" s="271">
        <f t="shared" si="20"/>
        <v>121266</v>
      </c>
      <c r="AQ37" s="256">
        <v>8.25</v>
      </c>
      <c r="AR37" s="266">
        <f t="shared" si="21"/>
        <v>51975</v>
      </c>
      <c r="AS37" s="256">
        <v>3</v>
      </c>
      <c r="AT37" s="267">
        <f t="shared" si="22"/>
        <v>39639</v>
      </c>
      <c r="AU37" s="236">
        <v>6.25</v>
      </c>
      <c r="AV37" s="273">
        <f t="shared" si="23"/>
        <v>35981.25</v>
      </c>
      <c r="AW37" s="243"/>
      <c r="AX37" s="95">
        <f t="shared" si="24"/>
        <v>0</v>
      </c>
      <c r="AY37" s="108">
        <f t="shared" si="25"/>
        <v>1121014.55</v>
      </c>
      <c r="AZ37" s="169">
        <f t="shared" si="87"/>
        <v>1222337.3</v>
      </c>
      <c r="BA37" s="110">
        <f t="shared" si="27"/>
        <v>1305785</v>
      </c>
      <c r="BB37" s="263">
        <f t="shared" si="28"/>
        <v>200.89000000000001</v>
      </c>
      <c r="BG37" s="26"/>
      <c r="BI37" s="116"/>
      <c r="BK37" s="277">
        <v>42880.370995370373</v>
      </c>
      <c r="BL37" s="276" t="s">
        <v>167</v>
      </c>
    </row>
    <row r="38" spans="1:65" ht="19.5" thickBot="1" x14ac:dyDescent="0.35">
      <c r="A38" s="633"/>
      <c r="B38" s="636"/>
      <c r="C38" s="87">
        <v>1000</v>
      </c>
      <c r="D38" s="78">
        <v>8</v>
      </c>
      <c r="E38" s="83">
        <f t="shared" si="1"/>
        <v>0</v>
      </c>
      <c r="F38" s="78">
        <v>6</v>
      </c>
      <c r="G38" s="83">
        <f t="shared" si="2"/>
        <v>0</v>
      </c>
      <c r="H38" s="78">
        <v>4</v>
      </c>
      <c r="I38" s="83">
        <f t="shared" si="3"/>
        <v>0</v>
      </c>
      <c r="J38" s="218">
        <f t="shared" si="4"/>
        <v>0</v>
      </c>
      <c r="K38" s="315" t="str">
        <f t="shared" si="63"/>
        <v>1000CLASE H15KV</v>
      </c>
      <c r="L38" s="232">
        <v>1.5</v>
      </c>
      <c r="M38" s="271">
        <f t="shared" si="5"/>
        <v>10617</v>
      </c>
      <c r="N38" s="236">
        <v>2.25</v>
      </c>
      <c r="O38" s="265">
        <f t="shared" si="6"/>
        <v>15925.5</v>
      </c>
      <c r="P38" s="236">
        <v>0</v>
      </c>
      <c r="Q38" s="266">
        <f t="shared" si="7"/>
        <v>0</v>
      </c>
      <c r="R38" s="236">
        <v>8</v>
      </c>
      <c r="S38" s="267">
        <f t="shared" si="8"/>
        <v>57808</v>
      </c>
      <c r="T38" s="236">
        <v>1</v>
      </c>
      <c r="U38" s="266">
        <f t="shared" si="9"/>
        <v>5647</v>
      </c>
      <c r="V38" s="236">
        <v>1.3</v>
      </c>
      <c r="W38" s="266">
        <f t="shared" si="10"/>
        <v>8997.3000000000011</v>
      </c>
      <c r="X38" s="243"/>
      <c r="Y38" s="267">
        <f t="shared" si="11"/>
        <v>0</v>
      </c>
      <c r="Z38" s="268">
        <f t="shared" si="12"/>
        <v>98994.8</v>
      </c>
      <c r="AA38" s="245">
        <v>48.5</v>
      </c>
      <c r="AB38" s="267">
        <f t="shared" si="13"/>
        <v>306035</v>
      </c>
      <c r="AC38" s="236">
        <v>7.75</v>
      </c>
      <c r="AD38" s="267">
        <f t="shared" si="14"/>
        <v>48825</v>
      </c>
      <c r="AE38" s="236">
        <v>16</v>
      </c>
      <c r="AF38" s="267">
        <f t="shared" si="15"/>
        <v>100800</v>
      </c>
      <c r="AG38" s="241">
        <v>0.5</v>
      </c>
      <c r="AH38" s="267">
        <f t="shared" si="16"/>
        <v>3155</v>
      </c>
      <c r="AI38" s="236">
        <v>2.5</v>
      </c>
      <c r="AJ38" s="267">
        <f t="shared" si="17"/>
        <v>15775</v>
      </c>
      <c r="AK38" s="236">
        <v>62</v>
      </c>
      <c r="AL38" s="267">
        <f t="shared" si="18"/>
        <v>332940</v>
      </c>
      <c r="AM38" s="236">
        <v>31</v>
      </c>
      <c r="AN38" s="267">
        <f t="shared" si="19"/>
        <v>166470</v>
      </c>
      <c r="AO38" s="236">
        <v>18.5</v>
      </c>
      <c r="AP38" s="271">
        <f t="shared" si="20"/>
        <v>124634.5</v>
      </c>
      <c r="AQ38" s="256">
        <v>8.49</v>
      </c>
      <c r="AR38" s="266">
        <f t="shared" si="21"/>
        <v>53487</v>
      </c>
      <c r="AS38" s="256">
        <v>3</v>
      </c>
      <c r="AT38" s="267">
        <f t="shared" si="22"/>
        <v>39639</v>
      </c>
      <c r="AU38" s="236">
        <v>7</v>
      </c>
      <c r="AV38" s="273">
        <f t="shared" si="23"/>
        <v>40299</v>
      </c>
      <c r="AW38" s="243"/>
      <c r="AX38" s="95">
        <f t="shared" si="24"/>
        <v>0</v>
      </c>
      <c r="AY38" s="108">
        <f t="shared" si="25"/>
        <v>1232059.5</v>
      </c>
      <c r="AZ38" s="169">
        <f t="shared" si="87"/>
        <v>1331054.3</v>
      </c>
      <c r="BA38" s="110">
        <f t="shared" si="27"/>
        <v>1425385.0000000002</v>
      </c>
      <c r="BB38" s="263">
        <f t="shared" si="28"/>
        <v>219.29000000000002</v>
      </c>
      <c r="BG38" s="26"/>
      <c r="BI38" s="116"/>
      <c r="BK38" s="277">
        <v>42880.371030092596</v>
      </c>
      <c r="BL38" s="276" t="s">
        <v>167</v>
      </c>
    </row>
    <row r="39" spans="1:65" ht="19.5" thickBot="1" x14ac:dyDescent="0.35">
      <c r="A39" s="633"/>
      <c r="B39" s="636"/>
      <c r="C39" s="88">
        <v>1250</v>
      </c>
      <c r="D39" s="74">
        <v>12</v>
      </c>
      <c r="E39" s="83">
        <f t="shared" si="1"/>
        <v>0</v>
      </c>
      <c r="F39" s="74">
        <v>6</v>
      </c>
      <c r="G39" s="83">
        <f t="shared" si="2"/>
        <v>0</v>
      </c>
      <c r="H39" s="74">
        <v>4</v>
      </c>
      <c r="I39" s="83">
        <f t="shared" si="3"/>
        <v>0</v>
      </c>
      <c r="J39" s="218">
        <f t="shared" si="4"/>
        <v>0</v>
      </c>
      <c r="K39" s="315" t="str">
        <f t="shared" si="63"/>
        <v>1250CLASE H15KV</v>
      </c>
      <c r="L39" s="232">
        <v>1.5</v>
      </c>
      <c r="M39" s="271">
        <f t="shared" si="5"/>
        <v>10617</v>
      </c>
      <c r="N39" s="236">
        <v>2.5</v>
      </c>
      <c r="O39" s="265">
        <f t="shared" si="6"/>
        <v>17695</v>
      </c>
      <c r="P39" s="236">
        <v>0</v>
      </c>
      <c r="Q39" s="266">
        <f t="shared" si="7"/>
        <v>0</v>
      </c>
      <c r="R39" s="236">
        <v>8</v>
      </c>
      <c r="S39" s="267">
        <f t="shared" si="8"/>
        <v>57808</v>
      </c>
      <c r="T39" s="236">
        <v>1</v>
      </c>
      <c r="U39" s="266">
        <f t="shared" si="9"/>
        <v>5647</v>
      </c>
      <c r="V39" s="236">
        <v>1.3</v>
      </c>
      <c r="W39" s="266">
        <f t="shared" si="10"/>
        <v>8997.3000000000011</v>
      </c>
      <c r="X39" s="243"/>
      <c r="Y39" s="267">
        <f t="shared" si="11"/>
        <v>0</v>
      </c>
      <c r="Z39" s="268">
        <f t="shared" si="12"/>
        <v>100764.3</v>
      </c>
      <c r="AA39" s="244">
        <v>53.8</v>
      </c>
      <c r="AB39" s="267">
        <f t="shared" si="13"/>
        <v>339478</v>
      </c>
      <c r="AC39" s="236">
        <v>7.75</v>
      </c>
      <c r="AD39" s="267">
        <f t="shared" si="14"/>
        <v>48825</v>
      </c>
      <c r="AE39" s="236">
        <v>16</v>
      </c>
      <c r="AF39" s="267">
        <f t="shared" si="15"/>
        <v>100800</v>
      </c>
      <c r="AG39" s="241">
        <v>0.5</v>
      </c>
      <c r="AH39" s="267">
        <f t="shared" si="16"/>
        <v>3155</v>
      </c>
      <c r="AI39" s="236">
        <v>2.75</v>
      </c>
      <c r="AJ39" s="267">
        <f t="shared" si="17"/>
        <v>17352.5</v>
      </c>
      <c r="AK39" s="236">
        <v>62</v>
      </c>
      <c r="AL39" s="267">
        <f t="shared" si="18"/>
        <v>332940</v>
      </c>
      <c r="AM39" s="236">
        <v>32.25</v>
      </c>
      <c r="AN39" s="267">
        <f t="shared" si="19"/>
        <v>173182.5</v>
      </c>
      <c r="AO39" s="236">
        <v>18.5</v>
      </c>
      <c r="AP39" s="271">
        <f t="shared" si="20"/>
        <v>124634.5</v>
      </c>
      <c r="AQ39" s="256">
        <v>8.49</v>
      </c>
      <c r="AR39" s="266">
        <f t="shared" si="21"/>
        <v>53487</v>
      </c>
      <c r="AS39" s="256">
        <v>3</v>
      </c>
      <c r="AT39" s="267">
        <f t="shared" si="22"/>
        <v>39639</v>
      </c>
      <c r="AU39" s="236">
        <v>7.25</v>
      </c>
      <c r="AV39" s="273">
        <f t="shared" si="23"/>
        <v>41738.25</v>
      </c>
      <c r="AW39" s="243"/>
      <c r="AX39" s="95">
        <f t="shared" si="24"/>
        <v>0</v>
      </c>
      <c r="AY39" s="108">
        <f t="shared" si="25"/>
        <v>1275231.75</v>
      </c>
      <c r="AZ39" s="169">
        <f t="shared" si="87"/>
        <v>1375996.05</v>
      </c>
      <c r="BA39" s="110">
        <f t="shared" si="27"/>
        <v>1472835</v>
      </c>
      <c r="BB39" s="263">
        <f t="shared" si="28"/>
        <v>226.59</v>
      </c>
      <c r="BG39" s="26"/>
      <c r="BI39" s="116"/>
      <c r="BK39" s="277">
        <v>42880.371076388888</v>
      </c>
      <c r="BL39" s="277" t="s">
        <v>167</v>
      </c>
    </row>
    <row r="40" spans="1:65" ht="19.5" thickBot="1" x14ac:dyDescent="0.35">
      <c r="A40" s="633"/>
      <c r="B40" s="636"/>
      <c r="C40" s="88">
        <v>1600</v>
      </c>
      <c r="D40" s="74">
        <v>12</v>
      </c>
      <c r="E40" s="83">
        <f t="shared" si="1"/>
        <v>0</v>
      </c>
      <c r="F40" s="74">
        <v>8</v>
      </c>
      <c r="G40" s="83">
        <f t="shared" si="2"/>
        <v>0</v>
      </c>
      <c r="H40" s="74">
        <v>4</v>
      </c>
      <c r="I40" s="83">
        <f t="shared" si="3"/>
        <v>0</v>
      </c>
      <c r="J40" s="218">
        <f t="shared" si="4"/>
        <v>0</v>
      </c>
      <c r="K40" s="315" t="str">
        <f t="shared" si="63"/>
        <v>1600CLASE H15KV</v>
      </c>
      <c r="L40" s="232">
        <v>1.5</v>
      </c>
      <c r="M40" s="271">
        <f t="shared" si="5"/>
        <v>10617</v>
      </c>
      <c r="N40" s="236">
        <v>2.5</v>
      </c>
      <c r="O40" s="265">
        <f t="shared" si="6"/>
        <v>17695</v>
      </c>
      <c r="P40" s="236">
        <v>0</v>
      </c>
      <c r="Q40" s="266">
        <f t="shared" si="7"/>
        <v>0</v>
      </c>
      <c r="R40" s="236">
        <v>8</v>
      </c>
      <c r="S40" s="267">
        <f t="shared" si="8"/>
        <v>57808</v>
      </c>
      <c r="T40" s="236">
        <v>1</v>
      </c>
      <c r="U40" s="266">
        <f t="shared" si="9"/>
        <v>5647</v>
      </c>
      <c r="V40" s="236">
        <v>1.5</v>
      </c>
      <c r="W40" s="266">
        <f t="shared" si="10"/>
        <v>10381.5</v>
      </c>
      <c r="X40" s="243"/>
      <c r="Y40" s="267">
        <f t="shared" si="11"/>
        <v>0</v>
      </c>
      <c r="Z40" s="268">
        <f t="shared" si="12"/>
        <v>102148.5</v>
      </c>
      <c r="AA40" s="244">
        <v>57.5</v>
      </c>
      <c r="AB40" s="267">
        <f t="shared" si="13"/>
        <v>362825</v>
      </c>
      <c r="AC40" s="236">
        <v>7.75</v>
      </c>
      <c r="AD40" s="267">
        <f t="shared" si="14"/>
        <v>48825</v>
      </c>
      <c r="AE40" s="236">
        <v>18</v>
      </c>
      <c r="AF40" s="267">
        <f t="shared" si="15"/>
        <v>113400</v>
      </c>
      <c r="AG40" s="241">
        <v>0.5</v>
      </c>
      <c r="AH40" s="267">
        <f t="shared" si="16"/>
        <v>3155</v>
      </c>
      <c r="AI40" s="236">
        <v>2.75</v>
      </c>
      <c r="AJ40" s="267">
        <f t="shared" si="17"/>
        <v>17352.5</v>
      </c>
      <c r="AK40" s="236">
        <v>65</v>
      </c>
      <c r="AL40" s="267">
        <f t="shared" si="18"/>
        <v>349050</v>
      </c>
      <c r="AM40" s="236">
        <v>34</v>
      </c>
      <c r="AN40" s="267">
        <f t="shared" si="19"/>
        <v>182580</v>
      </c>
      <c r="AO40" s="236">
        <v>20</v>
      </c>
      <c r="AP40" s="271">
        <f t="shared" si="20"/>
        <v>134740</v>
      </c>
      <c r="AQ40" s="256">
        <v>8.9</v>
      </c>
      <c r="AR40" s="266">
        <f t="shared" si="21"/>
        <v>56070</v>
      </c>
      <c r="AS40" s="256">
        <v>3.25</v>
      </c>
      <c r="AT40" s="267">
        <f t="shared" si="22"/>
        <v>42942.25</v>
      </c>
      <c r="AU40" s="236">
        <v>8</v>
      </c>
      <c r="AV40" s="273">
        <f t="shared" si="23"/>
        <v>46056</v>
      </c>
      <c r="AW40" s="243"/>
      <c r="AX40" s="95">
        <f t="shared" si="24"/>
        <v>0</v>
      </c>
      <c r="AY40" s="108">
        <f t="shared" si="25"/>
        <v>1356995.75</v>
      </c>
      <c r="AZ40" s="169">
        <f t="shared" si="87"/>
        <v>1459144.25</v>
      </c>
      <c r="BA40" s="110">
        <f t="shared" si="27"/>
        <v>1560975</v>
      </c>
      <c r="BB40" s="263">
        <f t="shared" si="28"/>
        <v>240.15</v>
      </c>
      <c r="BG40" s="26"/>
      <c r="BI40" s="116"/>
      <c r="BK40" s="277">
        <v>42880.371099537035</v>
      </c>
      <c r="BL40" s="276" t="s">
        <v>167</v>
      </c>
    </row>
    <row r="41" spans="1:65" ht="19.5" thickBot="1" x14ac:dyDescent="0.35">
      <c r="A41" s="634"/>
      <c r="B41" s="637"/>
      <c r="C41" s="154">
        <v>2000</v>
      </c>
      <c r="D41" s="155">
        <v>16</v>
      </c>
      <c r="E41" s="156">
        <f t="shared" si="1"/>
        <v>0</v>
      </c>
      <c r="F41" s="155">
        <v>8</v>
      </c>
      <c r="G41" s="156">
        <f t="shared" si="2"/>
        <v>0</v>
      </c>
      <c r="H41" s="155">
        <v>4</v>
      </c>
      <c r="I41" s="156">
        <f t="shared" si="3"/>
        <v>0</v>
      </c>
      <c r="J41" s="219">
        <f t="shared" si="4"/>
        <v>0</v>
      </c>
      <c r="K41" s="315" t="str">
        <f t="shared" si="63"/>
        <v>2000CLASE H15KV</v>
      </c>
      <c r="L41" s="229">
        <v>1.5</v>
      </c>
      <c r="M41" s="271">
        <f t="shared" si="5"/>
        <v>10617</v>
      </c>
      <c r="N41" s="237">
        <v>2.5</v>
      </c>
      <c r="O41" s="265">
        <f t="shared" si="6"/>
        <v>17695</v>
      </c>
      <c r="P41" s="237">
        <v>0</v>
      </c>
      <c r="Q41" s="266">
        <f t="shared" si="7"/>
        <v>0</v>
      </c>
      <c r="R41" s="237">
        <v>8</v>
      </c>
      <c r="S41" s="267">
        <f t="shared" si="8"/>
        <v>57808</v>
      </c>
      <c r="T41" s="237">
        <v>1</v>
      </c>
      <c r="U41" s="266">
        <f t="shared" si="9"/>
        <v>5647</v>
      </c>
      <c r="V41" s="237">
        <v>1.5</v>
      </c>
      <c r="W41" s="266">
        <f t="shared" si="10"/>
        <v>10381.5</v>
      </c>
      <c r="X41" s="243"/>
      <c r="Y41" s="267">
        <f t="shared" si="11"/>
        <v>0</v>
      </c>
      <c r="Z41" s="268">
        <f t="shared" si="12"/>
        <v>102148.5</v>
      </c>
      <c r="AA41" s="246">
        <v>60</v>
      </c>
      <c r="AB41" s="267">
        <f t="shared" si="13"/>
        <v>378600</v>
      </c>
      <c r="AC41" s="250">
        <v>7.75</v>
      </c>
      <c r="AD41" s="267">
        <f t="shared" si="14"/>
        <v>48825</v>
      </c>
      <c r="AE41" s="253">
        <v>18</v>
      </c>
      <c r="AF41" s="267">
        <f t="shared" si="15"/>
        <v>113400</v>
      </c>
      <c r="AG41" s="251">
        <v>0.75</v>
      </c>
      <c r="AH41" s="267">
        <f t="shared" si="16"/>
        <v>4732.5</v>
      </c>
      <c r="AI41" s="250">
        <v>3</v>
      </c>
      <c r="AJ41" s="267">
        <f t="shared" si="17"/>
        <v>18930</v>
      </c>
      <c r="AK41" s="250">
        <v>68.5</v>
      </c>
      <c r="AL41" s="267">
        <f t="shared" si="18"/>
        <v>367845</v>
      </c>
      <c r="AM41" s="250">
        <v>36.5</v>
      </c>
      <c r="AN41" s="267">
        <f t="shared" si="19"/>
        <v>196005</v>
      </c>
      <c r="AO41" s="250">
        <v>20</v>
      </c>
      <c r="AP41" s="271">
        <f t="shared" si="20"/>
        <v>134740</v>
      </c>
      <c r="AQ41" s="237">
        <v>9.5</v>
      </c>
      <c r="AR41" s="266">
        <f t="shared" si="21"/>
        <v>59850</v>
      </c>
      <c r="AS41" s="250">
        <v>3.25</v>
      </c>
      <c r="AT41" s="267">
        <f t="shared" si="22"/>
        <v>42942.25</v>
      </c>
      <c r="AU41" s="250">
        <v>8</v>
      </c>
      <c r="AV41" s="273">
        <f t="shared" si="23"/>
        <v>46056</v>
      </c>
      <c r="AW41" s="243"/>
      <c r="AX41" s="95">
        <f t="shared" si="24"/>
        <v>0</v>
      </c>
      <c r="AY41" s="178">
        <f t="shared" si="25"/>
        <v>1411925.75</v>
      </c>
      <c r="AZ41" s="166">
        <f t="shared" si="87"/>
        <v>1514074.25</v>
      </c>
      <c r="BA41" s="167">
        <f t="shared" si="27"/>
        <v>1623375</v>
      </c>
      <c r="BB41" s="263">
        <f t="shared" si="28"/>
        <v>249.75</v>
      </c>
      <c r="BG41" s="26"/>
      <c r="BI41" s="116"/>
      <c r="BK41" s="277">
        <v>42880.371122685188</v>
      </c>
      <c r="BL41" s="276" t="s">
        <v>167</v>
      </c>
    </row>
    <row r="42" spans="1:65" ht="20.25" thickTop="1" thickBot="1" x14ac:dyDescent="0.35">
      <c r="A42" s="631" t="s">
        <v>30</v>
      </c>
      <c r="B42" s="629" t="s">
        <v>54</v>
      </c>
      <c r="C42" s="152">
        <v>150</v>
      </c>
      <c r="D42" s="153">
        <v>8</v>
      </c>
      <c r="E42" s="83">
        <f t="shared" si="1"/>
        <v>0</v>
      </c>
      <c r="F42" s="153">
        <v>6</v>
      </c>
      <c r="G42" s="83">
        <f t="shared" si="2"/>
        <v>0</v>
      </c>
      <c r="H42" s="153">
        <v>2</v>
      </c>
      <c r="I42" s="83">
        <f t="shared" si="3"/>
        <v>0</v>
      </c>
      <c r="J42" s="216">
        <f t="shared" si="4"/>
        <v>0</v>
      </c>
      <c r="K42" s="316" t="str">
        <f>C42&amp;$B$42&amp;$A$42</f>
        <v>150CLASE H36KV</v>
      </c>
      <c r="L42" s="231">
        <v>1.5</v>
      </c>
      <c r="M42" s="271">
        <f t="shared" si="5"/>
        <v>10617</v>
      </c>
      <c r="N42" s="236">
        <v>1.25</v>
      </c>
      <c r="O42" s="265">
        <f t="shared" si="6"/>
        <v>8847.5</v>
      </c>
      <c r="P42" s="236">
        <v>0.4</v>
      </c>
      <c r="Q42" s="266">
        <f t="shared" si="7"/>
        <v>2139.2000000000003</v>
      </c>
      <c r="R42" s="239">
        <v>7</v>
      </c>
      <c r="S42" s="267">
        <f t="shared" si="8"/>
        <v>50582</v>
      </c>
      <c r="T42" s="240">
        <v>0.5</v>
      </c>
      <c r="U42" s="266">
        <f t="shared" si="9"/>
        <v>2823.5</v>
      </c>
      <c r="V42" s="236">
        <v>0.75</v>
      </c>
      <c r="W42" s="266">
        <f t="shared" si="10"/>
        <v>5190.75</v>
      </c>
      <c r="X42" s="243"/>
      <c r="Y42" s="267">
        <f t="shared" si="11"/>
        <v>0</v>
      </c>
      <c r="Z42" s="268">
        <f t="shared" si="12"/>
        <v>80199.95</v>
      </c>
      <c r="AA42" s="247">
        <v>29.45</v>
      </c>
      <c r="AB42" s="267">
        <f t="shared" si="13"/>
        <v>185829.5</v>
      </c>
      <c r="AC42" s="252">
        <v>4.55</v>
      </c>
      <c r="AD42" s="267">
        <f t="shared" si="14"/>
        <v>28665</v>
      </c>
      <c r="AE42" s="254">
        <v>13.162500000000001</v>
      </c>
      <c r="AF42" s="267">
        <f t="shared" si="15"/>
        <v>82923.750000000015</v>
      </c>
      <c r="AG42" s="257">
        <v>0.5</v>
      </c>
      <c r="AH42" s="267">
        <f t="shared" si="16"/>
        <v>3155</v>
      </c>
      <c r="AI42" s="238">
        <v>1.25</v>
      </c>
      <c r="AJ42" s="267">
        <f t="shared" si="17"/>
        <v>7887.5</v>
      </c>
      <c r="AK42" s="254">
        <v>39.46</v>
      </c>
      <c r="AL42" s="267">
        <f t="shared" si="18"/>
        <v>211900.2</v>
      </c>
      <c r="AM42" s="236">
        <v>25.38</v>
      </c>
      <c r="AN42" s="267">
        <f t="shared" si="19"/>
        <v>136290.6</v>
      </c>
      <c r="AO42" s="260">
        <f t="shared" ref="AO42:AO47" si="113">AO30+2.75</f>
        <v>14.75</v>
      </c>
      <c r="AP42" s="271">
        <f t="shared" si="20"/>
        <v>99370.75</v>
      </c>
      <c r="AQ42" s="258">
        <v>7</v>
      </c>
      <c r="AR42" s="266">
        <f t="shared" si="21"/>
        <v>44100</v>
      </c>
      <c r="AS42" s="262">
        <v>3</v>
      </c>
      <c r="AT42" s="267">
        <f t="shared" si="22"/>
        <v>39639</v>
      </c>
      <c r="AU42" s="236">
        <v>4</v>
      </c>
      <c r="AV42" s="273">
        <f t="shared" si="23"/>
        <v>23028</v>
      </c>
      <c r="AW42" s="243"/>
      <c r="AX42" s="95">
        <f t="shared" si="24"/>
        <v>0</v>
      </c>
      <c r="AY42" s="179">
        <f t="shared" si="25"/>
        <v>862789.29999999993</v>
      </c>
      <c r="AZ42" s="164">
        <f>Z42+AY42</f>
        <v>942989.24999999988</v>
      </c>
      <c r="BA42" s="165">
        <f t="shared" si="27"/>
        <v>1000366.25</v>
      </c>
      <c r="BB42" s="263">
        <f t="shared" si="28"/>
        <v>153.9025</v>
      </c>
      <c r="BK42" s="277">
        <v>42872.601157407407</v>
      </c>
      <c r="BL42" s="276" t="s">
        <v>167</v>
      </c>
    </row>
    <row r="43" spans="1:65" ht="19.5" thickBot="1" x14ac:dyDescent="0.35">
      <c r="A43" s="620"/>
      <c r="B43" s="562"/>
      <c r="C43" s="88">
        <v>225</v>
      </c>
      <c r="D43" s="74">
        <v>8</v>
      </c>
      <c r="E43" s="83">
        <f t="shared" si="1"/>
        <v>0</v>
      </c>
      <c r="F43" s="74">
        <v>6</v>
      </c>
      <c r="G43" s="83">
        <f t="shared" si="2"/>
        <v>0</v>
      </c>
      <c r="H43" s="74">
        <v>2</v>
      </c>
      <c r="I43" s="83">
        <f t="shared" si="3"/>
        <v>0</v>
      </c>
      <c r="J43" s="216">
        <f t="shared" si="4"/>
        <v>0</v>
      </c>
      <c r="K43" s="316" t="str">
        <f t="shared" ref="K43:K52" si="114">C43&amp;$B$42&amp;$A$42</f>
        <v>225CLASE H36KV</v>
      </c>
      <c r="L43" s="233">
        <v>1.5</v>
      </c>
      <c r="M43" s="271">
        <f t="shared" si="5"/>
        <v>10617</v>
      </c>
      <c r="N43" s="236">
        <v>1.25</v>
      </c>
      <c r="O43" s="265">
        <f t="shared" si="6"/>
        <v>8847.5</v>
      </c>
      <c r="P43" s="236">
        <v>0.4</v>
      </c>
      <c r="Q43" s="266">
        <f t="shared" si="7"/>
        <v>2139.2000000000003</v>
      </c>
      <c r="R43" s="236">
        <v>7</v>
      </c>
      <c r="S43" s="267">
        <f t="shared" si="8"/>
        <v>50582</v>
      </c>
      <c r="T43" s="241">
        <v>0.5</v>
      </c>
      <c r="U43" s="266">
        <f t="shared" si="9"/>
        <v>2823.5</v>
      </c>
      <c r="V43" s="236">
        <v>0.75</v>
      </c>
      <c r="W43" s="266">
        <f t="shared" si="10"/>
        <v>5190.75</v>
      </c>
      <c r="X43" s="243"/>
      <c r="Y43" s="267">
        <f t="shared" si="11"/>
        <v>0</v>
      </c>
      <c r="Z43" s="268">
        <f t="shared" si="12"/>
        <v>80199.95</v>
      </c>
      <c r="AA43" s="248">
        <v>31.64</v>
      </c>
      <c r="AB43" s="267">
        <f t="shared" si="13"/>
        <v>199648.4</v>
      </c>
      <c r="AC43" s="236">
        <v>4.41</v>
      </c>
      <c r="AD43" s="267">
        <f t="shared" si="14"/>
        <v>27783</v>
      </c>
      <c r="AE43" s="255">
        <v>13.5</v>
      </c>
      <c r="AF43" s="267">
        <f t="shared" si="15"/>
        <v>85050</v>
      </c>
      <c r="AG43" s="241">
        <v>0.5</v>
      </c>
      <c r="AH43" s="267">
        <f t="shared" si="16"/>
        <v>3155</v>
      </c>
      <c r="AI43" s="258">
        <v>1.5</v>
      </c>
      <c r="AJ43" s="267">
        <f t="shared" si="17"/>
        <v>9465</v>
      </c>
      <c r="AK43" s="255">
        <v>44.25</v>
      </c>
      <c r="AL43" s="267">
        <f t="shared" si="18"/>
        <v>237622.5</v>
      </c>
      <c r="AM43" s="236">
        <v>27.65</v>
      </c>
      <c r="AN43" s="267">
        <f t="shared" si="19"/>
        <v>148480.5</v>
      </c>
      <c r="AO43" s="241">
        <f t="shared" si="113"/>
        <v>15.25</v>
      </c>
      <c r="AP43" s="271">
        <f t="shared" si="20"/>
        <v>102739.25</v>
      </c>
      <c r="AQ43" s="256">
        <v>7.25</v>
      </c>
      <c r="AR43" s="266">
        <f t="shared" si="21"/>
        <v>45675</v>
      </c>
      <c r="AS43" s="256">
        <v>3</v>
      </c>
      <c r="AT43" s="267">
        <f t="shared" si="22"/>
        <v>39639</v>
      </c>
      <c r="AU43" s="236">
        <v>4.8499999999999996</v>
      </c>
      <c r="AV43" s="273">
        <f t="shared" si="23"/>
        <v>27921.449999999997</v>
      </c>
      <c r="AW43" s="243"/>
      <c r="AX43" s="95">
        <f t="shared" si="24"/>
        <v>0</v>
      </c>
      <c r="AY43" s="108">
        <f t="shared" si="25"/>
        <v>927179.1</v>
      </c>
      <c r="AZ43" s="169">
        <f t="shared" si="87"/>
        <v>1007379.0499999999</v>
      </c>
      <c r="BA43" s="110">
        <f t="shared" si="27"/>
        <v>1073800</v>
      </c>
      <c r="BB43" s="263">
        <f t="shared" si="28"/>
        <v>165.2</v>
      </c>
      <c r="BK43" s="277">
        <v>42872.601064814815</v>
      </c>
      <c r="BL43" s="276" t="s">
        <v>167</v>
      </c>
    </row>
    <row r="44" spans="1:65" ht="19.5" thickBot="1" x14ac:dyDescent="0.35">
      <c r="A44" s="620"/>
      <c r="B44" s="562"/>
      <c r="C44" s="88">
        <v>300</v>
      </c>
      <c r="D44" s="74">
        <v>8</v>
      </c>
      <c r="E44" s="83">
        <f t="shared" si="1"/>
        <v>0</v>
      </c>
      <c r="F44" s="74">
        <v>6</v>
      </c>
      <c r="G44" s="83">
        <f t="shared" si="2"/>
        <v>0</v>
      </c>
      <c r="H44" s="74">
        <v>2</v>
      </c>
      <c r="I44" s="83">
        <f t="shared" si="3"/>
        <v>0</v>
      </c>
      <c r="J44" s="216">
        <f t="shared" si="4"/>
        <v>0</v>
      </c>
      <c r="K44" s="316" t="str">
        <f t="shared" si="114"/>
        <v>300CLASE H36KV</v>
      </c>
      <c r="L44" s="233">
        <v>1.5</v>
      </c>
      <c r="M44" s="271">
        <f t="shared" si="5"/>
        <v>10617</v>
      </c>
      <c r="N44" s="236">
        <v>1.25</v>
      </c>
      <c r="O44" s="265">
        <f t="shared" si="6"/>
        <v>8847.5</v>
      </c>
      <c r="P44" s="236">
        <v>0.4</v>
      </c>
      <c r="Q44" s="266">
        <f t="shared" si="7"/>
        <v>2139.2000000000003</v>
      </c>
      <c r="R44" s="236">
        <v>7</v>
      </c>
      <c r="S44" s="267">
        <f t="shared" si="8"/>
        <v>50582</v>
      </c>
      <c r="T44" s="236">
        <v>0.7</v>
      </c>
      <c r="U44" s="266">
        <f t="shared" si="9"/>
        <v>3952.8999999999996</v>
      </c>
      <c r="V44" s="236">
        <v>0.75</v>
      </c>
      <c r="W44" s="266">
        <f t="shared" si="10"/>
        <v>5190.75</v>
      </c>
      <c r="X44" s="243"/>
      <c r="Y44" s="267">
        <f t="shared" si="11"/>
        <v>0</v>
      </c>
      <c r="Z44" s="268">
        <f t="shared" si="12"/>
        <v>81329.349999999991</v>
      </c>
      <c r="AA44" s="248">
        <v>34.49</v>
      </c>
      <c r="AB44" s="267">
        <f t="shared" si="13"/>
        <v>217631.90000000002</v>
      </c>
      <c r="AC44" s="236">
        <v>5.25</v>
      </c>
      <c r="AD44" s="267">
        <f t="shared" si="14"/>
        <v>33075</v>
      </c>
      <c r="AE44" s="256">
        <v>15.862500000000001</v>
      </c>
      <c r="AF44" s="267">
        <f t="shared" si="15"/>
        <v>99933.75</v>
      </c>
      <c r="AG44" s="241">
        <v>0.75</v>
      </c>
      <c r="AH44" s="267">
        <f t="shared" si="16"/>
        <v>4732.5</v>
      </c>
      <c r="AI44" s="256">
        <v>2</v>
      </c>
      <c r="AJ44" s="267">
        <f t="shared" si="17"/>
        <v>12620</v>
      </c>
      <c r="AK44" s="256">
        <v>49.75</v>
      </c>
      <c r="AL44" s="267">
        <f t="shared" si="18"/>
        <v>267157.5</v>
      </c>
      <c r="AM44" s="236">
        <v>30.98</v>
      </c>
      <c r="AN44" s="267">
        <f t="shared" si="19"/>
        <v>166362.6</v>
      </c>
      <c r="AO44" s="241">
        <f t="shared" si="113"/>
        <v>15.75</v>
      </c>
      <c r="AP44" s="271">
        <f t="shared" si="20"/>
        <v>106107.75</v>
      </c>
      <c r="AQ44" s="256">
        <v>7.25</v>
      </c>
      <c r="AR44" s="266">
        <f t="shared" si="21"/>
        <v>45675</v>
      </c>
      <c r="AS44" s="256">
        <v>3</v>
      </c>
      <c r="AT44" s="267">
        <f t="shared" si="22"/>
        <v>39639</v>
      </c>
      <c r="AU44" s="236">
        <v>5</v>
      </c>
      <c r="AV44" s="273">
        <f t="shared" si="23"/>
        <v>28785</v>
      </c>
      <c r="AW44" s="243"/>
      <c r="AX44" s="95">
        <f t="shared" si="24"/>
        <v>0</v>
      </c>
      <c r="AY44" s="108">
        <f t="shared" si="25"/>
        <v>1021720</v>
      </c>
      <c r="AZ44" s="169">
        <f t="shared" si="87"/>
        <v>1103049.3500000001</v>
      </c>
      <c r="BA44" s="110">
        <f t="shared" si="27"/>
        <v>1180936.25</v>
      </c>
      <c r="BB44" s="263">
        <f t="shared" si="28"/>
        <v>181.6825</v>
      </c>
      <c r="BK44" s="277">
        <v>42872.600960648146</v>
      </c>
      <c r="BL44" s="277" t="s">
        <v>167</v>
      </c>
    </row>
    <row r="45" spans="1:65" ht="19.5" thickBot="1" x14ac:dyDescent="0.35">
      <c r="A45" s="620"/>
      <c r="B45" s="562"/>
      <c r="C45" s="88">
        <v>400</v>
      </c>
      <c r="D45" s="74">
        <v>12</v>
      </c>
      <c r="E45" s="83">
        <f t="shared" si="1"/>
        <v>0</v>
      </c>
      <c r="F45" s="74">
        <v>6</v>
      </c>
      <c r="G45" s="83">
        <f t="shared" si="2"/>
        <v>0</v>
      </c>
      <c r="H45" s="74">
        <v>2</v>
      </c>
      <c r="I45" s="83">
        <f t="shared" si="3"/>
        <v>0</v>
      </c>
      <c r="J45" s="216">
        <f t="shared" si="4"/>
        <v>0</v>
      </c>
      <c r="K45" s="316" t="str">
        <f t="shared" si="114"/>
        <v>400CLASE H36KV</v>
      </c>
      <c r="L45" s="233">
        <v>1.5</v>
      </c>
      <c r="M45" s="271">
        <f t="shared" si="5"/>
        <v>10617</v>
      </c>
      <c r="N45" s="236">
        <v>1.5</v>
      </c>
      <c r="O45" s="265">
        <f t="shared" si="6"/>
        <v>10617</v>
      </c>
      <c r="P45" s="236">
        <v>0.4</v>
      </c>
      <c r="Q45" s="266">
        <f t="shared" si="7"/>
        <v>2139.2000000000003</v>
      </c>
      <c r="R45" s="236">
        <v>8</v>
      </c>
      <c r="S45" s="267">
        <f t="shared" si="8"/>
        <v>57808</v>
      </c>
      <c r="T45" s="236">
        <v>0.7</v>
      </c>
      <c r="U45" s="266">
        <f t="shared" si="9"/>
        <v>3952.8999999999996</v>
      </c>
      <c r="V45" s="236">
        <v>0.75</v>
      </c>
      <c r="W45" s="266">
        <f t="shared" si="10"/>
        <v>5190.75</v>
      </c>
      <c r="X45" s="243"/>
      <c r="Y45" s="267">
        <f t="shared" si="11"/>
        <v>0</v>
      </c>
      <c r="Z45" s="268">
        <f t="shared" si="12"/>
        <v>90324.849999999991</v>
      </c>
      <c r="AA45" s="248">
        <v>36.85</v>
      </c>
      <c r="AB45" s="267">
        <f t="shared" si="13"/>
        <v>232523.5</v>
      </c>
      <c r="AC45" s="236">
        <v>5.45</v>
      </c>
      <c r="AD45" s="267">
        <f t="shared" si="14"/>
        <v>34335</v>
      </c>
      <c r="AE45" s="256">
        <v>19.912500000000001</v>
      </c>
      <c r="AF45" s="267">
        <f t="shared" si="15"/>
        <v>125448.75000000001</v>
      </c>
      <c r="AG45" s="241">
        <v>0.75</v>
      </c>
      <c r="AH45" s="267">
        <f t="shared" si="16"/>
        <v>4732.5</v>
      </c>
      <c r="AI45" s="256">
        <v>2</v>
      </c>
      <c r="AJ45" s="267">
        <f t="shared" si="17"/>
        <v>12620</v>
      </c>
      <c r="AK45" s="256">
        <v>54.45</v>
      </c>
      <c r="AL45" s="267">
        <f t="shared" si="18"/>
        <v>292396.5</v>
      </c>
      <c r="AM45" s="236">
        <v>32.450000000000003</v>
      </c>
      <c r="AN45" s="267">
        <f t="shared" si="19"/>
        <v>174256.50000000003</v>
      </c>
      <c r="AO45" s="241">
        <f t="shared" si="113"/>
        <v>17.25</v>
      </c>
      <c r="AP45" s="271">
        <f t="shared" si="20"/>
        <v>116213.25</v>
      </c>
      <c r="AQ45" s="256">
        <v>7.75</v>
      </c>
      <c r="AR45" s="266">
        <f t="shared" si="21"/>
        <v>48825</v>
      </c>
      <c r="AS45" s="256">
        <v>3</v>
      </c>
      <c r="AT45" s="267">
        <f t="shared" si="22"/>
        <v>39639</v>
      </c>
      <c r="AU45" s="236">
        <v>5.25</v>
      </c>
      <c r="AV45" s="273">
        <f t="shared" si="23"/>
        <v>30224.25</v>
      </c>
      <c r="AW45" s="243"/>
      <c r="AX45" s="95">
        <f t="shared" si="24"/>
        <v>0</v>
      </c>
      <c r="AY45" s="108">
        <f t="shared" si="25"/>
        <v>1111214.25</v>
      </c>
      <c r="AZ45" s="169">
        <f t="shared" si="87"/>
        <v>1201539.1000000001</v>
      </c>
      <c r="BA45" s="110">
        <f t="shared" si="27"/>
        <v>1286756.2499999998</v>
      </c>
      <c r="BB45" s="263">
        <f t="shared" si="28"/>
        <v>197.96249999999998</v>
      </c>
      <c r="BK45" s="277">
        <v>42872.600486111114</v>
      </c>
      <c r="BL45" s="276" t="s">
        <v>167</v>
      </c>
    </row>
    <row r="46" spans="1:65" ht="19.5" thickBot="1" x14ac:dyDescent="0.35">
      <c r="A46" s="620"/>
      <c r="B46" s="562"/>
      <c r="C46" s="88">
        <v>500</v>
      </c>
      <c r="D46" s="74">
        <v>12</v>
      </c>
      <c r="E46" s="83">
        <f t="shared" si="1"/>
        <v>0</v>
      </c>
      <c r="F46" s="74">
        <v>6</v>
      </c>
      <c r="G46" s="83">
        <f t="shared" si="2"/>
        <v>0</v>
      </c>
      <c r="H46" s="74">
        <v>2</v>
      </c>
      <c r="I46" s="83">
        <f t="shared" si="3"/>
        <v>0</v>
      </c>
      <c r="J46" s="216">
        <f t="shared" si="4"/>
        <v>0</v>
      </c>
      <c r="K46" s="316" t="str">
        <f t="shared" si="114"/>
        <v>500CLASE H36KV</v>
      </c>
      <c r="L46" s="233">
        <v>1.5</v>
      </c>
      <c r="M46" s="271">
        <f t="shared" si="5"/>
        <v>10617</v>
      </c>
      <c r="N46" s="236">
        <v>1.5</v>
      </c>
      <c r="O46" s="265">
        <f t="shared" si="6"/>
        <v>10617</v>
      </c>
      <c r="P46" s="236">
        <v>0.5</v>
      </c>
      <c r="Q46" s="266">
        <f t="shared" si="7"/>
        <v>2674</v>
      </c>
      <c r="R46" s="236">
        <v>8</v>
      </c>
      <c r="S46" s="267">
        <f t="shared" si="8"/>
        <v>57808</v>
      </c>
      <c r="T46" s="236">
        <v>0.85</v>
      </c>
      <c r="U46" s="266">
        <f t="shared" si="9"/>
        <v>4799.95</v>
      </c>
      <c r="V46" s="236">
        <v>1</v>
      </c>
      <c r="W46" s="266">
        <f t="shared" si="10"/>
        <v>6921</v>
      </c>
      <c r="X46" s="243"/>
      <c r="Y46" s="267">
        <f t="shared" si="11"/>
        <v>0</v>
      </c>
      <c r="Z46" s="268">
        <f t="shared" si="12"/>
        <v>93436.95</v>
      </c>
      <c r="AA46" s="248">
        <v>38.25</v>
      </c>
      <c r="AB46" s="267">
        <f t="shared" si="13"/>
        <v>241357.5</v>
      </c>
      <c r="AC46" s="236">
        <v>5.64</v>
      </c>
      <c r="AD46" s="267">
        <f t="shared" si="14"/>
        <v>35532</v>
      </c>
      <c r="AE46" s="256">
        <v>19.102500000000003</v>
      </c>
      <c r="AF46" s="267">
        <f t="shared" si="15"/>
        <v>120345.75000000001</v>
      </c>
      <c r="AG46" s="241">
        <v>0.75</v>
      </c>
      <c r="AH46" s="267">
        <f t="shared" si="16"/>
        <v>4732.5</v>
      </c>
      <c r="AI46" s="256">
        <v>2.25</v>
      </c>
      <c r="AJ46" s="267">
        <f t="shared" si="17"/>
        <v>14197.5</v>
      </c>
      <c r="AK46" s="256">
        <v>56.67</v>
      </c>
      <c r="AL46" s="267">
        <f t="shared" si="18"/>
        <v>304317.90000000002</v>
      </c>
      <c r="AM46" s="236">
        <v>34</v>
      </c>
      <c r="AN46" s="267">
        <f t="shared" si="19"/>
        <v>182580</v>
      </c>
      <c r="AO46" s="241">
        <f t="shared" si="113"/>
        <v>17.75</v>
      </c>
      <c r="AP46" s="271">
        <f t="shared" si="20"/>
        <v>119581.75</v>
      </c>
      <c r="AQ46" s="256">
        <v>7.75</v>
      </c>
      <c r="AR46" s="266">
        <f t="shared" si="21"/>
        <v>48825</v>
      </c>
      <c r="AS46" s="256">
        <v>3</v>
      </c>
      <c r="AT46" s="267">
        <f t="shared" si="22"/>
        <v>39639</v>
      </c>
      <c r="AU46" s="236">
        <v>5.5</v>
      </c>
      <c r="AV46" s="273">
        <f t="shared" si="23"/>
        <v>31663.5</v>
      </c>
      <c r="AW46" s="243"/>
      <c r="AX46" s="95">
        <f t="shared" si="24"/>
        <v>0</v>
      </c>
      <c r="AY46" s="108">
        <f t="shared" si="25"/>
        <v>1142772.3999999999</v>
      </c>
      <c r="AZ46" s="169">
        <f t="shared" si="87"/>
        <v>1236209.3499999999</v>
      </c>
      <c r="BA46" s="110">
        <f t="shared" si="27"/>
        <v>1326081.25</v>
      </c>
      <c r="BB46" s="263">
        <f t="shared" si="28"/>
        <v>204.01249999999999</v>
      </c>
      <c r="BK46" s="277">
        <v>42872.6015162037</v>
      </c>
      <c r="BL46" s="276" t="s">
        <v>167</v>
      </c>
    </row>
    <row r="47" spans="1:65" ht="19.5" thickBot="1" x14ac:dyDescent="0.35">
      <c r="A47" s="620"/>
      <c r="B47" s="562"/>
      <c r="C47" s="88">
        <v>630</v>
      </c>
      <c r="D47" s="74">
        <v>12</v>
      </c>
      <c r="E47" s="83">
        <f t="shared" si="1"/>
        <v>0</v>
      </c>
      <c r="F47" s="74">
        <v>6</v>
      </c>
      <c r="G47" s="83">
        <f t="shared" si="2"/>
        <v>0</v>
      </c>
      <c r="H47" s="74">
        <v>2</v>
      </c>
      <c r="I47" s="83">
        <f t="shared" si="3"/>
        <v>0</v>
      </c>
      <c r="J47" s="216">
        <f t="shared" si="4"/>
        <v>0</v>
      </c>
      <c r="K47" s="316" t="str">
        <f t="shared" si="114"/>
        <v>630CLASE H36KV</v>
      </c>
      <c r="L47" s="233">
        <v>1.5</v>
      </c>
      <c r="M47" s="271">
        <f t="shared" si="5"/>
        <v>10617</v>
      </c>
      <c r="N47" s="236">
        <v>1.25</v>
      </c>
      <c r="O47" s="265">
        <f t="shared" si="6"/>
        <v>8847.5</v>
      </c>
      <c r="P47" s="236">
        <v>0.5</v>
      </c>
      <c r="Q47" s="266">
        <f t="shared" si="7"/>
        <v>2674</v>
      </c>
      <c r="R47" s="236">
        <v>8</v>
      </c>
      <c r="S47" s="267">
        <f t="shared" si="8"/>
        <v>57808</v>
      </c>
      <c r="T47" s="236">
        <v>0.85</v>
      </c>
      <c r="U47" s="266">
        <f t="shared" si="9"/>
        <v>4799.95</v>
      </c>
      <c r="V47" s="236">
        <v>1</v>
      </c>
      <c r="W47" s="266">
        <f t="shared" si="10"/>
        <v>6921</v>
      </c>
      <c r="X47" s="243"/>
      <c r="Y47" s="267">
        <f t="shared" si="11"/>
        <v>0</v>
      </c>
      <c r="Z47" s="268">
        <f t="shared" si="12"/>
        <v>91667.45</v>
      </c>
      <c r="AA47" s="248">
        <v>41.25</v>
      </c>
      <c r="AB47" s="267">
        <f t="shared" si="13"/>
        <v>260287.5</v>
      </c>
      <c r="AC47" s="236">
        <v>6.27</v>
      </c>
      <c r="AD47" s="267">
        <f t="shared" si="14"/>
        <v>39501</v>
      </c>
      <c r="AE47" s="256">
        <v>21.6</v>
      </c>
      <c r="AF47" s="267">
        <f t="shared" si="15"/>
        <v>136080</v>
      </c>
      <c r="AG47" s="241">
        <v>0.75</v>
      </c>
      <c r="AH47" s="267">
        <f t="shared" si="16"/>
        <v>4732.5</v>
      </c>
      <c r="AI47" s="256">
        <v>2.5</v>
      </c>
      <c r="AJ47" s="267">
        <f t="shared" si="17"/>
        <v>15775</v>
      </c>
      <c r="AK47" s="256">
        <v>58.25</v>
      </c>
      <c r="AL47" s="267">
        <f t="shared" si="18"/>
        <v>312802.5</v>
      </c>
      <c r="AM47" s="236">
        <v>36.75</v>
      </c>
      <c r="AN47" s="267">
        <f t="shared" si="19"/>
        <v>197347.5</v>
      </c>
      <c r="AO47" s="241">
        <f t="shared" si="113"/>
        <v>18.75</v>
      </c>
      <c r="AP47" s="271">
        <f t="shared" si="20"/>
        <v>126318.75</v>
      </c>
      <c r="AQ47" s="256">
        <v>8.25</v>
      </c>
      <c r="AR47" s="266">
        <f t="shared" si="21"/>
        <v>51975</v>
      </c>
      <c r="AS47" s="256">
        <v>3</v>
      </c>
      <c r="AT47" s="267">
        <f t="shared" si="22"/>
        <v>39639</v>
      </c>
      <c r="AU47" s="236">
        <v>6</v>
      </c>
      <c r="AV47" s="273">
        <f t="shared" si="23"/>
        <v>34542</v>
      </c>
      <c r="AW47" s="243"/>
      <c r="AX47" s="95">
        <f t="shared" si="24"/>
        <v>0</v>
      </c>
      <c r="AY47" s="108">
        <f t="shared" si="25"/>
        <v>1219000.75</v>
      </c>
      <c r="AZ47" s="169">
        <f>Z47+AY47</f>
        <v>1310668.2</v>
      </c>
      <c r="BA47" s="110">
        <f t="shared" si="27"/>
        <v>1407055</v>
      </c>
      <c r="BB47" s="263">
        <f t="shared" si="28"/>
        <v>216.47</v>
      </c>
      <c r="BK47" s="277">
        <v>42872.601655092592</v>
      </c>
      <c r="BL47" s="276" t="s">
        <v>167</v>
      </c>
    </row>
    <row r="48" spans="1:65" ht="19.5" thickBot="1" x14ac:dyDescent="0.35">
      <c r="A48" s="620"/>
      <c r="B48" s="562"/>
      <c r="C48" s="88">
        <v>800</v>
      </c>
      <c r="D48" s="74">
        <v>16</v>
      </c>
      <c r="E48" s="83">
        <f t="shared" si="1"/>
        <v>0</v>
      </c>
      <c r="F48" s="74">
        <v>6</v>
      </c>
      <c r="G48" s="83">
        <f t="shared" si="2"/>
        <v>0</v>
      </c>
      <c r="H48" s="74">
        <v>4</v>
      </c>
      <c r="I48" s="83">
        <f t="shared" si="3"/>
        <v>0</v>
      </c>
      <c r="J48" s="216">
        <f t="shared" si="4"/>
        <v>0</v>
      </c>
      <c r="K48" s="316" t="str">
        <f t="shared" si="114"/>
        <v>800CLASE H36KV</v>
      </c>
      <c r="L48" s="233">
        <v>1.5</v>
      </c>
      <c r="M48" s="271">
        <f t="shared" si="5"/>
        <v>10617</v>
      </c>
      <c r="N48" s="236">
        <v>2.25</v>
      </c>
      <c r="O48" s="265">
        <f t="shared" si="6"/>
        <v>15925.5</v>
      </c>
      <c r="P48" s="236">
        <v>0.5</v>
      </c>
      <c r="Q48" s="266">
        <f t="shared" si="7"/>
        <v>2674</v>
      </c>
      <c r="R48" s="236">
        <v>8</v>
      </c>
      <c r="S48" s="267">
        <f t="shared" si="8"/>
        <v>57808</v>
      </c>
      <c r="T48" s="236">
        <v>1.05</v>
      </c>
      <c r="U48" s="266">
        <f t="shared" si="9"/>
        <v>5929.35</v>
      </c>
      <c r="V48" s="236">
        <v>1</v>
      </c>
      <c r="W48" s="266">
        <f t="shared" si="10"/>
        <v>6921</v>
      </c>
      <c r="X48" s="243"/>
      <c r="Y48" s="267">
        <f t="shared" si="11"/>
        <v>0</v>
      </c>
      <c r="Z48" s="268">
        <f t="shared" si="12"/>
        <v>99874.85</v>
      </c>
      <c r="AA48" s="248">
        <v>45.5</v>
      </c>
      <c r="AB48" s="267">
        <f t="shared" si="13"/>
        <v>287105</v>
      </c>
      <c r="AC48" s="236">
        <v>6.5</v>
      </c>
      <c r="AD48" s="267">
        <f t="shared" si="14"/>
        <v>40950</v>
      </c>
      <c r="AE48" s="256">
        <v>24.3</v>
      </c>
      <c r="AF48" s="267">
        <f t="shared" si="15"/>
        <v>153090</v>
      </c>
      <c r="AG48" s="241">
        <v>0.75</v>
      </c>
      <c r="AH48" s="267">
        <f t="shared" si="16"/>
        <v>4732.5</v>
      </c>
      <c r="AI48" s="256">
        <v>2.5</v>
      </c>
      <c r="AJ48" s="267">
        <f t="shared" si="17"/>
        <v>15775</v>
      </c>
      <c r="AK48" s="256">
        <v>60.45</v>
      </c>
      <c r="AL48" s="267">
        <f t="shared" si="18"/>
        <v>324616.5</v>
      </c>
      <c r="AM48" s="236">
        <v>38.25</v>
      </c>
      <c r="AN48" s="267" t="e">
        <f>$AN$5*#REF!</f>
        <v>#REF!</v>
      </c>
      <c r="AO48" s="241">
        <f t="shared" ref="AO48:AO52" si="115">AO37+2.75</f>
        <v>20.75</v>
      </c>
      <c r="AP48" s="271">
        <f t="shared" si="20"/>
        <v>139792.75</v>
      </c>
      <c r="AQ48" s="256">
        <v>8.25</v>
      </c>
      <c r="AR48" s="266">
        <f t="shared" si="21"/>
        <v>51975</v>
      </c>
      <c r="AS48" s="256" t="s">
        <v>175</v>
      </c>
      <c r="AT48" s="267" t="e">
        <f t="shared" si="22"/>
        <v>#VALUE!</v>
      </c>
      <c r="AU48" s="236">
        <v>6</v>
      </c>
      <c r="AV48" s="273">
        <f t="shared" si="23"/>
        <v>34542</v>
      </c>
      <c r="AW48" s="243"/>
      <c r="AX48" s="95">
        <f t="shared" si="24"/>
        <v>0</v>
      </c>
      <c r="AY48" s="108" t="e">
        <f t="shared" si="25"/>
        <v>#REF!</v>
      </c>
      <c r="AZ48" s="169" t="e">
        <f t="shared" si="87"/>
        <v>#REF!</v>
      </c>
      <c r="BA48" s="110" t="e">
        <f t="shared" si="27"/>
        <v>#REF!</v>
      </c>
      <c r="BB48" s="263" t="e">
        <f>+L48+N48+P48+R48+T48+V48+X48+AA48+AC48+AE48+AG48+AI48+AK48+#REF!+AO48+AQ48+AS48+AU48+AW48</f>
        <v>#REF!</v>
      </c>
      <c r="BK48" s="277">
        <v>42950.501979166664</v>
      </c>
      <c r="BL48" s="276" t="s">
        <v>167</v>
      </c>
    </row>
    <row r="49" spans="1:64" ht="19.5" thickBot="1" x14ac:dyDescent="0.35">
      <c r="A49" s="620"/>
      <c r="B49" s="562"/>
      <c r="C49" s="88">
        <v>1000</v>
      </c>
      <c r="D49" s="74">
        <v>16</v>
      </c>
      <c r="E49" s="83">
        <f t="shared" si="1"/>
        <v>0</v>
      </c>
      <c r="F49" s="74">
        <v>8</v>
      </c>
      <c r="G49" s="83">
        <f t="shared" si="2"/>
        <v>0</v>
      </c>
      <c r="H49" s="74">
        <v>4</v>
      </c>
      <c r="I49" s="83">
        <f t="shared" si="3"/>
        <v>0</v>
      </c>
      <c r="J49" s="216">
        <f t="shared" si="4"/>
        <v>0</v>
      </c>
      <c r="K49" s="316" t="str">
        <f t="shared" si="114"/>
        <v>1000CLASE H36KV</v>
      </c>
      <c r="L49" s="233">
        <v>1.5</v>
      </c>
      <c r="M49" s="271">
        <f t="shared" si="5"/>
        <v>10617</v>
      </c>
      <c r="N49" s="236">
        <v>2.25</v>
      </c>
      <c r="O49" s="265">
        <f t="shared" si="6"/>
        <v>15925.5</v>
      </c>
      <c r="P49" s="236">
        <v>0</v>
      </c>
      <c r="Q49" s="266">
        <f t="shared" si="7"/>
        <v>0</v>
      </c>
      <c r="R49" s="236">
        <v>8</v>
      </c>
      <c r="S49" s="267">
        <f t="shared" si="8"/>
        <v>57808</v>
      </c>
      <c r="T49" s="236">
        <v>1.05</v>
      </c>
      <c r="U49" s="266">
        <f t="shared" si="9"/>
        <v>5929.35</v>
      </c>
      <c r="V49" s="236">
        <v>1</v>
      </c>
      <c r="W49" s="266">
        <f t="shared" si="10"/>
        <v>6921</v>
      </c>
      <c r="X49" s="243"/>
      <c r="Y49" s="267">
        <f t="shared" si="11"/>
        <v>0</v>
      </c>
      <c r="Z49" s="268">
        <f t="shared" si="12"/>
        <v>97200.85</v>
      </c>
      <c r="AA49" s="248">
        <v>48.5</v>
      </c>
      <c r="AB49" s="267">
        <f t="shared" si="13"/>
        <v>306035</v>
      </c>
      <c r="AC49" s="236">
        <v>7.75</v>
      </c>
      <c r="AD49" s="267">
        <f t="shared" si="14"/>
        <v>48825</v>
      </c>
      <c r="AE49" s="256">
        <v>25.852499999999999</v>
      </c>
      <c r="AF49" s="267">
        <f t="shared" si="15"/>
        <v>162870.75</v>
      </c>
      <c r="AG49" s="241">
        <v>0.75</v>
      </c>
      <c r="AH49" s="267">
        <f t="shared" si="16"/>
        <v>4732.5</v>
      </c>
      <c r="AI49" s="256">
        <v>2.5</v>
      </c>
      <c r="AJ49" s="267">
        <f t="shared" si="17"/>
        <v>15775</v>
      </c>
      <c r="AK49" s="256">
        <v>62</v>
      </c>
      <c r="AL49" s="267">
        <f t="shared" si="18"/>
        <v>332940</v>
      </c>
      <c r="AM49" s="236">
        <v>40.5</v>
      </c>
      <c r="AN49" s="267">
        <f t="shared" ref="AN49:AN54" si="116">$AN$5*AM48</f>
        <v>205402.5</v>
      </c>
      <c r="AO49" s="241">
        <f t="shared" si="115"/>
        <v>21.25</v>
      </c>
      <c r="AP49" s="271">
        <f t="shared" si="20"/>
        <v>143161.25</v>
      </c>
      <c r="AQ49" s="256">
        <v>8.49</v>
      </c>
      <c r="AR49" s="266">
        <f t="shared" si="21"/>
        <v>53487</v>
      </c>
      <c r="AS49" s="256">
        <v>3</v>
      </c>
      <c r="AT49" s="267">
        <f t="shared" si="22"/>
        <v>39639</v>
      </c>
      <c r="AU49" s="236">
        <v>7</v>
      </c>
      <c r="AV49" s="273">
        <f t="shared" si="23"/>
        <v>40299</v>
      </c>
      <c r="AW49" s="243"/>
      <c r="AX49" s="95">
        <f t="shared" si="24"/>
        <v>0</v>
      </c>
      <c r="AY49" s="108">
        <f t="shared" si="25"/>
        <v>1353167</v>
      </c>
      <c r="AZ49" s="169">
        <f t="shared" si="87"/>
        <v>1450367.85</v>
      </c>
      <c r="BA49" s="110">
        <f t="shared" si="27"/>
        <v>1554426.25</v>
      </c>
      <c r="BB49" s="263">
        <f t="shared" ref="BB49:BB54" si="117">+L49+N49+P49+R49+T49+V49+X49+AA49+AC49+AE49+AG49+AI49+AK49+AM48+AO49+AQ49+AS49+AU49+AW49</f>
        <v>239.14250000000001</v>
      </c>
      <c r="BK49" s="277">
        <v>42872.597766203704</v>
      </c>
      <c r="BL49" s="276" t="s">
        <v>167</v>
      </c>
    </row>
    <row r="50" spans="1:64" ht="19.5" thickBot="1" x14ac:dyDescent="0.35">
      <c r="A50" s="620"/>
      <c r="B50" s="562"/>
      <c r="C50" s="88">
        <v>1250</v>
      </c>
      <c r="D50" s="74">
        <v>16</v>
      </c>
      <c r="E50" s="83">
        <f t="shared" si="1"/>
        <v>0</v>
      </c>
      <c r="F50" s="74">
        <v>8</v>
      </c>
      <c r="G50" s="83">
        <f t="shared" si="2"/>
        <v>0</v>
      </c>
      <c r="H50" s="74">
        <v>4</v>
      </c>
      <c r="I50" s="83">
        <f t="shared" si="3"/>
        <v>0</v>
      </c>
      <c r="J50" s="216">
        <f t="shared" si="4"/>
        <v>0</v>
      </c>
      <c r="K50" s="316" t="str">
        <f t="shared" si="114"/>
        <v>1250CLASE H36KV</v>
      </c>
      <c r="L50" s="233">
        <v>1.5</v>
      </c>
      <c r="M50" s="271">
        <f t="shared" si="5"/>
        <v>10617</v>
      </c>
      <c r="N50" s="236">
        <v>2.5</v>
      </c>
      <c r="O50" s="265">
        <f t="shared" si="6"/>
        <v>17695</v>
      </c>
      <c r="P50" s="236">
        <v>0</v>
      </c>
      <c r="Q50" s="266">
        <f t="shared" si="7"/>
        <v>0</v>
      </c>
      <c r="R50" s="236">
        <v>8</v>
      </c>
      <c r="S50" s="267">
        <f t="shared" si="8"/>
        <v>57808</v>
      </c>
      <c r="T50" s="236">
        <v>1.05</v>
      </c>
      <c r="U50" s="266">
        <f t="shared" si="9"/>
        <v>5929.35</v>
      </c>
      <c r="V50" s="236">
        <v>1</v>
      </c>
      <c r="W50" s="266">
        <f t="shared" si="10"/>
        <v>6921</v>
      </c>
      <c r="X50" s="243"/>
      <c r="Y50" s="267">
        <f t="shared" si="11"/>
        <v>0</v>
      </c>
      <c r="Z50" s="268">
        <f t="shared" si="12"/>
        <v>98970.35</v>
      </c>
      <c r="AA50" s="248">
        <v>53.8</v>
      </c>
      <c r="AB50" s="267">
        <f t="shared" si="13"/>
        <v>339478</v>
      </c>
      <c r="AC50" s="236">
        <v>7.75</v>
      </c>
      <c r="AD50" s="267">
        <f t="shared" si="14"/>
        <v>48825</v>
      </c>
      <c r="AE50" s="256">
        <v>25.852499999999999</v>
      </c>
      <c r="AF50" s="267">
        <f t="shared" si="15"/>
        <v>162870.75</v>
      </c>
      <c r="AG50" s="241">
        <v>0.75</v>
      </c>
      <c r="AH50" s="267">
        <f t="shared" si="16"/>
        <v>4732.5</v>
      </c>
      <c r="AI50" s="256">
        <v>2.75</v>
      </c>
      <c r="AJ50" s="267">
        <f t="shared" si="17"/>
        <v>17352.5</v>
      </c>
      <c r="AK50" s="256">
        <v>62</v>
      </c>
      <c r="AL50" s="267">
        <f t="shared" si="18"/>
        <v>332940</v>
      </c>
      <c r="AM50" s="236">
        <v>41.86</v>
      </c>
      <c r="AN50" s="267">
        <f t="shared" si="116"/>
        <v>217485</v>
      </c>
      <c r="AO50" s="241">
        <f t="shared" si="115"/>
        <v>21.25</v>
      </c>
      <c r="AP50" s="271">
        <f t="shared" si="20"/>
        <v>143161.25</v>
      </c>
      <c r="AQ50" s="256">
        <v>8.49</v>
      </c>
      <c r="AR50" s="266">
        <f t="shared" si="21"/>
        <v>53487</v>
      </c>
      <c r="AS50" s="256">
        <v>3</v>
      </c>
      <c r="AT50" s="267">
        <f t="shared" si="22"/>
        <v>39639</v>
      </c>
      <c r="AU50" s="236">
        <v>7.25</v>
      </c>
      <c r="AV50" s="273">
        <f t="shared" si="23"/>
        <v>41738.25</v>
      </c>
      <c r="AW50" s="243"/>
      <c r="AX50" s="95">
        <f t="shared" si="24"/>
        <v>0</v>
      </c>
      <c r="AY50" s="108">
        <f t="shared" si="25"/>
        <v>1401709.25</v>
      </c>
      <c r="AZ50" s="169">
        <f t="shared" si="87"/>
        <v>1500679.6</v>
      </c>
      <c r="BA50" s="110">
        <f t="shared" si="27"/>
        <v>1608376.25</v>
      </c>
      <c r="BB50" s="263">
        <f t="shared" si="117"/>
        <v>247.4425</v>
      </c>
      <c r="BK50" s="277">
        <v>42872.597986111112</v>
      </c>
      <c r="BL50" s="277" t="s">
        <v>167</v>
      </c>
    </row>
    <row r="51" spans="1:64" ht="19.5" thickBot="1" x14ac:dyDescent="0.35">
      <c r="A51" s="620"/>
      <c r="B51" s="562"/>
      <c r="C51" s="88">
        <v>1600</v>
      </c>
      <c r="D51" s="74">
        <v>16</v>
      </c>
      <c r="E51" s="83">
        <f t="shared" si="1"/>
        <v>0</v>
      </c>
      <c r="F51" s="74">
        <v>8</v>
      </c>
      <c r="G51" s="83">
        <f t="shared" si="2"/>
        <v>0</v>
      </c>
      <c r="H51" s="74">
        <v>4</v>
      </c>
      <c r="I51" s="83">
        <f t="shared" si="3"/>
        <v>0</v>
      </c>
      <c r="J51" s="216">
        <f t="shared" si="4"/>
        <v>0</v>
      </c>
      <c r="K51" s="316" t="str">
        <f t="shared" si="114"/>
        <v>1600CLASE H36KV</v>
      </c>
      <c r="L51" s="233">
        <v>1.5</v>
      </c>
      <c r="M51" s="271">
        <f t="shared" si="5"/>
        <v>10617</v>
      </c>
      <c r="N51" s="236">
        <v>2.5</v>
      </c>
      <c r="O51" s="265">
        <f t="shared" si="6"/>
        <v>17695</v>
      </c>
      <c r="P51" s="236">
        <v>0</v>
      </c>
      <c r="Q51" s="266">
        <f t="shared" si="7"/>
        <v>0</v>
      </c>
      <c r="R51" s="236">
        <v>8</v>
      </c>
      <c r="S51" s="267">
        <f t="shared" si="8"/>
        <v>57808</v>
      </c>
      <c r="T51" s="236">
        <v>1.25</v>
      </c>
      <c r="U51" s="266">
        <f t="shared" si="9"/>
        <v>7058.75</v>
      </c>
      <c r="V51" s="236">
        <v>1.25</v>
      </c>
      <c r="W51" s="266">
        <f t="shared" si="10"/>
        <v>8651.25</v>
      </c>
      <c r="X51" s="243"/>
      <c r="Y51" s="267">
        <f t="shared" si="11"/>
        <v>0</v>
      </c>
      <c r="Z51" s="268">
        <f t="shared" si="12"/>
        <v>101830</v>
      </c>
      <c r="AA51" s="248">
        <v>57</v>
      </c>
      <c r="AB51" s="267">
        <f t="shared" si="13"/>
        <v>359670</v>
      </c>
      <c r="AC51" s="236">
        <v>7.8</v>
      </c>
      <c r="AD51" s="267">
        <f t="shared" si="14"/>
        <v>49140</v>
      </c>
      <c r="AE51" s="256">
        <v>28.35</v>
      </c>
      <c r="AF51" s="267">
        <f t="shared" si="15"/>
        <v>178605</v>
      </c>
      <c r="AG51" s="241">
        <v>0.75</v>
      </c>
      <c r="AH51" s="267">
        <f t="shared" si="16"/>
        <v>4732.5</v>
      </c>
      <c r="AI51" s="256">
        <v>2.75</v>
      </c>
      <c r="AJ51" s="267">
        <f t="shared" si="17"/>
        <v>17352.5</v>
      </c>
      <c r="AK51" s="256">
        <v>65</v>
      </c>
      <c r="AL51" s="267">
        <f t="shared" si="18"/>
        <v>349050</v>
      </c>
      <c r="AM51" s="236">
        <v>44.45</v>
      </c>
      <c r="AN51" s="267">
        <f t="shared" si="116"/>
        <v>224788.19999999998</v>
      </c>
      <c r="AO51" s="241">
        <f t="shared" si="115"/>
        <v>22.75</v>
      </c>
      <c r="AP51" s="271">
        <f t="shared" si="20"/>
        <v>153266.75</v>
      </c>
      <c r="AQ51" s="256">
        <v>8.9</v>
      </c>
      <c r="AR51" s="266">
        <f t="shared" si="21"/>
        <v>56070</v>
      </c>
      <c r="AS51" s="256">
        <v>3.25</v>
      </c>
      <c r="AT51" s="267">
        <f t="shared" si="22"/>
        <v>42942.25</v>
      </c>
      <c r="AU51" s="236">
        <v>8</v>
      </c>
      <c r="AV51" s="273">
        <f t="shared" si="23"/>
        <v>46056</v>
      </c>
      <c r="AW51" s="243"/>
      <c r="AX51" s="95">
        <f t="shared" si="24"/>
        <v>0</v>
      </c>
      <c r="AY51" s="108">
        <f t="shared" si="25"/>
        <v>1481673.2</v>
      </c>
      <c r="AZ51" s="169">
        <f t="shared" si="87"/>
        <v>1583503.2</v>
      </c>
      <c r="BA51" s="110">
        <f t="shared" si="27"/>
        <v>1695914.9999999998</v>
      </c>
      <c r="BB51" s="263">
        <f t="shared" si="117"/>
        <v>260.90999999999997</v>
      </c>
      <c r="BK51" s="277">
        <v>42872.598090277781</v>
      </c>
      <c r="BL51" s="276" t="s">
        <v>167</v>
      </c>
    </row>
    <row r="52" spans="1:64" ht="19.5" thickBot="1" x14ac:dyDescent="0.35">
      <c r="A52" s="632"/>
      <c r="B52" s="630"/>
      <c r="C52" s="154">
        <v>2000</v>
      </c>
      <c r="D52" s="155">
        <v>16</v>
      </c>
      <c r="E52" s="156">
        <f t="shared" si="1"/>
        <v>0</v>
      </c>
      <c r="F52" s="155">
        <v>12</v>
      </c>
      <c r="G52" s="156">
        <f t="shared" si="2"/>
        <v>0</v>
      </c>
      <c r="H52" s="155">
        <v>4</v>
      </c>
      <c r="I52" s="156">
        <f t="shared" si="3"/>
        <v>0</v>
      </c>
      <c r="J52" s="217">
        <f t="shared" si="4"/>
        <v>0</v>
      </c>
      <c r="K52" s="316" t="str">
        <f t="shared" si="114"/>
        <v>2000CLASE H36KV</v>
      </c>
      <c r="L52" s="234">
        <v>1.5</v>
      </c>
      <c r="M52" s="271">
        <f t="shared" si="5"/>
        <v>10617</v>
      </c>
      <c r="N52" s="237">
        <v>2.5</v>
      </c>
      <c r="O52" s="265">
        <f t="shared" si="6"/>
        <v>17695</v>
      </c>
      <c r="P52" s="237">
        <v>0</v>
      </c>
      <c r="Q52" s="266">
        <f t="shared" si="7"/>
        <v>0</v>
      </c>
      <c r="R52" s="237">
        <v>8</v>
      </c>
      <c r="S52" s="267">
        <f t="shared" si="8"/>
        <v>57808</v>
      </c>
      <c r="T52" s="237">
        <v>1.25</v>
      </c>
      <c r="U52" s="266">
        <f t="shared" si="9"/>
        <v>7058.75</v>
      </c>
      <c r="V52" s="237">
        <v>1.25</v>
      </c>
      <c r="W52" s="266">
        <f t="shared" si="10"/>
        <v>8651.25</v>
      </c>
      <c r="X52" s="243"/>
      <c r="Y52" s="267">
        <f t="shared" si="11"/>
        <v>0</v>
      </c>
      <c r="Z52" s="268">
        <f t="shared" si="12"/>
        <v>101830</v>
      </c>
      <c r="AA52" s="249">
        <v>60</v>
      </c>
      <c r="AB52" s="267">
        <f t="shared" si="13"/>
        <v>378600</v>
      </c>
      <c r="AC52" s="250">
        <v>8</v>
      </c>
      <c r="AD52" s="267">
        <f t="shared" si="14"/>
        <v>50400</v>
      </c>
      <c r="AE52" s="252">
        <v>28.35</v>
      </c>
      <c r="AF52" s="267">
        <f t="shared" si="15"/>
        <v>178605</v>
      </c>
      <c r="AG52" s="257">
        <v>1</v>
      </c>
      <c r="AH52" s="267">
        <f t="shared" si="16"/>
        <v>6310</v>
      </c>
      <c r="AI52" s="259">
        <v>3</v>
      </c>
      <c r="AJ52" s="267">
        <f t="shared" si="17"/>
        <v>18930</v>
      </c>
      <c r="AK52" s="237">
        <v>68.5</v>
      </c>
      <c r="AL52" s="267">
        <f t="shared" si="18"/>
        <v>367845</v>
      </c>
      <c r="AM52" s="250">
        <v>46.25</v>
      </c>
      <c r="AN52" s="267">
        <f t="shared" si="116"/>
        <v>238696.50000000003</v>
      </c>
      <c r="AO52" s="261">
        <f t="shared" si="115"/>
        <v>22.75</v>
      </c>
      <c r="AP52" s="271">
        <f t="shared" si="20"/>
        <v>153266.75</v>
      </c>
      <c r="AQ52" s="252">
        <v>9.5</v>
      </c>
      <c r="AR52" s="266">
        <f t="shared" si="21"/>
        <v>59850</v>
      </c>
      <c r="AS52" s="250">
        <v>3.25</v>
      </c>
      <c r="AT52" s="267">
        <f t="shared" si="22"/>
        <v>42942.25</v>
      </c>
      <c r="AU52" s="250">
        <v>8</v>
      </c>
      <c r="AV52" s="273">
        <f t="shared" si="23"/>
        <v>46056</v>
      </c>
      <c r="AW52" s="243"/>
      <c r="AX52" s="95">
        <f t="shared" si="24"/>
        <v>0</v>
      </c>
      <c r="AY52" s="178">
        <f t="shared" si="25"/>
        <v>1541501.5</v>
      </c>
      <c r="AZ52" s="166">
        <f t="shared" si="87"/>
        <v>1643331.5</v>
      </c>
      <c r="BA52" s="167">
        <f t="shared" si="27"/>
        <v>1763450</v>
      </c>
      <c r="BB52" s="263">
        <f t="shared" si="117"/>
        <v>271.3</v>
      </c>
      <c r="BK52" s="277">
        <v>42872.59820601852</v>
      </c>
      <c r="BL52" s="276" t="s">
        <v>167</v>
      </c>
    </row>
    <row r="53" spans="1:64" ht="20.25" thickTop="1" thickBot="1" x14ac:dyDescent="0.35">
      <c r="A53" s="623" t="s">
        <v>21</v>
      </c>
      <c r="B53" s="626" t="s">
        <v>77</v>
      </c>
      <c r="C53" s="158">
        <v>75</v>
      </c>
      <c r="D53" s="159">
        <v>2</v>
      </c>
      <c r="E53" s="160">
        <f t="shared" si="1"/>
        <v>0</v>
      </c>
      <c r="F53" s="159">
        <v>4</v>
      </c>
      <c r="G53" s="160">
        <f t="shared" si="2"/>
        <v>0</v>
      </c>
      <c r="H53" s="159">
        <v>2</v>
      </c>
      <c r="I53" s="160">
        <f t="shared" si="3"/>
        <v>0</v>
      </c>
      <c r="J53" s="220">
        <f t="shared" ref="J53:J76" si="118">D53*E53+F53*G53+H53*I53</f>
        <v>0</v>
      </c>
      <c r="K53" s="316" t="str">
        <f>C53&amp;$B$53&amp;$A$53</f>
        <v>75CLASE F15KV</v>
      </c>
      <c r="L53" s="232">
        <v>1.5</v>
      </c>
      <c r="M53" s="271">
        <f t="shared" si="5"/>
        <v>10617</v>
      </c>
      <c r="N53" s="238">
        <v>0.75</v>
      </c>
      <c r="O53" s="265">
        <f t="shared" si="6"/>
        <v>5308.5</v>
      </c>
      <c r="P53" s="239">
        <v>0.4</v>
      </c>
      <c r="Q53" s="266">
        <f t="shared" si="7"/>
        <v>2139.2000000000003</v>
      </c>
      <c r="R53" s="239">
        <v>7</v>
      </c>
      <c r="S53" s="267">
        <f t="shared" si="8"/>
        <v>50582</v>
      </c>
      <c r="T53" s="242">
        <v>0.25</v>
      </c>
      <c r="U53" s="266">
        <f t="shared" si="9"/>
        <v>1411.75</v>
      </c>
      <c r="V53" s="242">
        <v>0.5</v>
      </c>
      <c r="W53" s="266">
        <f t="shared" si="10"/>
        <v>3460.5</v>
      </c>
      <c r="X53" s="243"/>
      <c r="Y53" s="267">
        <f t="shared" si="11"/>
        <v>0</v>
      </c>
      <c r="Z53" s="268">
        <f t="shared" si="12"/>
        <v>73518.95</v>
      </c>
      <c r="AA53" s="239">
        <v>0</v>
      </c>
      <c r="AB53" s="267">
        <f t="shared" si="13"/>
        <v>0</v>
      </c>
      <c r="AC53" s="239">
        <v>0</v>
      </c>
      <c r="AD53" s="267">
        <f t="shared" si="14"/>
        <v>0</v>
      </c>
      <c r="AE53" s="238">
        <v>0</v>
      </c>
      <c r="AF53" s="267">
        <f t="shared" si="15"/>
        <v>0</v>
      </c>
      <c r="AG53" s="238">
        <v>0</v>
      </c>
      <c r="AH53" s="267">
        <f t="shared" si="16"/>
        <v>0</v>
      </c>
      <c r="AI53" s="239">
        <v>0</v>
      </c>
      <c r="AJ53" s="267">
        <f t="shared" si="17"/>
        <v>0</v>
      </c>
      <c r="AK53" s="242">
        <v>28</v>
      </c>
      <c r="AL53" s="267">
        <f t="shared" si="18"/>
        <v>150360</v>
      </c>
      <c r="AM53" s="239">
        <v>10</v>
      </c>
      <c r="AN53" s="267">
        <f t="shared" si="116"/>
        <v>248362.5</v>
      </c>
      <c r="AO53" s="238">
        <f t="shared" ref="AO53:AO60" si="119">AO28-1</f>
        <v>10.75</v>
      </c>
      <c r="AP53" s="271">
        <f t="shared" si="20"/>
        <v>72422.75</v>
      </c>
      <c r="AQ53" s="238">
        <v>0</v>
      </c>
      <c r="AR53" s="266">
        <f t="shared" si="21"/>
        <v>0</v>
      </c>
      <c r="AS53" s="236">
        <v>3</v>
      </c>
      <c r="AT53" s="267">
        <f t="shared" si="22"/>
        <v>39639</v>
      </c>
      <c r="AU53" s="236">
        <v>3</v>
      </c>
      <c r="AV53" s="273">
        <f t="shared" si="23"/>
        <v>17271</v>
      </c>
      <c r="AW53" s="243"/>
      <c r="AX53" s="95">
        <f t="shared" si="24"/>
        <v>0</v>
      </c>
      <c r="AY53" s="179">
        <f t="shared" si="25"/>
        <v>528055.25</v>
      </c>
      <c r="AZ53" s="171">
        <f t="shared" si="87"/>
        <v>601574.19999999995</v>
      </c>
      <c r="BA53" s="172">
        <f t="shared" si="27"/>
        <v>659100</v>
      </c>
      <c r="BB53" s="263">
        <f t="shared" si="117"/>
        <v>101.4</v>
      </c>
      <c r="BK53" s="277">
        <v>42872.489259259259</v>
      </c>
      <c r="BL53" s="276" t="s">
        <v>167</v>
      </c>
    </row>
    <row r="54" spans="1:64" ht="19.5" thickBot="1" x14ac:dyDescent="0.35">
      <c r="A54" s="624"/>
      <c r="B54" s="627"/>
      <c r="C54" s="86">
        <v>112.5</v>
      </c>
      <c r="D54" s="74">
        <v>2</v>
      </c>
      <c r="E54" s="83">
        <f t="shared" si="1"/>
        <v>0</v>
      </c>
      <c r="F54" s="74">
        <v>4</v>
      </c>
      <c r="G54" s="83">
        <f t="shared" si="2"/>
        <v>0</v>
      </c>
      <c r="H54" s="74">
        <v>2</v>
      </c>
      <c r="I54" s="83">
        <f t="shared" si="3"/>
        <v>0</v>
      </c>
      <c r="J54" s="216">
        <f t="shared" si="118"/>
        <v>0</v>
      </c>
      <c r="K54" s="316" t="str">
        <f t="shared" ref="K54:K65" si="120">C54&amp;$B$53&amp;$A$53</f>
        <v>112.5CLASE F15KV</v>
      </c>
      <c r="L54" s="232">
        <v>1.5</v>
      </c>
      <c r="M54" s="271">
        <f t="shared" si="5"/>
        <v>10617</v>
      </c>
      <c r="N54" s="236">
        <v>1.25</v>
      </c>
      <c r="O54" s="265">
        <f t="shared" si="6"/>
        <v>8847.5</v>
      </c>
      <c r="P54" s="236">
        <v>0.4</v>
      </c>
      <c r="Q54" s="266">
        <f t="shared" si="7"/>
        <v>2139.2000000000003</v>
      </c>
      <c r="R54" s="236">
        <v>7</v>
      </c>
      <c r="S54" s="267">
        <f t="shared" si="8"/>
        <v>50582</v>
      </c>
      <c r="T54" s="236">
        <v>0.25</v>
      </c>
      <c r="U54" s="266">
        <f t="shared" si="9"/>
        <v>1411.75</v>
      </c>
      <c r="V54" s="236">
        <v>0.75</v>
      </c>
      <c r="W54" s="266">
        <f t="shared" si="10"/>
        <v>5190.75</v>
      </c>
      <c r="X54" s="243"/>
      <c r="Y54" s="267">
        <f t="shared" si="11"/>
        <v>0</v>
      </c>
      <c r="Z54" s="268">
        <f t="shared" si="12"/>
        <v>78788.2</v>
      </c>
      <c r="AA54" s="239">
        <v>0</v>
      </c>
      <c r="AB54" s="267">
        <f t="shared" si="13"/>
        <v>0</v>
      </c>
      <c r="AC54" s="239">
        <v>0</v>
      </c>
      <c r="AD54" s="267">
        <f t="shared" si="14"/>
        <v>0</v>
      </c>
      <c r="AE54" s="239">
        <v>0</v>
      </c>
      <c r="AF54" s="267">
        <f t="shared" si="15"/>
        <v>0</v>
      </c>
      <c r="AG54" s="239">
        <v>0</v>
      </c>
      <c r="AH54" s="267">
        <f t="shared" si="16"/>
        <v>0</v>
      </c>
      <c r="AI54" s="239">
        <v>0</v>
      </c>
      <c r="AJ54" s="267">
        <f t="shared" si="17"/>
        <v>0</v>
      </c>
      <c r="AK54" s="236">
        <v>30</v>
      </c>
      <c r="AL54" s="267">
        <f t="shared" si="18"/>
        <v>161100</v>
      </c>
      <c r="AM54" s="236">
        <v>10.5</v>
      </c>
      <c r="AN54" s="267">
        <f t="shared" si="116"/>
        <v>53700</v>
      </c>
      <c r="AO54" s="236">
        <f t="shared" si="119"/>
        <v>11</v>
      </c>
      <c r="AP54" s="271">
        <f t="shared" si="20"/>
        <v>74107</v>
      </c>
      <c r="AQ54" s="256">
        <v>0</v>
      </c>
      <c r="AR54" s="266">
        <f t="shared" si="21"/>
        <v>0</v>
      </c>
      <c r="AS54" s="236">
        <v>3</v>
      </c>
      <c r="AT54" s="267">
        <f t="shared" si="22"/>
        <v>39639</v>
      </c>
      <c r="AU54" s="236">
        <v>3.25</v>
      </c>
      <c r="AV54" s="273">
        <f t="shared" si="23"/>
        <v>18710.25</v>
      </c>
      <c r="AW54" s="243"/>
      <c r="AX54" s="95">
        <f t="shared" si="24"/>
        <v>0</v>
      </c>
      <c r="AY54" s="108">
        <f t="shared" si="25"/>
        <v>347256.25</v>
      </c>
      <c r="AZ54" s="169">
        <f t="shared" si="87"/>
        <v>426044.45</v>
      </c>
      <c r="BA54" s="110">
        <f t="shared" si="27"/>
        <v>444600.00000000006</v>
      </c>
      <c r="BB54" s="263">
        <f t="shared" si="117"/>
        <v>68.400000000000006</v>
      </c>
      <c r="BK54" s="277">
        <v>42950.499710648146</v>
      </c>
      <c r="BL54" s="276" t="s">
        <v>167</v>
      </c>
    </row>
    <row r="55" spans="1:64" ht="19.5" thickBot="1" x14ac:dyDescent="0.35">
      <c r="A55" s="624"/>
      <c r="B55" s="627"/>
      <c r="C55" s="86">
        <v>150</v>
      </c>
      <c r="D55" s="74">
        <v>2</v>
      </c>
      <c r="E55" s="83">
        <f t="shared" si="1"/>
        <v>0</v>
      </c>
      <c r="F55" s="74">
        <v>4</v>
      </c>
      <c r="G55" s="83">
        <f t="shared" si="2"/>
        <v>0</v>
      </c>
      <c r="H55" s="74">
        <v>2</v>
      </c>
      <c r="I55" s="83">
        <f t="shared" si="3"/>
        <v>0</v>
      </c>
      <c r="J55" s="216">
        <f t="shared" si="118"/>
        <v>0</v>
      </c>
      <c r="K55" s="316" t="str">
        <f t="shared" si="120"/>
        <v>150CLASE F15KV</v>
      </c>
      <c r="L55" s="232">
        <v>1.5</v>
      </c>
      <c r="M55" s="271">
        <f t="shared" si="5"/>
        <v>10617</v>
      </c>
      <c r="N55" s="236">
        <v>1.25</v>
      </c>
      <c r="O55" s="265">
        <f t="shared" si="6"/>
        <v>8847.5</v>
      </c>
      <c r="P55" s="236">
        <v>0.4</v>
      </c>
      <c r="Q55" s="266">
        <f t="shared" si="7"/>
        <v>2139.2000000000003</v>
      </c>
      <c r="R55" s="236">
        <v>7</v>
      </c>
      <c r="S55" s="267">
        <f t="shared" si="8"/>
        <v>50582</v>
      </c>
      <c r="T55" s="236">
        <v>0.25</v>
      </c>
      <c r="U55" s="266">
        <f t="shared" si="9"/>
        <v>1411.75</v>
      </c>
      <c r="V55" s="236">
        <v>0.75</v>
      </c>
      <c r="W55" s="266">
        <f t="shared" si="10"/>
        <v>5190.75</v>
      </c>
      <c r="X55" s="243"/>
      <c r="Y55" s="267">
        <f t="shared" si="11"/>
        <v>0</v>
      </c>
      <c r="Z55" s="268">
        <f t="shared" si="12"/>
        <v>78788.2</v>
      </c>
      <c r="AA55" s="239">
        <v>0</v>
      </c>
      <c r="AB55" s="267">
        <f t="shared" si="13"/>
        <v>0</v>
      </c>
      <c r="AC55" s="239">
        <v>0</v>
      </c>
      <c r="AD55" s="267">
        <f t="shared" si="14"/>
        <v>0</v>
      </c>
      <c r="AE55" s="239">
        <v>0</v>
      </c>
      <c r="AF55" s="267">
        <f t="shared" si="15"/>
        <v>0</v>
      </c>
      <c r="AG55" s="239">
        <v>0</v>
      </c>
      <c r="AH55" s="267">
        <f t="shared" si="16"/>
        <v>0</v>
      </c>
      <c r="AI55" s="239">
        <v>0</v>
      </c>
      <c r="AJ55" s="267">
        <f t="shared" si="17"/>
        <v>0</v>
      </c>
      <c r="AK55" s="257">
        <v>35</v>
      </c>
      <c r="AL55" s="267">
        <f t="shared" si="18"/>
        <v>187950</v>
      </c>
      <c r="AM55" s="236">
        <v>11</v>
      </c>
      <c r="AN55" s="267">
        <f t="shared" si="19"/>
        <v>59070</v>
      </c>
      <c r="AO55" s="236">
        <f t="shared" si="119"/>
        <v>11</v>
      </c>
      <c r="AP55" s="271">
        <f t="shared" si="20"/>
        <v>74107</v>
      </c>
      <c r="AQ55" s="256">
        <v>0</v>
      </c>
      <c r="AR55" s="266">
        <f t="shared" si="21"/>
        <v>0</v>
      </c>
      <c r="AS55" s="236">
        <v>3</v>
      </c>
      <c r="AT55" s="267">
        <f t="shared" si="22"/>
        <v>39639</v>
      </c>
      <c r="AU55" s="236">
        <v>4</v>
      </c>
      <c r="AV55" s="273">
        <f t="shared" si="23"/>
        <v>23028</v>
      </c>
      <c r="AW55" s="243"/>
      <c r="AX55" s="95">
        <f t="shared" si="24"/>
        <v>0</v>
      </c>
      <c r="AY55" s="108">
        <f t="shared" si="25"/>
        <v>383794</v>
      </c>
      <c r="AZ55" s="169">
        <f t="shared" si="87"/>
        <v>462582.2</v>
      </c>
      <c r="BA55" s="110">
        <f t="shared" si="27"/>
        <v>488475.00000000006</v>
      </c>
      <c r="BB55" s="263">
        <f t="shared" si="28"/>
        <v>75.150000000000006</v>
      </c>
    </row>
    <row r="56" spans="1:64" ht="19.5" thickBot="1" x14ac:dyDescent="0.35">
      <c r="A56" s="624"/>
      <c r="B56" s="627"/>
      <c r="C56" s="86">
        <v>225</v>
      </c>
      <c r="D56" s="74">
        <v>2</v>
      </c>
      <c r="E56" s="83">
        <f t="shared" si="1"/>
        <v>0</v>
      </c>
      <c r="F56" s="74">
        <v>4</v>
      </c>
      <c r="G56" s="83">
        <f t="shared" si="2"/>
        <v>0</v>
      </c>
      <c r="H56" s="74">
        <v>2</v>
      </c>
      <c r="I56" s="83">
        <f t="shared" si="3"/>
        <v>0</v>
      </c>
      <c r="J56" s="216">
        <f t="shared" si="118"/>
        <v>0</v>
      </c>
      <c r="K56" s="316" t="str">
        <f t="shared" si="120"/>
        <v>225CLASE F15KV</v>
      </c>
      <c r="L56" s="232">
        <v>1.5</v>
      </c>
      <c r="M56" s="271">
        <f t="shared" si="5"/>
        <v>10617</v>
      </c>
      <c r="N56" s="236">
        <v>1.25</v>
      </c>
      <c r="O56" s="265">
        <f t="shared" si="6"/>
        <v>8847.5</v>
      </c>
      <c r="P56" s="236">
        <v>0.4</v>
      </c>
      <c r="Q56" s="266">
        <f t="shared" si="7"/>
        <v>2139.2000000000003</v>
      </c>
      <c r="R56" s="236">
        <v>7</v>
      </c>
      <c r="S56" s="267">
        <f t="shared" si="8"/>
        <v>50582</v>
      </c>
      <c r="T56" s="236">
        <v>0.25</v>
      </c>
      <c r="U56" s="266">
        <f t="shared" si="9"/>
        <v>1411.75</v>
      </c>
      <c r="V56" s="236">
        <v>0.75</v>
      </c>
      <c r="W56" s="266">
        <f t="shared" si="10"/>
        <v>5190.75</v>
      </c>
      <c r="X56" s="243"/>
      <c r="Y56" s="267">
        <f t="shared" si="11"/>
        <v>0</v>
      </c>
      <c r="Z56" s="268">
        <f t="shared" si="12"/>
        <v>78788.2</v>
      </c>
      <c r="AA56" s="239">
        <v>0</v>
      </c>
      <c r="AB56" s="267">
        <f t="shared" si="13"/>
        <v>0</v>
      </c>
      <c r="AC56" s="239">
        <v>0</v>
      </c>
      <c r="AD56" s="267">
        <f t="shared" si="14"/>
        <v>0</v>
      </c>
      <c r="AE56" s="239">
        <v>0</v>
      </c>
      <c r="AF56" s="267">
        <f t="shared" si="15"/>
        <v>0</v>
      </c>
      <c r="AG56" s="239">
        <v>0</v>
      </c>
      <c r="AH56" s="267">
        <f t="shared" si="16"/>
        <v>0</v>
      </c>
      <c r="AI56" s="239">
        <v>0</v>
      </c>
      <c r="AJ56" s="267">
        <f t="shared" si="17"/>
        <v>0</v>
      </c>
      <c r="AK56" s="241">
        <v>37.5</v>
      </c>
      <c r="AL56" s="267">
        <f t="shared" si="18"/>
        <v>201375</v>
      </c>
      <c r="AM56" s="236">
        <v>15.25</v>
      </c>
      <c r="AN56" s="267">
        <f t="shared" si="19"/>
        <v>81892.5</v>
      </c>
      <c r="AO56" s="236">
        <f t="shared" si="119"/>
        <v>11.5</v>
      </c>
      <c r="AP56" s="271">
        <f t="shared" si="20"/>
        <v>77475.5</v>
      </c>
      <c r="AQ56" s="256">
        <v>0</v>
      </c>
      <c r="AR56" s="266">
        <f t="shared" si="21"/>
        <v>0</v>
      </c>
      <c r="AS56" s="236">
        <v>3</v>
      </c>
      <c r="AT56" s="267">
        <f t="shared" si="22"/>
        <v>39639</v>
      </c>
      <c r="AU56" s="236">
        <v>4.8499999999999996</v>
      </c>
      <c r="AV56" s="273">
        <f t="shared" si="23"/>
        <v>27921.449999999997</v>
      </c>
      <c r="AW56" s="243"/>
      <c r="AX56" s="95">
        <f t="shared" si="24"/>
        <v>0</v>
      </c>
      <c r="AY56" s="108">
        <f t="shared" si="25"/>
        <v>428303.45</v>
      </c>
      <c r="AZ56" s="169">
        <f t="shared" si="87"/>
        <v>507091.65</v>
      </c>
      <c r="BA56" s="110">
        <f t="shared" si="27"/>
        <v>541125</v>
      </c>
      <c r="BB56" s="263">
        <f t="shared" si="28"/>
        <v>83.25</v>
      </c>
    </row>
    <row r="57" spans="1:64" ht="19.5" thickBot="1" x14ac:dyDescent="0.35">
      <c r="A57" s="624"/>
      <c r="B57" s="627"/>
      <c r="C57" s="86">
        <v>300</v>
      </c>
      <c r="D57" s="74">
        <v>2</v>
      </c>
      <c r="E57" s="83">
        <f t="shared" si="1"/>
        <v>0</v>
      </c>
      <c r="F57" s="74">
        <v>4</v>
      </c>
      <c r="G57" s="83">
        <f t="shared" si="2"/>
        <v>0</v>
      </c>
      <c r="H57" s="74">
        <v>2</v>
      </c>
      <c r="I57" s="83">
        <f t="shared" si="3"/>
        <v>0</v>
      </c>
      <c r="J57" s="216">
        <f t="shared" si="118"/>
        <v>0</v>
      </c>
      <c r="K57" s="316" t="str">
        <f t="shared" si="120"/>
        <v>300CLASE F15KV</v>
      </c>
      <c r="L57" s="232">
        <v>1.5</v>
      </c>
      <c r="M57" s="271">
        <f t="shared" si="5"/>
        <v>10617</v>
      </c>
      <c r="N57" s="236">
        <v>1.25</v>
      </c>
      <c r="O57" s="265">
        <f t="shared" si="6"/>
        <v>8847.5</v>
      </c>
      <c r="P57" s="236">
        <v>0.4</v>
      </c>
      <c r="Q57" s="266">
        <f t="shared" si="7"/>
        <v>2139.2000000000003</v>
      </c>
      <c r="R57" s="236">
        <v>7</v>
      </c>
      <c r="S57" s="267">
        <f t="shared" si="8"/>
        <v>50582</v>
      </c>
      <c r="T57" s="236">
        <v>0.25</v>
      </c>
      <c r="U57" s="266">
        <f t="shared" si="9"/>
        <v>1411.75</v>
      </c>
      <c r="V57" s="236">
        <v>0.75</v>
      </c>
      <c r="W57" s="266">
        <f t="shared" si="10"/>
        <v>5190.75</v>
      </c>
      <c r="X57" s="243"/>
      <c r="Y57" s="267">
        <f t="shared" si="11"/>
        <v>0</v>
      </c>
      <c r="Z57" s="268">
        <f t="shared" si="12"/>
        <v>78788.2</v>
      </c>
      <c r="AA57" s="239">
        <v>0</v>
      </c>
      <c r="AB57" s="267">
        <f t="shared" si="13"/>
        <v>0</v>
      </c>
      <c r="AC57" s="239">
        <v>0</v>
      </c>
      <c r="AD57" s="267">
        <f t="shared" si="14"/>
        <v>0</v>
      </c>
      <c r="AE57" s="239">
        <v>0</v>
      </c>
      <c r="AF57" s="267">
        <f t="shared" si="15"/>
        <v>0</v>
      </c>
      <c r="AG57" s="239">
        <v>0</v>
      </c>
      <c r="AH57" s="267">
        <f t="shared" si="16"/>
        <v>0</v>
      </c>
      <c r="AI57" s="239">
        <v>0</v>
      </c>
      <c r="AJ57" s="267">
        <f t="shared" si="17"/>
        <v>0</v>
      </c>
      <c r="AK57" s="236">
        <v>44</v>
      </c>
      <c r="AL57" s="267">
        <f t="shared" si="18"/>
        <v>236280</v>
      </c>
      <c r="AM57" s="236">
        <v>15</v>
      </c>
      <c r="AN57" s="267">
        <f t="shared" si="19"/>
        <v>80550</v>
      </c>
      <c r="AO57" s="236">
        <f t="shared" si="119"/>
        <v>12</v>
      </c>
      <c r="AP57" s="271">
        <f t="shared" si="20"/>
        <v>80844</v>
      </c>
      <c r="AQ57" s="256">
        <v>0</v>
      </c>
      <c r="AR57" s="266">
        <f t="shared" si="21"/>
        <v>0</v>
      </c>
      <c r="AS57" s="236">
        <v>3</v>
      </c>
      <c r="AT57" s="267">
        <f t="shared" si="22"/>
        <v>39639</v>
      </c>
      <c r="AU57" s="236">
        <v>5</v>
      </c>
      <c r="AV57" s="273">
        <f t="shared" si="23"/>
        <v>28785</v>
      </c>
      <c r="AW57" s="243"/>
      <c r="AX57" s="95">
        <f t="shared" si="24"/>
        <v>0</v>
      </c>
      <c r="AY57" s="108">
        <f t="shared" si="25"/>
        <v>466098</v>
      </c>
      <c r="AZ57" s="169">
        <f t="shared" si="87"/>
        <v>544886.19999999995</v>
      </c>
      <c r="BA57" s="110">
        <f t="shared" si="27"/>
        <v>585975</v>
      </c>
      <c r="BB57" s="263">
        <f>+L57+N57+P57+R57+T57+V57+X57+AA57+AC57+AE57+AG57+AI57+AK57+AM57+AO57+AQ57+AS57+AU57+AW57</f>
        <v>90.15</v>
      </c>
    </row>
    <row r="58" spans="1:64" ht="19.5" thickBot="1" x14ac:dyDescent="0.35">
      <c r="A58" s="624"/>
      <c r="B58" s="627"/>
      <c r="C58" s="86">
        <v>400</v>
      </c>
      <c r="D58" s="74">
        <v>2</v>
      </c>
      <c r="E58" s="83">
        <f t="shared" si="1"/>
        <v>0</v>
      </c>
      <c r="F58" s="74">
        <v>4</v>
      </c>
      <c r="G58" s="83">
        <f t="shared" si="2"/>
        <v>0</v>
      </c>
      <c r="H58" s="74">
        <v>2</v>
      </c>
      <c r="I58" s="83">
        <f t="shared" si="3"/>
        <v>0</v>
      </c>
      <c r="J58" s="216">
        <f t="shared" si="118"/>
        <v>0</v>
      </c>
      <c r="K58" s="316" t="str">
        <f t="shared" si="120"/>
        <v>400CLASE F15KV</v>
      </c>
      <c r="L58" s="232">
        <v>1.5</v>
      </c>
      <c r="M58" s="271">
        <f t="shared" si="5"/>
        <v>10617</v>
      </c>
      <c r="N58" s="236">
        <v>1.5</v>
      </c>
      <c r="O58" s="265">
        <f t="shared" si="6"/>
        <v>10617</v>
      </c>
      <c r="P58" s="236">
        <v>0.4</v>
      </c>
      <c r="Q58" s="266">
        <f t="shared" si="7"/>
        <v>2139.2000000000003</v>
      </c>
      <c r="R58" s="236">
        <v>8</v>
      </c>
      <c r="S58" s="267">
        <f t="shared" si="8"/>
        <v>57808</v>
      </c>
      <c r="T58" s="236">
        <v>0.75</v>
      </c>
      <c r="U58" s="266">
        <f t="shared" si="9"/>
        <v>4235.25</v>
      </c>
      <c r="V58" s="236">
        <v>0.75</v>
      </c>
      <c r="W58" s="266">
        <f t="shared" si="10"/>
        <v>5190.75</v>
      </c>
      <c r="X58" s="243"/>
      <c r="Y58" s="267">
        <f t="shared" si="11"/>
        <v>0</v>
      </c>
      <c r="Z58" s="268">
        <f t="shared" si="12"/>
        <v>90607.2</v>
      </c>
      <c r="AA58" s="239">
        <v>0</v>
      </c>
      <c r="AB58" s="267">
        <f t="shared" si="13"/>
        <v>0</v>
      </c>
      <c r="AC58" s="239">
        <v>0</v>
      </c>
      <c r="AD58" s="267">
        <f t="shared" si="14"/>
        <v>0</v>
      </c>
      <c r="AE58" s="239">
        <v>0</v>
      </c>
      <c r="AF58" s="267">
        <f t="shared" si="15"/>
        <v>0</v>
      </c>
      <c r="AG58" s="239">
        <v>0</v>
      </c>
      <c r="AH58" s="267">
        <f t="shared" si="16"/>
        <v>0</v>
      </c>
      <c r="AI58" s="239">
        <v>0</v>
      </c>
      <c r="AJ58" s="267">
        <f t="shared" si="17"/>
        <v>0</v>
      </c>
      <c r="AK58" s="236">
        <v>46</v>
      </c>
      <c r="AL58" s="267">
        <f t="shared" si="18"/>
        <v>247020</v>
      </c>
      <c r="AM58" s="236">
        <v>15.5</v>
      </c>
      <c r="AN58" s="267">
        <f t="shared" si="19"/>
        <v>83235</v>
      </c>
      <c r="AO58" s="236">
        <f t="shared" si="119"/>
        <v>13.5</v>
      </c>
      <c r="AP58" s="271">
        <f t="shared" si="20"/>
        <v>90949.5</v>
      </c>
      <c r="AQ58" s="256">
        <v>0</v>
      </c>
      <c r="AR58" s="266">
        <f t="shared" si="21"/>
        <v>0</v>
      </c>
      <c r="AS58" s="236">
        <v>3</v>
      </c>
      <c r="AT58" s="267">
        <f t="shared" si="22"/>
        <v>39639</v>
      </c>
      <c r="AU58" s="236">
        <v>5.25</v>
      </c>
      <c r="AV58" s="273">
        <f t="shared" si="23"/>
        <v>30224.25</v>
      </c>
      <c r="AW58" s="243"/>
      <c r="AX58" s="95">
        <f t="shared" si="24"/>
        <v>0</v>
      </c>
      <c r="AY58" s="108">
        <f t="shared" si="25"/>
        <v>491067.75</v>
      </c>
      <c r="AZ58" s="169">
        <f t="shared" si="87"/>
        <v>581674.94999999995</v>
      </c>
      <c r="BA58" s="110">
        <f t="shared" si="27"/>
        <v>624975</v>
      </c>
      <c r="BB58" s="263">
        <f t="shared" si="28"/>
        <v>96.15</v>
      </c>
    </row>
    <row r="59" spans="1:64" ht="19.5" thickBot="1" x14ac:dyDescent="0.35">
      <c r="A59" s="624"/>
      <c r="B59" s="627"/>
      <c r="C59" s="86">
        <v>500</v>
      </c>
      <c r="D59" s="74">
        <v>2</v>
      </c>
      <c r="E59" s="83">
        <f t="shared" si="1"/>
        <v>0</v>
      </c>
      <c r="F59" s="74">
        <v>4</v>
      </c>
      <c r="G59" s="83">
        <f t="shared" si="2"/>
        <v>0</v>
      </c>
      <c r="H59" s="74">
        <v>2</v>
      </c>
      <c r="I59" s="83">
        <f t="shared" si="3"/>
        <v>0</v>
      </c>
      <c r="J59" s="216">
        <f t="shared" si="118"/>
        <v>0</v>
      </c>
      <c r="K59" s="316" t="str">
        <f t="shared" si="120"/>
        <v>500CLASE F15KV</v>
      </c>
      <c r="L59" s="232"/>
      <c r="M59" s="271">
        <f t="shared" si="5"/>
        <v>0</v>
      </c>
      <c r="N59" s="236">
        <v>1.5</v>
      </c>
      <c r="O59" s="265">
        <f t="shared" si="6"/>
        <v>10617</v>
      </c>
      <c r="P59" s="236">
        <v>0.5</v>
      </c>
      <c r="Q59" s="266">
        <f t="shared" si="7"/>
        <v>2674</v>
      </c>
      <c r="R59" s="236">
        <v>8</v>
      </c>
      <c r="S59" s="267">
        <f t="shared" si="8"/>
        <v>57808</v>
      </c>
      <c r="T59" s="236">
        <v>0.75</v>
      </c>
      <c r="U59" s="266">
        <f t="shared" si="9"/>
        <v>4235.25</v>
      </c>
      <c r="V59" s="236">
        <v>1</v>
      </c>
      <c r="W59" s="266">
        <f t="shared" si="10"/>
        <v>6921</v>
      </c>
      <c r="X59" s="243"/>
      <c r="Y59" s="267">
        <f t="shared" si="11"/>
        <v>0</v>
      </c>
      <c r="Z59" s="268">
        <f t="shared" si="12"/>
        <v>82255.25</v>
      </c>
      <c r="AA59" s="239">
        <v>0</v>
      </c>
      <c r="AB59" s="267">
        <f t="shared" si="13"/>
        <v>0</v>
      </c>
      <c r="AC59" s="239">
        <v>0</v>
      </c>
      <c r="AD59" s="267">
        <f t="shared" si="14"/>
        <v>0</v>
      </c>
      <c r="AE59" s="239">
        <v>0</v>
      </c>
      <c r="AF59" s="267">
        <f t="shared" si="15"/>
        <v>0</v>
      </c>
      <c r="AG59" s="239">
        <v>0</v>
      </c>
      <c r="AH59" s="267">
        <f t="shared" si="16"/>
        <v>0</v>
      </c>
      <c r="AI59" s="239">
        <v>0</v>
      </c>
      <c r="AJ59" s="267">
        <f t="shared" si="17"/>
        <v>0</v>
      </c>
      <c r="AK59" s="236">
        <v>56</v>
      </c>
      <c r="AL59" s="267">
        <f t="shared" si="18"/>
        <v>300720</v>
      </c>
      <c r="AM59" s="236">
        <v>17</v>
      </c>
      <c r="AN59" s="267">
        <f t="shared" si="19"/>
        <v>91290</v>
      </c>
      <c r="AO59" s="236">
        <f t="shared" si="119"/>
        <v>14</v>
      </c>
      <c r="AP59" s="271">
        <f t="shared" si="20"/>
        <v>94318</v>
      </c>
      <c r="AQ59" s="256">
        <v>0</v>
      </c>
      <c r="AR59" s="266">
        <f t="shared" si="21"/>
        <v>0</v>
      </c>
      <c r="AS59" s="236">
        <v>3</v>
      </c>
      <c r="AT59" s="267">
        <f t="shared" si="22"/>
        <v>39639</v>
      </c>
      <c r="AU59" s="236">
        <v>5.5</v>
      </c>
      <c r="AV59" s="273">
        <f t="shared" si="23"/>
        <v>31663.5</v>
      </c>
      <c r="AW59" s="243"/>
      <c r="AX59" s="95">
        <f t="shared" si="24"/>
        <v>0</v>
      </c>
      <c r="AY59" s="108">
        <f t="shared" si="25"/>
        <v>557630.5</v>
      </c>
      <c r="AZ59" s="169">
        <f t="shared" si="87"/>
        <v>639885.75</v>
      </c>
      <c r="BA59" s="110">
        <f t="shared" si="27"/>
        <v>697125</v>
      </c>
      <c r="BB59" s="263">
        <f t="shared" si="28"/>
        <v>107.25</v>
      </c>
      <c r="BK59" s="277">
        <v>42950.468460648146</v>
      </c>
      <c r="BL59" s="276" t="s">
        <v>167</v>
      </c>
    </row>
    <row r="60" spans="1:64" ht="19.5" thickBot="1" x14ac:dyDescent="0.35">
      <c r="A60" s="624"/>
      <c r="B60" s="627"/>
      <c r="C60" s="86">
        <v>630</v>
      </c>
      <c r="D60" s="74">
        <v>2</v>
      </c>
      <c r="E60" s="83">
        <f t="shared" si="1"/>
        <v>0</v>
      </c>
      <c r="F60" s="74">
        <v>4</v>
      </c>
      <c r="G60" s="83">
        <f t="shared" si="2"/>
        <v>0</v>
      </c>
      <c r="H60" s="74">
        <v>2</v>
      </c>
      <c r="I60" s="83">
        <f t="shared" si="3"/>
        <v>0</v>
      </c>
      <c r="J60" s="216">
        <f t="shared" si="118"/>
        <v>0</v>
      </c>
      <c r="K60" s="316" t="str">
        <f t="shared" si="120"/>
        <v>630CLASE F15KV</v>
      </c>
      <c r="L60" s="232">
        <v>1.5</v>
      </c>
      <c r="M60" s="271">
        <f t="shared" si="5"/>
        <v>10617</v>
      </c>
      <c r="N60" s="236">
        <v>1.25</v>
      </c>
      <c r="O60" s="265">
        <f t="shared" si="6"/>
        <v>8847.5</v>
      </c>
      <c r="P60" s="236">
        <v>0.5</v>
      </c>
      <c r="Q60" s="266">
        <f t="shared" si="7"/>
        <v>2674</v>
      </c>
      <c r="R60" s="236">
        <v>8</v>
      </c>
      <c r="S60" s="267">
        <f t="shared" si="8"/>
        <v>57808</v>
      </c>
      <c r="T60" s="236">
        <v>0.75</v>
      </c>
      <c r="U60" s="266">
        <f t="shared" si="9"/>
        <v>4235.25</v>
      </c>
      <c r="V60" s="236">
        <v>1</v>
      </c>
      <c r="W60" s="266">
        <f t="shared" si="10"/>
        <v>6921</v>
      </c>
      <c r="X60" s="243"/>
      <c r="Y60" s="267">
        <f t="shared" si="11"/>
        <v>0</v>
      </c>
      <c r="Z60" s="268">
        <f t="shared" si="12"/>
        <v>91102.75</v>
      </c>
      <c r="AA60" s="239">
        <v>0</v>
      </c>
      <c r="AB60" s="267">
        <f t="shared" si="13"/>
        <v>0</v>
      </c>
      <c r="AC60" s="239">
        <v>0</v>
      </c>
      <c r="AD60" s="267">
        <f t="shared" si="14"/>
        <v>0</v>
      </c>
      <c r="AE60" s="239">
        <v>0</v>
      </c>
      <c r="AF60" s="267">
        <f t="shared" si="15"/>
        <v>0</v>
      </c>
      <c r="AG60" s="239">
        <v>0</v>
      </c>
      <c r="AH60" s="267">
        <f t="shared" si="16"/>
        <v>0</v>
      </c>
      <c r="AI60" s="239">
        <v>0</v>
      </c>
      <c r="AJ60" s="267">
        <f t="shared" si="17"/>
        <v>0</v>
      </c>
      <c r="AK60" s="236">
        <v>60</v>
      </c>
      <c r="AL60" s="267">
        <f t="shared" si="18"/>
        <v>322200</v>
      </c>
      <c r="AM60" s="236">
        <v>17</v>
      </c>
      <c r="AN60" s="267">
        <f t="shared" si="19"/>
        <v>91290</v>
      </c>
      <c r="AO60" s="236">
        <f t="shared" si="119"/>
        <v>15</v>
      </c>
      <c r="AP60" s="271">
        <f t="shared" si="20"/>
        <v>101055</v>
      </c>
      <c r="AQ60" s="256">
        <v>0</v>
      </c>
      <c r="AR60" s="266">
        <f t="shared" si="21"/>
        <v>0</v>
      </c>
      <c r="AS60" s="236">
        <v>3</v>
      </c>
      <c r="AT60" s="267">
        <f t="shared" si="22"/>
        <v>39639</v>
      </c>
      <c r="AU60" s="236">
        <v>6</v>
      </c>
      <c r="AV60" s="273">
        <f t="shared" si="23"/>
        <v>34542</v>
      </c>
      <c r="AW60" s="243"/>
      <c r="AX60" s="95">
        <f t="shared" si="24"/>
        <v>0</v>
      </c>
      <c r="AY60" s="108">
        <f t="shared" si="25"/>
        <v>588726</v>
      </c>
      <c r="AZ60" s="169">
        <f>Z60+AY60</f>
        <v>679828.75</v>
      </c>
      <c r="BA60" s="110">
        <f t="shared" si="27"/>
        <v>741000</v>
      </c>
      <c r="BB60" s="263">
        <f t="shared" si="28"/>
        <v>114</v>
      </c>
    </row>
    <row r="61" spans="1:64" ht="19.5" thickBot="1" x14ac:dyDescent="0.35">
      <c r="A61" s="624"/>
      <c r="B61" s="627"/>
      <c r="C61" s="86">
        <v>800</v>
      </c>
      <c r="D61" s="74">
        <v>2</v>
      </c>
      <c r="E61" s="83">
        <f t="shared" si="1"/>
        <v>0</v>
      </c>
      <c r="F61" s="74">
        <v>4</v>
      </c>
      <c r="G61" s="83">
        <f t="shared" si="2"/>
        <v>0</v>
      </c>
      <c r="H61" s="74">
        <v>2</v>
      </c>
      <c r="I61" s="83">
        <f t="shared" si="3"/>
        <v>0</v>
      </c>
      <c r="J61" s="216">
        <f t="shared" si="118"/>
        <v>0</v>
      </c>
      <c r="K61" s="316" t="str">
        <f t="shared" si="120"/>
        <v>800CLASE F15KV</v>
      </c>
      <c r="L61" s="232">
        <v>1.5</v>
      </c>
      <c r="M61" s="271">
        <f t="shared" si="5"/>
        <v>10617</v>
      </c>
      <c r="N61" s="236">
        <v>2.25</v>
      </c>
      <c r="O61" s="265">
        <f t="shared" si="6"/>
        <v>15925.5</v>
      </c>
      <c r="P61" s="236">
        <v>0.5</v>
      </c>
      <c r="Q61" s="266">
        <f t="shared" si="7"/>
        <v>2674</v>
      </c>
      <c r="R61" s="236">
        <v>8</v>
      </c>
      <c r="S61" s="267">
        <f t="shared" si="8"/>
        <v>57808</v>
      </c>
      <c r="T61" s="236">
        <v>1</v>
      </c>
      <c r="U61" s="266">
        <f t="shared" si="9"/>
        <v>5647</v>
      </c>
      <c r="V61" s="236">
        <v>1</v>
      </c>
      <c r="W61" s="266">
        <f t="shared" si="10"/>
        <v>6921</v>
      </c>
      <c r="X61" s="243"/>
      <c r="Y61" s="267">
        <f t="shared" si="11"/>
        <v>0</v>
      </c>
      <c r="Z61" s="268">
        <f t="shared" si="12"/>
        <v>99592.5</v>
      </c>
      <c r="AA61" s="239">
        <v>0</v>
      </c>
      <c r="AB61" s="267">
        <f t="shared" si="13"/>
        <v>0</v>
      </c>
      <c r="AC61" s="239">
        <v>0</v>
      </c>
      <c r="AD61" s="267">
        <f t="shared" si="14"/>
        <v>0</v>
      </c>
      <c r="AE61" s="239">
        <v>0</v>
      </c>
      <c r="AF61" s="267">
        <f t="shared" si="15"/>
        <v>0</v>
      </c>
      <c r="AG61" s="239">
        <v>0</v>
      </c>
      <c r="AH61" s="267">
        <f t="shared" si="16"/>
        <v>0</v>
      </c>
      <c r="AI61" s="239">
        <v>0</v>
      </c>
      <c r="AJ61" s="267">
        <f t="shared" si="17"/>
        <v>0</v>
      </c>
      <c r="AK61" s="236">
        <v>66</v>
      </c>
      <c r="AL61" s="267">
        <f t="shared" si="18"/>
        <v>354420</v>
      </c>
      <c r="AM61" s="236">
        <v>20.95</v>
      </c>
      <c r="AN61" s="267">
        <f t="shared" si="19"/>
        <v>112501.5</v>
      </c>
      <c r="AO61" s="236">
        <f t="shared" ref="AO61:AO65" si="121">AO37-1</f>
        <v>17</v>
      </c>
      <c r="AP61" s="271">
        <f t="shared" si="20"/>
        <v>114529</v>
      </c>
      <c r="AQ61" s="256">
        <v>0</v>
      </c>
      <c r="AR61" s="266">
        <f t="shared" si="21"/>
        <v>0</v>
      </c>
      <c r="AS61" s="236">
        <v>3</v>
      </c>
      <c r="AT61" s="267">
        <f t="shared" si="22"/>
        <v>39639</v>
      </c>
      <c r="AU61" s="236">
        <v>6.25</v>
      </c>
      <c r="AV61" s="273">
        <f t="shared" si="23"/>
        <v>35981.25</v>
      </c>
      <c r="AW61" s="243"/>
      <c r="AX61" s="95">
        <f t="shared" si="24"/>
        <v>0</v>
      </c>
      <c r="AY61" s="108">
        <f t="shared" si="25"/>
        <v>657070.75</v>
      </c>
      <c r="AZ61" s="169">
        <f t="shared" si="87"/>
        <v>756663.25</v>
      </c>
      <c r="BA61" s="110">
        <f t="shared" si="27"/>
        <v>828425</v>
      </c>
      <c r="BB61" s="263">
        <f t="shared" si="28"/>
        <v>127.45</v>
      </c>
    </row>
    <row r="62" spans="1:64" ht="19.5" thickBot="1" x14ac:dyDescent="0.35">
      <c r="A62" s="624"/>
      <c r="B62" s="627"/>
      <c r="C62" s="87">
        <v>1000</v>
      </c>
      <c r="D62" s="78">
        <v>2</v>
      </c>
      <c r="E62" s="83">
        <f t="shared" si="1"/>
        <v>0</v>
      </c>
      <c r="F62" s="78">
        <v>4</v>
      </c>
      <c r="G62" s="83">
        <f t="shared" si="2"/>
        <v>0</v>
      </c>
      <c r="H62" s="78">
        <v>2</v>
      </c>
      <c r="I62" s="83">
        <f t="shared" si="3"/>
        <v>0</v>
      </c>
      <c r="J62" s="216">
        <f t="shared" si="118"/>
        <v>0</v>
      </c>
      <c r="K62" s="316" t="str">
        <f t="shared" si="120"/>
        <v>1000CLASE F15KV</v>
      </c>
      <c r="L62" s="232">
        <v>1.5</v>
      </c>
      <c r="M62" s="271">
        <f t="shared" si="5"/>
        <v>10617</v>
      </c>
      <c r="N62" s="236">
        <v>2.25</v>
      </c>
      <c r="O62" s="265">
        <f t="shared" si="6"/>
        <v>15925.5</v>
      </c>
      <c r="P62" s="236">
        <v>0</v>
      </c>
      <c r="Q62" s="266">
        <f t="shared" si="7"/>
        <v>0</v>
      </c>
      <c r="R62" s="236">
        <v>8</v>
      </c>
      <c r="S62" s="267">
        <f t="shared" si="8"/>
        <v>57808</v>
      </c>
      <c r="T62" s="236">
        <v>1</v>
      </c>
      <c r="U62" s="266">
        <f t="shared" si="9"/>
        <v>5647</v>
      </c>
      <c r="V62" s="236">
        <v>1</v>
      </c>
      <c r="W62" s="266">
        <f t="shared" si="10"/>
        <v>6921</v>
      </c>
      <c r="X62" s="243"/>
      <c r="Y62" s="267">
        <f t="shared" si="11"/>
        <v>0</v>
      </c>
      <c r="Z62" s="268">
        <f t="shared" si="12"/>
        <v>96918.5</v>
      </c>
      <c r="AA62" s="239">
        <v>0</v>
      </c>
      <c r="AB62" s="267">
        <f t="shared" si="13"/>
        <v>0</v>
      </c>
      <c r="AC62" s="239">
        <v>0</v>
      </c>
      <c r="AD62" s="267">
        <f t="shared" si="14"/>
        <v>0</v>
      </c>
      <c r="AE62" s="239">
        <v>0</v>
      </c>
      <c r="AF62" s="267">
        <f t="shared" si="15"/>
        <v>0</v>
      </c>
      <c r="AG62" s="239">
        <v>0</v>
      </c>
      <c r="AH62" s="267">
        <f t="shared" si="16"/>
        <v>0</v>
      </c>
      <c r="AI62" s="239">
        <v>0</v>
      </c>
      <c r="AJ62" s="267">
        <f t="shared" si="17"/>
        <v>0</v>
      </c>
      <c r="AK62" s="236">
        <v>69.97</v>
      </c>
      <c r="AL62" s="267">
        <f t="shared" si="18"/>
        <v>375738.89999999997</v>
      </c>
      <c r="AM62" s="236">
        <v>25.3</v>
      </c>
      <c r="AN62" s="267">
        <f t="shared" si="19"/>
        <v>135861</v>
      </c>
      <c r="AO62" s="236">
        <f t="shared" si="121"/>
        <v>17.5</v>
      </c>
      <c r="AP62" s="271">
        <f t="shared" si="20"/>
        <v>117897.5</v>
      </c>
      <c r="AQ62" s="256">
        <v>0</v>
      </c>
      <c r="AR62" s="266">
        <f t="shared" si="21"/>
        <v>0</v>
      </c>
      <c r="AS62" s="236">
        <v>3</v>
      </c>
      <c r="AT62" s="267">
        <f t="shared" si="22"/>
        <v>39639</v>
      </c>
      <c r="AU62" s="236">
        <v>7</v>
      </c>
      <c r="AV62" s="273">
        <f t="shared" si="23"/>
        <v>40299</v>
      </c>
      <c r="AW62" s="243"/>
      <c r="AX62" s="95">
        <f t="shared" si="24"/>
        <v>0</v>
      </c>
      <c r="AY62" s="108">
        <f t="shared" si="25"/>
        <v>709435.39999999991</v>
      </c>
      <c r="AZ62" s="169">
        <f t="shared" si="87"/>
        <v>806353.89999999991</v>
      </c>
      <c r="BA62" s="110">
        <f t="shared" si="27"/>
        <v>887379.99999999988</v>
      </c>
      <c r="BB62" s="263">
        <f t="shared" si="28"/>
        <v>136.51999999999998</v>
      </c>
    </row>
    <row r="63" spans="1:64" ht="19.5" thickBot="1" x14ac:dyDescent="0.35">
      <c r="A63" s="624"/>
      <c r="B63" s="627"/>
      <c r="C63" s="88">
        <v>1250</v>
      </c>
      <c r="D63" s="74">
        <v>2</v>
      </c>
      <c r="E63" s="83">
        <f t="shared" si="1"/>
        <v>0</v>
      </c>
      <c r="F63" s="74">
        <v>4</v>
      </c>
      <c r="G63" s="83">
        <f t="shared" si="2"/>
        <v>0</v>
      </c>
      <c r="H63" s="74">
        <v>2</v>
      </c>
      <c r="I63" s="83">
        <f t="shared" si="3"/>
        <v>0</v>
      </c>
      <c r="J63" s="216">
        <f t="shared" si="118"/>
        <v>0</v>
      </c>
      <c r="K63" s="316" t="str">
        <f t="shared" si="120"/>
        <v>1250CLASE F15KV</v>
      </c>
      <c r="L63" s="232">
        <v>1.5</v>
      </c>
      <c r="M63" s="271">
        <f t="shared" si="5"/>
        <v>10617</v>
      </c>
      <c r="N63" s="236">
        <v>2.5</v>
      </c>
      <c r="O63" s="265">
        <f t="shared" si="6"/>
        <v>17695</v>
      </c>
      <c r="P63" s="236">
        <v>0</v>
      </c>
      <c r="Q63" s="266">
        <f t="shared" si="7"/>
        <v>0</v>
      </c>
      <c r="R63" s="236">
        <v>8</v>
      </c>
      <c r="S63" s="267">
        <f t="shared" si="8"/>
        <v>57808</v>
      </c>
      <c r="T63" s="236">
        <v>1</v>
      </c>
      <c r="U63" s="266">
        <f t="shared" si="9"/>
        <v>5647</v>
      </c>
      <c r="V63" s="236">
        <v>1</v>
      </c>
      <c r="W63" s="266">
        <f t="shared" si="10"/>
        <v>6921</v>
      </c>
      <c r="X63" s="243"/>
      <c r="Y63" s="267">
        <f t="shared" si="11"/>
        <v>0</v>
      </c>
      <c r="Z63" s="268">
        <f t="shared" si="12"/>
        <v>98688</v>
      </c>
      <c r="AA63" s="239">
        <v>0</v>
      </c>
      <c r="AB63" s="267">
        <f t="shared" si="13"/>
        <v>0</v>
      </c>
      <c r="AC63" s="239">
        <v>0</v>
      </c>
      <c r="AD63" s="267">
        <f t="shared" si="14"/>
        <v>0</v>
      </c>
      <c r="AE63" s="239">
        <v>0</v>
      </c>
      <c r="AF63" s="267">
        <f t="shared" si="15"/>
        <v>0</v>
      </c>
      <c r="AG63" s="239">
        <v>0</v>
      </c>
      <c r="AH63" s="267">
        <f t="shared" si="16"/>
        <v>0</v>
      </c>
      <c r="AI63" s="239">
        <v>0</v>
      </c>
      <c r="AJ63" s="267">
        <f t="shared" si="17"/>
        <v>0</v>
      </c>
      <c r="AK63" s="236">
        <v>73</v>
      </c>
      <c r="AL63" s="267">
        <f t="shared" si="18"/>
        <v>392010</v>
      </c>
      <c r="AM63" s="236">
        <v>25.5</v>
      </c>
      <c r="AN63" s="267">
        <f t="shared" si="19"/>
        <v>136935</v>
      </c>
      <c r="AO63" s="236">
        <f t="shared" si="121"/>
        <v>17.5</v>
      </c>
      <c r="AP63" s="271">
        <f t="shared" si="20"/>
        <v>117897.5</v>
      </c>
      <c r="AQ63" s="256">
        <v>0</v>
      </c>
      <c r="AR63" s="266">
        <f t="shared" si="21"/>
        <v>0</v>
      </c>
      <c r="AS63" s="236">
        <v>3</v>
      </c>
      <c r="AT63" s="267">
        <f t="shared" si="22"/>
        <v>39639</v>
      </c>
      <c r="AU63" s="236">
        <v>7.25</v>
      </c>
      <c r="AV63" s="273">
        <f t="shared" si="23"/>
        <v>41738.25</v>
      </c>
      <c r="AW63" s="243"/>
      <c r="AX63" s="95">
        <f t="shared" si="24"/>
        <v>0</v>
      </c>
      <c r="AY63" s="108">
        <f t="shared" si="25"/>
        <v>728219.75</v>
      </c>
      <c r="AZ63" s="169">
        <f t="shared" si="87"/>
        <v>826907.75</v>
      </c>
      <c r="BA63" s="110">
        <f t="shared" si="27"/>
        <v>911625</v>
      </c>
      <c r="BB63" s="263">
        <f t="shared" si="28"/>
        <v>140.25</v>
      </c>
    </row>
    <row r="64" spans="1:64" ht="19.5" thickBot="1" x14ac:dyDescent="0.35">
      <c r="A64" s="624"/>
      <c r="B64" s="627"/>
      <c r="C64" s="88">
        <v>1600</v>
      </c>
      <c r="D64" s="74">
        <v>2</v>
      </c>
      <c r="E64" s="83">
        <f t="shared" si="1"/>
        <v>0</v>
      </c>
      <c r="F64" s="74">
        <v>6</v>
      </c>
      <c r="G64" s="83">
        <f t="shared" si="2"/>
        <v>0</v>
      </c>
      <c r="H64" s="74">
        <v>2</v>
      </c>
      <c r="I64" s="83">
        <f t="shared" si="3"/>
        <v>0</v>
      </c>
      <c r="J64" s="216">
        <f t="shared" si="118"/>
        <v>0</v>
      </c>
      <c r="K64" s="316" t="str">
        <f t="shared" si="120"/>
        <v>1600CLASE F15KV</v>
      </c>
      <c r="L64" s="232">
        <v>1.5</v>
      </c>
      <c r="M64" s="271">
        <f t="shared" si="5"/>
        <v>10617</v>
      </c>
      <c r="N64" s="236">
        <v>2.5</v>
      </c>
      <c r="O64" s="265">
        <f t="shared" si="6"/>
        <v>17695</v>
      </c>
      <c r="P64" s="236">
        <v>0</v>
      </c>
      <c r="Q64" s="266">
        <f t="shared" si="7"/>
        <v>0</v>
      </c>
      <c r="R64" s="236">
        <v>8</v>
      </c>
      <c r="S64" s="267">
        <f t="shared" si="8"/>
        <v>57808</v>
      </c>
      <c r="T64" s="236">
        <v>1</v>
      </c>
      <c r="U64" s="266">
        <f t="shared" si="9"/>
        <v>5647</v>
      </c>
      <c r="V64" s="236">
        <v>1</v>
      </c>
      <c r="W64" s="266">
        <f t="shared" si="10"/>
        <v>6921</v>
      </c>
      <c r="X64" s="243"/>
      <c r="Y64" s="267">
        <f t="shared" si="11"/>
        <v>0</v>
      </c>
      <c r="Z64" s="268">
        <f t="shared" si="12"/>
        <v>98688</v>
      </c>
      <c r="AA64" s="239">
        <v>0</v>
      </c>
      <c r="AB64" s="267">
        <f t="shared" si="13"/>
        <v>0</v>
      </c>
      <c r="AC64" s="239">
        <v>0</v>
      </c>
      <c r="AD64" s="267">
        <f t="shared" si="14"/>
        <v>0</v>
      </c>
      <c r="AE64" s="239">
        <v>0</v>
      </c>
      <c r="AF64" s="267">
        <f t="shared" si="15"/>
        <v>0</v>
      </c>
      <c r="AG64" s="239">
        <v>0</v>
      </c>
      <c r="AH64" s="267">
        <f t="shared" si="16"/>
        <v>0</v>
      </c>
      <c r="AI64" s="239">
        <v>0</v>
      </c>
      <c r="AJ64" s="267">
        <f t="shared" si="17"/>
        <v>0</v>
      </c>
      <c r="AK64" s="236">
        <v>75.25</v>
      </c>
      <c r="AL64" s="267">
        <f t="shared" si="18"/>
        <v>404092.5</v>
      </c>
      <c r="AM64" s="236">
        <v>27</v>
      </c>
      <c r="AN64" s="267">
        <f t="shared" si="19"/>
        <v>144990</v>
      </c>
      <c r="AO64" s="236">
        <f t="shared" si="121"/>
        <v>19</v>
      </c>
      <c r="AP64" s="271">
        <f t="shared" si="20"/>
        <v>128003</v>
      </c>
      <c r="AQ64" s="256">
        <v>0</v>
      </c>
      <c r="AR64" s="266">
        <f t="shared" si="21"/>
        <v>0</v>
      </c>
      <c r="AS64" s="236">
        <v>3.25</v>
      </c>
      <c r="AT64" s="267">
        <f t="shared" si="22"/>
        <v>42942.25</v>
      </c>
      <c r="AU64" s="236">
        <v>8</v>
      </c>
      <c r="AV64" s="273">
        <f t="shared" si="23"/>
        <v>46056</v>
      </c>
      <c r="AW64" s="243"/>
      <c r="AX64" s="95">
        <f t="shared" si="24"/>
        <v>0</v>
      </c>
      <c r="AY64" s="108">
        <f t="shared" si="25"/>
        <v>766083.75</v>
      </c>
      <c r="AZ64" s="169">
        <f t="shared" si="87"/>
        <v>864771.75</v>
      </c>
      <c r="BA64" s="110">
        <f t="shared" si="27"/>
        <v>952250</v>
      </c>
      <c r="BB64" s="263">
        <f t="shared" si="28"/>
        <v>146.5</v>
      </c>
    </row>
    <row r="65" spans="1:64" ht="19.5" thickBot="1" x14ac:dyDescent="0.35">
      <c r="A65" s="625"/>
      <c r="B65" s="628"/>
      <c r="C65" s="154">
        <v>2000</v>
      </c>
      <c r="D65" s="155">
        <v>2</v>
      </c>
      <c r="E65" s="156">
        <f t="shared" si="1"/>
        <v>0</v>
      </c>
      <c r="F65" s="155">
        <v>6</v>
      </c>
      <c r="G65" s="156">
        <f t="shared" si="2"/>
        <v>0</v>
      </c>
      <c r="H65" s="155">
        <v>2</v>
      </c>
      <c r="I65" s="156">
        <f t="shared" si="3"/>
        <v>0</v>
      </c>
      <c r="J65" s="217">
        <f t="shared" si="118"/>
        <v>0</v>
      </c>
      <c r="K65" s="316" t="str">
        <f t="shared" si="120"/>
        <v>2000CLASE F15KV</v>
      </c>
      <c r="L65" s="229">
        <v>1.5</v>
      </c>
      <c r="M65" s="271">
        <f t="shared" si="5"/>
        <v>10617</v>
      </c>
      <c r="N65" s="237">
        <v>2.5</v>
      </c>
      <c r="O65" s="265">
        <f t="shared" si="6"/>
        <v>17695</v>
      </c>
      <c r="P65" s="237">
        <v>0</v>
      </c>
      <c r="Q65" s="266">
        <f t="shared" si="7"/>
        <v>0</v>
      </c>
      <c r="R65" s="237">
        <v>8</v>
      </c>
      <c r="S65" s="267">
        <f t="shared" si="8"/>
        <v>57808</v>
      </c>
      <c r="T65" s="237">
        <v>1</v>
      </c>
      <c r="U65" s="266">
        <f t="shared" si="9"/>
        <v>5647</v>
      </c>
      <c r="V65" s="237">
        <v>1</v>
      </c>
      <c r="W65" s="266">
        <f t="shared" si="10"/>
        <v>6921</v>
      </c>
      <c r="X65" s="243"/>
      <c r="Y65" s="267">
        <f t="shared" si="11"/>
        <v>0</v>
      </c>
      <c r="Z65" s="268">
        <f t="shared" si="12"/>
        <v>98688</v>
      </c>
      <c r="AA65" s="250">
        <v>0</v>
      </c>
      <c r="AB65" s="267">
        <f t="shared" si="13"/>
        <v>0</v>
      </c>
      <c r="AC65" s="250">
        <v>0</v>
      </c>
      <c r="AD65" s="267">
        <f t="shared" si="14"/>
        <v>0</v>
      </c>
      <c r="AE65" s="250">
        <v>0</v>
      </c>
      <c r="AF65" s="267">
        <f t="shared" si="15"/>
        <v>0</v>
      </c>
      <c r="AG65" s="250">
        <v>0</v>
      </c>
      <c r="AH65" s="267">
        <f t="shared" si="16"/>
        <v>0</v>
      </c>
      <c r="AI65" s="250">
        <v>0</v>
      </c>
      <c r="AJ65" s="267">
        <f t="shared" si="17"/>
        <v>0</v>
      </c>
      <c r="AK65" s="250">
        <v>82.8</v>
      </c>
      <c r="AL65" s="267">
        <f t="shared" si="18"/>
        <v>444636</v>
      </c>
      <c r="AM65" s="237">
        <v>28</v>
      </c>
      <c r="AN65" s="267">
        <f t="shared" si="19"/>
        <v>150360</v>
      </c>
      <c r="AO65" s="237">
        <f t="shared" si="121"/>
        <v>19</v>
      </c>
      <c r="AP65" s="271">
        <f t="shared" si="20"/>
        <v>128003</v>
      </c>
      <c r="AQ65" s="237">
        <v>0</v>
      </c>
      <c r="AR65" s="266">
        <f t="shared" si="21"/>
        <v>0</v>
      </c>
      <c r="AS65" s="237">
        <v>3.25</v>
      </c>
      <c r="AT65" s="267">
        <f t="shared" si="22"/>
        <v>42942.25</v>
      </c>
      <c r="AU65" s="250">
        <v>8</v>
      </c>
      <c r="AV65" s="273">
        <f t="shared" si="23"/>
        <v>46056</v>
      </c>
      <c r="AW65" s="243"/>
      <c r="AX65" s="95">
        <f t="shared" si="24"/>
        <v>0</v>
      </c>
      <c r="AY65" s="178">
        <f t="shared" si="25"/>
        <v>811997.25</v>
      </c>
      <c r="AZ65" s="166">
        <f t="shared" si="87"/>
        <v>910685.25</v>
      </c>
      <c r="BA65" s="167">
        <f t="shared" si="27"/>
        <v>1007825.0000000001</v>
      </c>
      <c r="BB65" s="263">
        <f t="shared" si="28"/>
        <v>155.05000000000001</v>
      </c>
    </row>
    <row r="66" spans="1:64" ht="20.25" thickTop="1" thickBot="1" x14ac:dyDescent="0.35">
      <c r="A66" s="619" t="s">
        <v>30</v>
      </c>
      <c r="B66" s="622" t="s">
        <v>77</v>
      </c>
      <c r="C66" s="161">
        <v>150</v>
      </c>
      <c r="D66" s="159">
        <v>2</v>
      </c>
      <c r="E66" s="160">
        <f t="shared" si="1"/>
        <v>0</v>
      </c>
      <c r="F66" s="159">
        <v>4</v>
      </c>
      <c r="G66" s="160">
        <f t="shared" si="2"/>
        <v>0</v>
      </c>
      <c r="H66" s="159">
        <v>2</v>
      </c>
      <c r="I66" s="160">
        <f t="shared" si="3"/>
        <v>0</v>
      </c>
      <c r="J66" s="220">
        <f t="shared" si="118"/>
        <v>0</v>
      </c>
      <c r="K66" s="317" t="str">
        <f>C66&amp;$B$66&amp;$A$66</f>
        <v>150CLASE F36KV</v>
      </c>
      <c r="L66" s="235">
        <v>1.5</v>
      </c>
      <c r="M66" s="271">
        <f t="shared" si="5"/>
        <v>10617</v>
      </c>
      <c r="N66" s="236">
        <v>1.25</v>
      </c>
      <c r="O66" s="265">
        <f t="shared" si="6"/>
        <v>8847.5</v>
      </c>
      <c r="P66" s="236">
        <v>0.4</v>
      </c>
      <c r="Q66" s="266">
        <f t="shared" si="7"/>
        <v>2139.2000000000003</v>
      </c>
      <c r="R66" s="239">
        <v>7</v>
      </c>
      <c r="S66" s="267">
        <f t="shared" si="8"/>
        <v>50582</v>
      </c>
      <c r="T66" s="240">
        <v>0.5</v>
      </c>
      <c r="U66" s="266">
        <f t="shared" si="9"/>
        <v>2823.5</v>
      </c>
      <c r="V66" s="236">
        <v>0.75</v>
      </c>
      <c r="W66" s="266">
        <f t="shared" si="10"/>
        <v>5190.75</v>
      </c>
      <c r="X66" s="243"/>
      <c r="Y66" s="267">
        <f t="shared" si="11"/>
        <v>0</v>
      </c>
      <c r="Z66" s="268">
        <f t="shared" si="12"/>
        <v>80199.95</v>
      </c>
      <c r="AA66" s="236">
        <v>0</v>
      </c>
      <c r="AB66" s="267">
        <f t="shared" si="13"/>
        <v>0</v>
      </c>
      <c r="AC66" s="236">
        <v>0</v>
      </c>
      <c r="AD66" s="267">
        <f t="shared" si="14"/>
        <v>0</v>
      </c>
      <c r="AE66" s="236">
        <v>0</v>
      </c>
      <c r="AF66" s="267">
        <f t="shared" si="15"/>
        <v>0</v>
      </c>
      <c r="AG66" s="236">
        <v>0</v>
      </c>
      <c r="AH66" s="267">
        <f t="shared" si="16"/>
        <v>0</v>
      </c>
      <c r="AI66" s="236">
        <v>0</v>
      </c>
      <c r="AJ66" s="267">
        <f t="shared" si="17"/>
        <v>0</v>
      </c>
      <c r="AK66" s="236">
        <v>40.25</v>
      </c>
      <c r="AL66" s="267">
        <f t="shared" si="18"/>
        <v>216142.5</v>
      </c>
      <c r="AM66" s="236">
        <v>15</v>
      </c>
      <c r="AN66" s="267">
        <f t="shared" si="19"/>
        <v>80550</v>
      </c>
      <c r="AO66" s="258">
        <f>AO55+3.25</f>
        <v>14.25</v>
      </c>
      <c r="AP66" s="271">
        <f t="shared" si="20"/>
        <v>96002.25</v>
      </c>
      <c r="AQ66" s="258">
        <v>0</v>
      </c>
      <c r="AR66" s="266">
        <f t="shared" si="21"/>
        <v>0</v>
      </c>
      <c r="AS66" s="239">
        <v>3</v>
      </c>
      <c r="AT66" s="267">
        <f t="shared" si="22"/>
        <v>39639</v>
      </c>
      <c r="AU66" s="236">
        <v>4</v>
      </c>
      <c r="AV66" s="273">
        <f t="shared" si="23"/>
        <v>23028</v>
      </c>
      <c r="AW66" s="243"/>
      <c r="AX66" s="95">
        <f t="shared" si="24"/>
        <v>0</v>
      </c>
      <c r="AY66" s="179">
        <f t="shared" si="25"/>
        <v>455361.75</v>
      </c>
      <c r="AZ66" s="171">
        <f t="shared" si="87"/>
        <v>535561.69999999995</v>
      </c>
      <c r="BA66" s="172">
        <f t="shared" si="27"/>
        <v>571350</v>
      </c>
      <c r="BB66" s="263">
        <f t="shared" si="28"/>
        <v>87.9</v>
      </c>
      <c r="BK66" s="277"/>
    </row>
    <row r="67" spans="1:64" ht="20.25" thickTop="1" thickBot="1" x14ac:dyDescent="0.35">
      <c r="A67" s="620"/>
      <c r="B67" s="562"/>
      <c r="C67" s="88">
        <v>225</v>
      </c>
      <c r="D67" s="74">
        <v>2</v>
      </c>
      <c r="E67" s="83">
        <f t="shared" si="1"/>
        <v>0</v>
      </c>
      <c r="F67" s="74">
        <v>4</v>
      </c>
      <c r="G67" s="83">
        <f t="shared" si="2"/>
        <v>0</v>
      </c>
      <c r="H67" s="74">
        <v>2</v>
      </c>
      <c r="I67" s="83">
        <f t="shared" si="3"/>
        <v>0</v>
      </c>
      <c r="J67" s="216">
        <f t="shared" si="118"/>
        <v>0</v>
      </c>
      <c r="K67" s="317" t="str">
        <f t="shared" ref="K67:K83" si="122">C67&amp;$B$66&amp;$A$66</f>
        <v>225CLASE F36KV</v>
      </c>
      <c r="L67" s="230">
        <v>1.5</v>
      </c>
      <c r="M67" s="271">
        <f t="shared" si="5"/>
        <v>10617</v>
      </c>
      <c r="N67" s="236">
        <v>1.25</v>
      </c>
      <c r="O67" s="265">
        <f t="shared" si="6"/>
        <v>8847.5</v>
      </c>
      <c r="P67" s="236">
        <v>0.4</v>
      </c>
      <c r="Q67" s="266">
        <f t="shared" si="7"/>
        <v>2139.2000000000003</v>
      </c>
      <c r="R67" s="236">
        <v>7</v>
      </c>
      <c r="S67" s="267">
        <f t="shared" si="8"/>
        <v>50582</v>
      </c>
      <c r="T67" s="241">
        <v>0.5</v>
      </c>
      <c r="U67" s="266">
        <f t="shared" si="9"/>
        <v>2823.5</v>
      </c>
      <c r="V67" s="236">
        <v>0.75</v>
      </c>
      <c r="W67" s="266">
        <f t="shared" si="10"/>
        <v>5190.75</v>
      </c>
      <c r="X67" s="243"/>
      <c r="Y67" s="267">
        <f t="shared" si="11"/>
        <v>0</v>
      </c>
      <c r="Z67" s="268">
        <f t="shared" si="12"/>
        <v>80199.95</v>
      </c>
      <c r="AA67" s="236">
        <v>0</v>
      </c>
      <c r="AB67" s="267">
        <f t="shared" si="13"/>
        <v>0</v>
      </c>
      <c r="AC67" s="236">
        <v>0</v>
      </c>
      <c r="AD67" s="267">
        <f t="shared" si="14"/>
        <v>0</v>
      </c>
      <c r="AE67" s="236">
        <v>0</v>
      </c>
      <c r="AF67" s="267">
        <f t="shared" si="15"/>
        <v>0</v>
      </c>
      <c r="AG67" s="236">
        <v>0</v>
      </c>
      <c r="AH67" s="267">
        <f t="shared" si="16"/>
        <v>0</v>
      </c>
      <c r="AI67" s="236">
        <v>0</v>
      </c>
      <c r="AJ67" s="267">
        <f t="shared" si="17"/>
        <v>0</v>
      </c>
      <c r="AK67" s="236">
        <v>43.125</v>
      </c>
      <c r="AL67" s="267">
        <f t="shared" si="18"/>
        <v>231581.25</v>
      </c>
      <c r="AM67" s="236">
        <v>15</v>
      </c>
      <c r="AN67" s="267">
        <f t="shared" si="19"/>
        <v>80550</v>
      </c>
      <c r="AO67" s="258">
        <f t="shared" ref="AO67:AO76" si="123">AO56+3.25</f>
        <v>14.75</v>
      </c>
      <c r="AP67" s="271">
        <f t="shared" si="20"/>
        <v>99370.75</v>
      </c>
      <c r="AQ67" s="256">
        <v>0</v>
      </c>
      <c r="AR67" s="266">
        <f t="shared" si="21"/>
        <v>0</v>
      </c>
      <c r="AS67" s="236">
        <v>3</v>
      </c>
      <c r="AT67" s="267">
        <f t="shared" si="22"/>
        <v>39639</v>
      </c>
      <c r="AU67" s="236">
        <v>4.8499999999999996</v>
      </c>
      <c r="AV67" s="273">
        <f t="shared" si="23"/>
        <v>27921.449999999997</v>
      </c>
      <c r="AW67" s="243"/>
      <c r="AX67" s="95">
        <f t="shared" si="24"/>
        <v>0</v>
      </c>
      <c r="AY67" s="108">
        <f t="shared" si="25"/>
        <v>479062.45</v>
      </c>
      <c r="AZ67" s="169">
        <f t="shared" si="87"/>
        <v>559262.4</v>
      </c>
      <c r="BA67" s="110">
        <f t="shared" si="27"/>
        <v>598812.5</v>
      </c>
      <c r="BB67" s="263">
        <f t="shared" si="28"/>
        <v>92.125</v>
      </c>
      <c r="BK67" s="277">
        <v>42836.429930555554</v>
      </c>
      <c r="BL67" s="276" t="s">
        <v>162</v>
      </c>
    </row>
    <row r="68" spans="1:64" ht="20.25" thickTop="1" thickBot="1" x14ac:dyDescent="0.35">
      <c r="A68" s="620"/>
      <c r="B68" s="562"/>
      <c r="C68" s="88">
        <v>300</v>
      </c>
      <c r="D68" s="74">
        <v>2</v>
      </c>
      <c r="E68" s="83">
        <f t="shared" si="1"/>
        <v>0</v>
      </c>
      <c r="F68" s="74">
        <v>4</v>
      </c>
      <c r="G68" s="83">
        <f t="shared" si="2"/>
        <v>0</v>
      </c>
      <c r="H68" s="74">
        <v>2</v>
      </c>
      <c r="I68" s="83">
        <f t="shared" si="3"/>
        <v>0</v>
      </c>
      <c r="J68" s="216">
        <f t="shared" si="118"/>
        <v>0</v>
      </c>
      <c r="K68" s="317" t="str">
        <f t="shared" si="122"/>
        <v>300CLASE F36KV</v>
      </c>
      <c r="L68" s="230">
        <v>1.5</v>
      </c>
      <c r="M68" s="271">
        <f t="shared" si="5"/>
        <v>10617</v>
      </c>
      <c r="N68" s="236">
        <v>1.25</v>
      </c>
      <c r="O68" s="265">
        <f t="shared" si="6"/>
        <v>8847.5</v>
      </c>
      <c r="P68" s="236">
        <v>0.4</v>
      </c>
      <c r="Q68" s="266">
        <f t="shared" si="7"/>
        <v>2139.2000000000003</v>
      </c>
      <c r="R68" s="236">
        <v>7</v>
      </c>
      <c r="S68" s="267">
        <f t="shared" si="8"/>
        <v>50582</v>
      </c>
      <c r="T68" s="236">
        <v>0.7</v>
      </c>
      <c r="U68" s="266">
        <f t="shared" si="9"/>
        <v>3952.8999999999996</v>
      </c>
      <c r="V68" s="236">
        <v>0.75</v>
      </c>
      <c r="W68" s="266">
        <f t="shared" si="10"/>
        <v>5190.75</v>
      </c>
      <c r="X68" s="243"/>
      <c r="Y68" s="267">
        <f t="shared" si="11"/>
        <v>0</v>
      </c>
      <c r="Z68" s="268">
        <f t="shared" si="12"/>
        <v>81329.349999999991</v>
      </c>
      <c r="AA68" s="236">
        <v>0</v>
      </c>
      <c r="AB68" s="267">
        <f t="shared" si="13"/>
        <v>0</v>
      </c>
      <c r="AC68" s="236">
        <v>0</v>
      </c>
      <c r="AD68" s="267">
        <f t="shared" si="14"/>
        <v>0</v>
      </c>
      <c r="AE68" s="236">
        <v>0</v>
      </c>
      <c r="AF68" s="267">
        <f t="shared" si="15"/>
        <v>0</v>
      </c>
      <c r="AG68" s="236">
        <v>0</v>
      </c>
      <c r="AH68" s="267">
        <f t="shared" si="16"/>
        <v>0</v>
      </c>
      <c r="AI68" s="236">
        <v>0</v>
      </c>
      <c r="AJ68" s="267">
        <f t="shared" si="17"/>
        <v>0</v>
      </c>
      <c r="AK68" s="236">
        <v>50.599999999999994</v>
      </c>
      <c r="AL68" s="267">
        <f t="shared" si="18"/>
        <v>271721.99999999994</v>
      </c>
      <c r="AM68" s="236">
        <v>17</v>
      </c>
      <c r="AN68" s="267">
        <f t="shared" si="19"/>
        <v>91290</v>
      </c>
      <c r="AO68" s="258">
        <f t="shared" si="123"/>
        <v>15.25</v>
      </c>
      <c r="AP68" s="271">
        <f t="shared" si="20"/>
        <v>102739.25</v>
      </c>
      <c r="AQ68" s="256">
        <v>0</v>
      </c>
      <c r="AR68" s="266">
        <f t="shared" si="21"/>
        <v>0</v>
      </c>
      <c r="AS68" s="236">
        <v>3</v>
      </c>
      <c r="AT68" s="267">
        <f t="shared" si="22"/>
        <v>39639</v>
      </c>
      <c r="AU68" s="236">
        <v>5</v>
      </c>
      <c r="AV68" s="273">
        <f t="shared" si="23"/>
        <v>28785</v>
      </c>
      <c r="AW68" s="243"/>
      <c r="AX68" s="95">
        <f t="shared" si="24"/>
        <v>0</v>
      </c>
      <c r="AY68" s="108">
        <f t="shared" si="25"/>
        <v>534175.25</v>
      </c>
      <c r="AZ68" s="169">
        <f t="shared" si="87"/>
        <v>615504.6</v>
      </c>
      <c r="BA68" s="110">
        <f t="shared" si="27"/>
        <v>665924.99999999988</v>
      </c>
      <c r="BB68" s="263">
        <f t="shared" si="28"/>
        <v>102.44999999999999</v>
      </c>
    </row>
    <row r="69" spans="1:64" ht="20.25" thickTop="1" thickBot="1" x14ac:dyDescent="0.35">
      <c r="A69" s="620"/>
      <c r="B69" s="562"/>
      <c r="C69" s="88">
        <v>400</v>
      </c>
      <c r="D69" s="74">
        <v>2</v>
      </c>
      <c r="E69" s="83">
        <f t="shared" si="1"/>
        <v>0</v>
      </c>
      <c r="F69" s="74">
        <v>4</v>
      </c>
      <c r="G69" s="83">
        <f t="shared" si="2"/>
        <v>0</v>
      </c>
      <c r="H69" s="74">
        <v>2</v>
      </c>
      <c r="I69" s="83">
        <f t="shared" si="3"/>
        <v>0</v>
      </c>
      <c r="J69" s="216">
        <f t="shared" si="118"/>
        <v>0</v>
      </c>
      <c r="K69" s="317" t="str">
        <f t="shared" si="122"/>
        <v>400CLASE F36KV</v>
      </c>
      <c r="L69" s="230">
        <v>1.5</v>
      </c>
      <c r="M69" s="271">
        <f t="shared" si="5"/>
        <v>10617</v>
      </c>
      <c r="N69" s="236">
        <v>1.5</v>
      </c>
      <c r="O69" s="265">
        <f t="shared" si="6"/>
        <v>10617</v>
      </c>
      <c r="P69" s="236">
        <v>0.4</v>
      </c>
      <c r="Q69" s="266">
        <f t="shared" si="7"/>
        <v>2139.2000000000003</v>
      </c>
      <c r="R69" s="236">
        <v>8</v>
      </c>
      <c r="S69" s="267">
        <f t="shared" si="8"/>
        <v>57808</v>
      </c>
      <c r="T69" s="236">
        <v>0.7</v>
      </c>
      <c r="U69" s="266">
        <f t="shared" si="9"/>
        <v>3952.8999999999996</v>
      </c>
      <c r="V69" s="236">
        <v>0.75</v>
      </c>
      <c r="W69" s="266">
        <f t="shared" si="10"/>
        <v>5190.75</v>
      </c>
      <c r="X69" s="243"/>
      <c r="Y69" s="267">
        <f t="shared" si="11"/>
        <v>0</v>
      </c>
      <c r="Z69" s="268">
        <f t="shared" si="12"/>
        <v>90324.849999999991</v>
      </c>
      <c r="AA69" s="236">
        <v>0</v>
      </c>
      <c r="AB69" s="267">
        <f t="shared" si="13"/>
        <v>0</v>
      </c>
      <c r="AC69" s="236">
        <v>0</v>
      </c>
      <c r="AD69" s="267">
        <f t="shared" si="14"/>
        <v>0</v>
      </c>
      <c r="AE69" s="236">
        <v>0</v>
      </c>
      <c r="AF69" s="267">
        <f t="shared" si="15"/>
        <v>0</v>
      </c>
      <c r="AG69" s="236">
        <v>0</v>
      </c>
      <c r="AH69" s="267">
        <f t="shared" si="16"/>
        <v>0</v>
      </c>
      <c r="AI69" s="236">
        <v>0</v>
      </c>
      <c r="AJ69" s="267">
        <f t="shared" si="17"/>
        <v>0</v>
      </c>
      <c r="AK69" s="236">
        <v>52.9</v>
      </c>
      <c r="AL69" s="267">
        <f t="shared" si="18"/>
        <v>284073</v>
      </c>
      <c r="AM69" s="236">
        <v>20</v>
      </c>
      <c r="AN69" s="267">
        <f t="shared" si="19"/>
        <v>107400</v>
      </c>
      <c r="AO69" s="258">
        <f t="shared" si="123"/>
        <v>16.75</v>
      </c>
      <c r="AP69" s="271">
        <f t="shared" si="20"/>
        <v>112844.75</v>
      </c>
      <c r="AQ69" s="256">
        <v>0</v>
      </c>
      <c r="AR69" s="266">
        <f t="shared" si="21"/>
        <v>0</v>
      </c>
      <c r="AS69" s="236">
        <v>3</v>
      </c>
      <c r="AT69" s="267">
        <f t="shared" si="22"/>
        <v>39639</v>
      </c>
      <c r="AU69" s="236">
        <v>5.25</v>
      </c>
      <c r="AV69" s="273">
        <f t="shared" si="23"/>
        <v>30224.25</v>
      </c>
      <c r="AW69" s="243"/>
      <c r="AX69" s="95">
        <f t="shared" si="24"/>
        <v>0</v>
      </c>
      <c r="AY69" s="108">
        <f t="shared" si="25"/>
        <v>574181</v>
      </c>
      <c r="AZ69" s="169">
        <f t="shared" si="87"/>
        <v>664505.85</v>
      </c>
      <c r="BA69" s="110">
        <f t="shared" si="27"/>
        <v>719875</v>
      </c>
      <c r="BB69" s="263">
        <f t="shared" si="28"/>
        <v>110.75</v>
      </c>
    </row>
    <row r="70" spans="1:64" ht="20.25" thickTop="1" thickBot="1" x14ac:dyDescent="0.35">
      <c r="A70" s="620"/>
      <c r="B70" s="562"/>
      <c r="C70" s="88">
        <v>500</v>
      </c>
      <c r="D70" s="74">
        <v>2</v>
      </c>
      <c r="E70" s="83">
        <f t="shared" si="1"/>
        <v>0</v>
      </c>
      <c r="F70" s="74">
        <v>4</v>
      </c>
      <c r="G70" s="83">
        <f t="shared" si="2"/>
        <v>0</v>
      </c>
      <c r="H70" s="74">
        <v>2</v>
      </c>
      <c r="I70" s="83">
        <f t="shared" si="3"/>
        <v>0</v>
      </c>
      <c r="J70" s="216">
        <f t="shared" si="118"/>
        <v>0</v>
      </c>
      <c r="K70" s="317" t="str">
        <f t="shared" si="122"/>
        <v>500CLASE F36KV</v>
      </c>
      <c r="L70" s="230">
        <v>1.5</v>
      </c>
      <c r="M70" s="271">
        <f t="shared" si="5"/>
        <v>10617</v>
      </c>
      <c r="N70" s="236">
        <v>1.5</v>
      </c>
      <c r="O70" s="265">
        <f t="shared" si="6"/>
        <v>10617</v>
      </c>
      <c r="P70" s="236">
        <v>0.5</v>
      </c>
      <c r="Q70" s="266">
        <f t="shared" si="7"/>
        <v>2674</v>
      </c>
      <c r="R70" s="236">
        <v>8</v>
      </c>
      <c r="S70" s="267">
        <f t="shared" si="8"/>
        <v>57808</v>
      </c>
      <c r="T70" s="236">
        <v>0.85</v>
      </c>
      <c r="U70" s="266">
        <f t="shared" si="9"/>
        <v>4799.95</v>
      </c>
      <c r="V70" s="236">
        <v>1</v>
      </c>
      <c r="W70" s="266">
        <f t="shared" si="10"/>
        <v>6921</v>
      </c>
      <c r="X70" s="243"/>
      <c r="Y70" s="267">
        <f t="shared" si="11"/>
        <v>0</v>
      </c>
      <c r="Z70" s="268">
        <f t="shared" si="12"/>
        <v>93436.95</v>
      </c>
      <c r="AA70" s="236">
        <v>0</v>
      </c>
      <c r="AB70" s="267">
        <f t="shared" si="13"/>
        <v>0</v>
      </c>
      <c r="AC70" s="236">
        <v>0</v>
      </c>
      <c r="AD70" s="267">
        <f t="shared" si="14"/>
        <v>0</v>
      </c>
      <c r="AE70" s="236">
        <v>0</v>
      </c>
      <c r="AF70" s="267">
        <f t="shared" si="15"/>
        <v>0</v>
      </c>
      <c r="AG70" s="236">
        <v>0</v>
      </c>
      <c r="AH70" s="267">
        <f t="shared" si="16"/>
        <v>0</v>
      </c>
      <c r="AI70" s="236">
        <v>0</v>
      </c>
      <c r="AJ70" s="267">
        <f t="shared" si="17"/>
        <v>0</v>
      </c>
      <c r="AK70" s="236">
        <v>64.399999999999991</v>
      </c>
      <c r="AL70" s="267">
        <f t="shared" si="18"/>
        <v>345827.99999999994</v>
      </c>
      <c r="AM70" s="236">
        <v>20</v>
      </c>
      <c r="AN70" s="267">
        <f t="shared" si="19"/>
        <v>107400</v>
      </c>
      <c r="AO70" s="258">
        <f t="shared" si="123"/>
        <v>17.25</v>
      </c>
      <c r="AP70" s="271">
        <f t="shared" si="20"/>
        <v>116213.25</v>
      </c>
      <c r="AQ70" s="256">
        <v>0</v>
      </c>
      <c r="AR70" s="266">
        <f t="shared" si="21"/>
        <v>0</v>
      </c>
      <c r="AS70" s="236">
        <v>3</v>
      </c>
      <c r="AT70" s="267">
        <f t="shared" si="22"/>
        <v>39639</v>
      </c>
      <c r="AU70" s="236">
        <v>5.5</v>
      </c>
      <c r="AV70" s="273">
        <f t="shared" si="23"/>
        <v>31663.5</v>
      </c>
      <c r="AW70" s="243"/>
      <c r="AX70" s="95">
        <f t="shared" si="24"/>
        <v>0</v>
      </c>
      <c r="AY70" s="108">
        <f t="shared" si="25"/>
        <v>640743.75</v>
      </c>
      <c r="AZ70" s="169">
        <f t="shared" si="87"/>
        <v>734180.7</v>
      </c>
      <c r="BA70" s="110">
        <f t="shared" si="27"/>
        <v>802749.99999999988</v>
      </c>
      <c r="BB70" s="263">
        <f t="shared" si="28"/>
        <v>123.49999999999999</v>
      </c>
    </row>
    <row r="71" spans="1:64" ht="20.25" thickTop="1" thickBot="1" x14ac:dyDescent="0.35">
      <c r="A71" s="620"/>
      <c r="B71" s="562"/>
      <c r="C71" s="88">
        <v>630</v>
      </c>
      <c r="D71" s="74">
        <v>2</v>
      </c>
      <c r="E71" s="83">
        <f t="shared" si="1"/>
        <v>0</v>
      </c>
      <c r="F71" s="74">
        <v>4</v>
      </c>
      <c r="G71" s="83">
        <f t="shared" si="2"/>
        <v>0</v>
      </c>
      <c r="H71" s="74">
        <v>2</v>
      </c>
      <c r="I71" s="83">
        <f t="shared" si="3"/>
        <v>0</v>
      </c>
      <c r="J71" s="216">
        <f t="shared" si="118"/>
        <v>0</v>
      </c>
      <c r="K71" s="317" t="str">
        <f t="shared" si="122"/>
        <v>630CLASE F36KV</v>
      </c>
      <c r="L71" s="230">
        <v>1.5</v>
      </c>
      <c r="M71" s="271">
        <f t="shared" si="5"/>
        <v>10617</v>
      </c>
      <c r="N71" s="236">
        <v>1.25</v>
      </c>
      <c r="O71" s="265">
        <f t="shared" si="6"/>
        <v>8847.5</v>
      </c>
      <c r="P71" s="236">
        <v>0.5</v>
      </c>
      <c r="Q71" s="266">
        <f t="shared" si="7"/>
        <v>2674</v>
      </c>
      <c r="R71" s="236">
        <v>8</v>
      </c>
      <c r="S71" s="267">
        <f t="shared" si="8"/>
        <v>57808</v>
      </c>
      <c r="T71" s="236">
        <v>0.85</v>
      </c>
      <c r="U71" s="266">
        <f t="shared" si="9"/>
        <v>4799.95</v>
      </c>
      <c r="V71" s="236">
        <v>1</v>
      </c>
      <c r="W71" s="266">
        <f t="shared" si="10"/>
        <v>6921</v>
      </c>
      <c r="X71" s="243"/>
      <c r="Y71" s="267">
        <f t="shared" si="11"/>
        <v>0</v>
      </c>
      <c r="Z71" s="268">
        <f t="shared" si="12"/>
        <v>91667.45</v>
      </c>
      <c r="AA71" s="236">
        <v>0</v>
      </c>
      <c r="AB71" s="267">
        <f t="shared" si="13"/>
        <v>0</v>
      </c>
      <c r="AC71" s="236">
        <v>0</v>
      </c>
      <c r="AD71" s="267">
        <f t="shared" si="14"/>
        <v>0</v>
      </c>
      <c r="AE71" s="236">
        <v>0</v>
      </c>
      <c r="AF71" s="267">
        <f t="shared" si="15"/>
        <v>0</v>
      </c>
      <c r="AG71" s="236">
        <v>0</v>
      </c>
      <c r="AH71" s="267">
        <f t="shared" si="16"/>
        <v>0</v>
      </c>
      <c r="AI71" s="236">
        <v>0</v>
      </c>
      <c r="AJ71" s="267">
        <f t="shared" si="17"/>
        <v>0</v>
      </c>
      <c r="AK71" s="236">
        <v>69</v>
      </c>
      <c r="AL71" s="267">
        <f t="shared" si="18"/>
        <v>370530</v>
      </c>
      <c r="AM71" s="236">
        <v>22</v>
      </c>
      <c r="AN71" s="267">
        <f t="shared" si="19"/>
        <v>118140</v>
      </c>
      <c r="AO71" s="258">
        <f t="shared" si="123"/>
        <v>18.25</v>
      </c>
      <c r="AP71" s="271">
        <f t="shared" si="20"/>
        <v>122950.25</v>
      </c>
      <c r="AQ71" s="256">
        <v>0</v>
      </c>
      <c r="AR71" s="266">
        <f t="shared" si="21"/>
        <v>0</v>
      </c>
      <c r="AS71" s="236">
        <v>3</v>
      </c>
      <c r="AT71" s="267">
        <f t="shared" si="22"/>
        <v>39639</v>
      </c>
      <c r="AU71" s="236">
        <v>6</v>
      </c>
      <c r="AV71" s="273">
        <f t="shared" si="23"/>
        <v>34542</v>
      </c>
      <c r="AW71" s="243"/>
      <c r="AX71" s="95">
        <f t="shared" si="24"/>
        <v>0</v>
      </c>
      <c r="AY71" s="108">
        <f t="shared" si="25"/>
        <v>685801.25</v>
      </c>
      <c r="AZ71" s="169">
        <f t="shared" si="87"/>
        <v>777468.7</v>
      </c>
      <c r="BA71" s="110">
        <f t="shared" si="27"/>
        <v>853775</v>
      </c>
      <c r="BB71" s="263">
        <f t="shared" si="28"/>
        <v>131.35</v>
      </c>
    </row>
    <row r="72" spans="1:64" ht="20.25" thickTop="1" thickBot="1" x14ac:dyDescent="0.35">
      <c r="A72" s="620"/>
      <c r="B72" s="562"/>
      <c r="C72" s="88">
        <v>800</v>
      </c>
      <c r="D72" s="74">
        <v>2</v>
      </c>
      <c r="E72" s="83">
        <f t="shared" si="1"/>
        <v>0</v>
      </c>
      <c r="F72" s="74">
        <v>4</v>
      </c>
      <c r="G72" s="83">
        <f t="shared" si="2"/>
        <v>0</v>
      </c>
      <c r="H72" s="74">
        <v>2</v>
      </c>
      <c r="I72" s="83">
        <f t="shared" si="3"/>
        <v>0</v>
      </c>
      <c r="J72" s="216">
        <f t="shared" si="118"/>
        <v>0</v>
      </c>
      <c r="K72" s="317" t="str">
        <f t="shared" si="122"/>
        <v>800CLASE F36KV</v>
      </c>
      <c r="L72" s="230">
        <v>1.5</v>
      </c>
      <c r="M72" s="271">
        <f t="shared" si="5"/>
        <v>10617</v>
      </c>
      <c r="N72" s="236">
        <v>2.25</v>
      </c>
      <c r="O72" s="265">
        <f t="shared" si="6"/>
        <v>15925.5</v>
      </c>
      <c r="P72" s="236">
        <v>0.5</v>
      </c>
      <c r="Q72" s="266">
        <f t="shared" si="7"/>
        <v>2674</v>
      </c>
      <c r="R72" s="236">
        <v>8</v>
      </c>
      <c r="S72" s="267">
        <f t="shared" si="8"/>
        <v>57808</v>
      </c>
      <c r="T72" s="236">
        <v>1.05</v>
      </c>
      <c r="U72" s="266">
        <f t="shared" si="9"/>
        <v>5929.35</v>
      </c>
      <c r="V72" s="236">
        <v>1</v>
      </c>
      <c r="W72" s="266">
        <f t="shared" si="10"/>
        <v>6921</v>
      </c>
      <c r="X72" s="243"/>
      <c r="Y72" s="267">
        <f t="shared" si="11"/>
        <v>0</v>
      </c>
      <c r="Z72" s="268">
        <f t="shared" si="12"/>
        <v>99874.85</v>
      </c>
      <c r="AA72" s="236">
        <v>0</v>
      </c>
      <c r="AB72" s="267">
        <f t="shared" si="13"/>
        <v>0</v>
      </c>
      <c r="AC72" s="236">
        <v>0</v>
      </c>
      <c r="AD72" s="267">
        <f t="shared" si="14"/>
        <v>0</v>
      </c>
      <c r="AE72" s="236">
        <v>0</v>
      </c>
      <c r="AF72" s="267">
        <f t="shared" si="15"/>
        <v>0</v>
      </c>
      <c r="AG72" s="236">
        <v>0</v>
      </c>
      <c r="AH72" s="267">
        <f t="shared" si="16"/>
        <v>0</v>
      </c>
      <c r="AI72" s="236">
        <v>0</v>
      </c>
      <c r="AJ72" s="267">
        <f t="shared" si="17"/>
        <v>0</v>
      </c>
      <c r="AK72" s="236">
        <v>75.899999999999991</v>
      </c>
      <c r="AL72" s="267">
        <f t="shared" si="18"/>
        <v>407582.99999999994</v>
      </c>
      <c r="AM72" s="236">
        <v>30</v>
      </c>
      <c r="AN72" s="267">
        <f t="shared" si="19"/>
        <v>161100</v>
      </c>
      <c r="AO72" s="258">
        <f t="shared" si="123"/>
        <v>20.25</v>
      </c>
      <c r="AP72" s="271">
        <f t="shared" si="20"/>
        <v>136424.25</v>
      </c>
      <c r="AQ72" s="256">
        <v>0</v>
      </c>
      <c r="AR72" s="266">
        <f t="shared" si="21"/>
        <v>0</v>
      </c>
      <c r="AS72" s="236">
        <v>3</v>
      </c>
      <c r="AT72" s="267">
        <f t="shared" si="22"/>
        <v>39639</v>
      </c>
      <c r="AU72" s="236">
        <v>6.25</v>
      </c>
      <c r="AV72" s="273">
        <f t="shared" si="23"/>
        <v>35981.25</v>
      </c>
      <c r="AW72" s="243"/>
      <c r="AX72" s="95">
        <f t="shared" si="24"/>
        <v>0</v>
      </c>
      <c r="AY72" s="108">
        <f t="shared" si="25"/>
        <v>780727.5</v>
      </c>
      <c r="AZ72" s="169">
        <f t="shared" si="87"/>
        <v>880602.35</v>
      </c>
      <c r="BA72" s="110">
        <f t="shared" si="27"/>
        <v>973049.99999999988</v>
      </c>
      <c r="BB72" s="263">
        <f t="shared" si="28"/>
        <v>149.69999999999999</v>
      </c>
    </row>
    <row r="73" spans="1:64" ht="20.25" thickTop="1" thickBot="1" x14ac:dyDescent="0.35">
      <c r="A73" s="620"/>
      <c r="B73" s="562"/>
      <c r="C73" s="88">
        <v>1000</v>
      </c>
      <c r="D73" s="74">
        <v>2</v>
      </c>
      <c r="E73" s="83">
        <f t="shared" si="1"/>
        <v>0</v>
      </c>
      <c r="F73" s="74">
        <v>4</v>
      </c>
      <c r="G73" s="83">
        <f t="shared" si="2"/>
        <v>0</v>
      </c>
      <c r="H73" s="74">
        <v>2</v>
      </c>
      <c r="I73" s="83">
        <f t="shared" si="3"/>
        <v>0</v>
      </c>
      <c r="J73" s="216">
        <f t="shared" si="118"/>
        <v>0</v>
      </c>
      <c r="K73" s="317" t="str">
        <f t="shared" si="122"/>
        <v>1000CLASE F36KV</v>
      </c>
      <c r="L73" s="230">
        <v>1.5</v>
      </c>
      <c r="M73" s="271">
        <f t="shared" si="5"/>
        <v>10617</v>
      </c>
      <c r="N73" s="236">
        <v>2.25</v>
      </c>
      <c r="O73" s="265">
        <f t="shared" si="6"/>
        <v>15925.5</v>
      </c>
      <c r="P73" s="236">
        <v>0</v>
      </c>
      <c r="Q73" s="266">
        <f t="shared" si="7"/>
        <v>0</v>
      </c>
      <c r="R73" s="236">
        <v>8</v>
      </c>
      <c r="S73" s="267">
        <f t="shared" si="8"/>
        <v>57808</v>
      </c>
      <c r="T73" s="236">
        <v>1.05</v>
      </c>
      <c r="U73" s="266">
        <f t="shared" si="9"/>
        <v>5929.35</v>
      </c>
      <c r="V73" s="236">
        <v>1</v>
      </c>
      <c r="W73" s="266">
        <f t="shared" si="10"/>
        <v>6921</v>
      </c>
      <c r="X73" s="243"/>
      <c r="Y73" s="267">
        <f t="shared" si="11"/>
        <v>0</v>
      </c>
      <c r="Z73" s="268">
        <f t="shared" si="12"/>
        <v>97200.85</v>
      </c>
      <c r="AA73" s="236">
        <v>0</v>
      </c>
      <c r="AB73" s="267">
        <f t="shared" si="13"/>
        <v>0</v>
      </c>
      <c r="AC73" s="236">
        <v>0</v>
      </c>
      <c r="AD73" s="267">
        <f t="shared" si="14"/>
        <v>0</v>
      </c>
      <c r="AE73" s="236">
        <v>0</v>
      </c>
      <c r="AF73" s="267">
        <f t="shared" si="15"/>
        <v>0</v>
      </c>
      <c r="AG73" s="236">
        <v>0</v>
      </c>
      <c r="AH73" s="267">
        <f t="shared" si="16"/>
        <v>0</v>
      </c>
      <c r="AI73" s="236">
        <v>0</v>
      </c>
      <c r="AJ73" s="267">
        <f t="shared" si="17"/>
        <v>0</v>
      </c>
      <c r="AK73" s="236">
        <v>80.465499999999992</v>
      </c>
      <c r="AL73" s="267">
        <f t="shared" si="18"/>
        <v>432099.73499999993</v>
      </c>
      <c r="AM73" s="236">
        <v>32</v>
      </c>
      <c r="AN73" s="267">
        <f t="shared" si="19"/>
        <v>171840</v>
      </c>
      <c r="AO73" s="258">
        <f t="shared" si="123"/>
        <v>20.75</v>
      </c>
      <c r="AP73" s="271">
        <f t="shared" si="20"/>
        <v>139792.75</v>
      </c>
      <c r="AQ73" s="256">
        <v>0</v>
      </c>
      <c r="AR73" s="266">
        <f t="shared" si="21"/>
        <v>0</v>
      </c>
      <c r="AS73" s="236">
        <v>3</v>
      </c>
      <c r="AT73" s="267">
        <f t="shared" si="22"/>
        <v>39639</v>
      </c>
      <c r="AU73" s="236">
        <v>7</v>
      </c>
      <c r="AV73" s="273">
        <f t="shared" si="23"/>
        <v>40299</v>
      </c>
      <c r="AW73" s="243"/>
      <c r="AX73" s="95">
        <f t="shared" si="24"/>
        <v>0</v>
      </c>
      <c r="AY73" s="108">
        <f t="shared" si="25"/>
        <v>823670.48499999987</v>
      </c>
      <c r="AZ73" s="169">
        <f t="shared" si="87"/>
        <v>920871.33499999985</v>
      </c>
      <c r="BA73" s="110">
        <f t="shared" si="27"/>
        <v>1020600.7499999999</v>
      </c>
      <c r="BB73" s="263">
        <f t="shared" si="28"/>
        <v>157.01549999999997</v>
      </c>
    </row>
    <row r="74" spans="1:64" ht="20.25" thickTop="1" thickBot="1" x14ac:dyDescent="0.35">
      <c r="A74" s="620"/>
      <c r="B74" s="562"/>
      <c r="C74" s="88">
        <v>1250</v>
      </c>
      <c r="D74" s="74">
        <v>2</v>
      </c>
      <c r="E74" s="83">
        <f t="shared" si="1"/>
        <v>0</v>
      </c>
      <c r="F74" s="74">
        <v>4</v>
      </c>
      <c r="G74" s="83">
        <f t="shared" si="2"/>
        <v>0</v>
      </c>
      <c r="H74" s="74">
        <v>2</v>
      </c>
      <c r="I74" s="83">
        <f t="shared" si="3"/>
        <v>0</v>
      </c>
      <c r="J74" s="216">
        <f t="shared" si="118"/>
        <v>0</v>
      </c>
      <c r="K74" s="317" t="str">
        <f t="shared" si="122"/>
        <v>1250CLASE F36KV</v>
      </c>
      <c r="L74" s="230">
        <v>1.5</v>
      </c>
      <c r="M74" s="271">
        <f>$M$5*L74</f>
        <v>10617</v>
      </c>
      <c r="N74" s="236">
        <v>2.5</v>
      </c>
      <c r="O74" s="265">
        <f t="shared" si="6"/>
        <v>17695</v>
      </c>
      <c r="P74" s="236">
        <v>0</v>
      </c>
      <c r="Q74" s="266">
        <f t="shared" si="7"/>
        <v>0</v>
      </c>
      <c r="R74" s="236">
        <v>8</v>
      </c>
      <c r="S74" s="267">
        <f t="shared" si="8"/>
        <v>57808</v>
      </c>
      <c r="T74" s="236">
        <v>1.05</v>
      </c>
      <c r="U74" s="266">
        <f t="shared" si="9"/>
        <v>5929.35</v>
      </c>
      <c r="V74" s="236">
        <v>1</v>
      </c>
      <c r="W74" s="266">
        <f t="shared" si="10"/>
        <v>6921</v>
      </c>
      <c r="X74" s="243"/>
      <c r="Y74" s="267">
        <f t="shared" si="11"/>
        <v>0</v>
      </c>
      <c r="Z74" s="268">
        <f t="shared" si="12"/>
        <v>98970.35</v>
      </c>
      <c r="AA74" s="236">
        <v>0</v>
      </c>
      <c r="AB74" s="267">
        <f t="shared" si="13"/>
        <v>0</v>
      </c>
      <c r="AC74" s="236">
        <v>0</v>
      </c>
      <c r="AD74" s="267">
        <f t="shared" si="14"/>
        <v>0</v>
      </c>
      <c r="AE74" s="236">
        <v>0</v>
      </c>
      <c r="AF74" s="267">
        <f t="shared" si="15"/>
        <v>0</v>
      </c>
      <c r="AG74" s="236">
        <v>0</v>
      </c>
      <c r="AH74" s="267">
        <f t="shared" si="16"/>
        <v>0</v>
      </c>
      <c r="AI74" s="236">
        <v>0</v>
      </c>
      <c r="AJ74" s="267">
        <f t="shared" si="17"/>
        <v>0</v>
      </c>
      <c r="AK74" s="236">
        <v>83.949999999999989</v>
      </c>
      <c r="AL74" s="267">
        <f t="shared" si="18"/>
        <v>450811.49999999994</v>
      </c>
      <c r="AM74" s="236">
        <v>32</v>
      </c>
      <c r="AN74" s="267">
        <f t="shared" si="19"/>
        <v>171840</v>
      </c>
      <c r="AO74" s="258">
        <f t="shared" si="123"/>
        <v>20.75</v>
      </c>
      <c r="AP74" s="271">
        <f t="shared" si="20"/>
        <v>139792.75</v>
      </c>
      <c r="AQ74" s="256">
        <v>0</v>
      </c>
      <c r="AR74" s="266">
        <f t="shared" si="21"/>
        <v>0</v>
      </c>
      <c r="AS74" s="236">
        <v>3</v>
      </c>
      <c r="AT74" s="267">
        <f t="shared" si="22"/>
        <v>39639</v>
      </c>
      <c r="AU74" s="236">
        <v>7.25</v>
      </c>
      <c r="AV74" s="273">
        <f t="shared" si="23"/>
        <v>41738.25</v>
      </c>
      <c r="AW74" s="243"/>
      <c r="AX74" s="95">
        <f t="shared" si="24"/>
        <v>0</v>
      </c>
      <c r="AY74" s="108">
        <f t="shared" si="25"/>
        <v>843821.5</v>
      </c>
      <c r="AZ74" s="169">
        <f t="shared" si="87"/>
        <v>942791.85</v>
      </c>
      <c r="BA74" s="110">
        <f t="shared" si="27"/>
        <v>1046500</v>
      </c>
      <c r="BB74" s="263">
        <f t="shared" si="28"/>
        <v>161</v>
      </c>
      <c r="BK74" s="277">
        <v>42745.50371527778</v>
      </c>
      <c r="BL74" s="276" t="s">
        <v>115</v>
      </c>
    </row>
    <row r="75" spans="1:64" ht="20.25" thickTop="1" thickBot="1" x14ac:dyDescent="0.35">
      <c r="A75" s="620"/>
      <c r="B75" s="562"/>
      <c r="C75" s="88">
        <v>1600</v>
      </c>
      <c r="D75" s="74">
        <v>2</v>
      </c>
      <c r="E75" s="83">
        <f t="shared" si="1"/>
        <v>0</v>
      </c>
      <c r="F75" s="74">
        <v>6</v>
      </c>
      <c r="G75" s="83">
        <f t="shared" si="2"/>
        <v>0</v>
      </c>
      <c r="H75" s="74">
        <v>2</v>
      </c>
      <c r="I75" s="83">
        <f t="shared" si="3"/>
        <v>0</v>
      </c>
      <c r="J75" s="216">
        <f t="shared" si="118"/>
        <v>0</v>
      </c>
      <c r="K75" s="317" t="str">
        <f t="shared" si="122"/>
        <v>1600CLASE F36KV</v>
      </c>
      <c r="L75" s="230">
        <v>1.5</v>
      </c>
      <c r="M75" s="271">
        <f t="shared" si="5"/>
        <v>10617</v>
      </c>
      <c r="N75" s="236">
        <v>2.5</v>
      </c>
      <c r="O75" s="265">
        <f t="shared" si="6"/>
        <v>17695</v>
      </c>
      <c r="P75" s="236">
        <v>0</v>
      </c>
      <c r="Q75" s="266">
        <f t="shared" si="7"/>
        <v>0</v>
      </c>
      <c r="R75" s="236">
        <v>8</v>
      </c>
      <c r="S75" s="267">
        <f t="shared" si="8"/>
        <v>57808</v>
      </c>
      <c r="T75" s="236">
        <v>1.25</v>
      </c>
      <c r="U75" s="266">
        <f t="shared" si="9"/>
        <v>7058.75</v>
      </c>
      <c r="V75" s="236">
        <v>1.25</v>
      </c>
      <c r="W75" s="266">
        <f t="shared" si="10"/>
        <v>8651.25</v>
      </c>
      <c r="X75" s="243"/>
      <c r="Y75" s="267">
        <f t="shared" si="11"/>
        <v>0</v>
      </c>
      <c r="Z75" s="268">
        <f t="shared" si="12"/>
        <v>101830</v>
      </c>
      <c r="AA75" s="236">
        <v>0</v>
      </c>
      <c r="AB75" s="267">
        <f t="shared" si="13"/>
        <v>0</v>
      </c>
      <c r="AC75" s="236">
        <v>0</v>
      </c>
      <c r="AD75" s="267">
        <f t="shared" si="14"/>
        <v>0</v>
      </c>
      <c r="AE75" s="236">
        <v>0</v>
      </c>
      <c r="AF75" s="267">
        <f t="shared" si="15"/>
        <v>0</v>
      </c>
      <c r="AG75" s="236">
        <v>0</v>
      </c>
      <c r="AH75" s="267">
        <f t="shared" si="16"/>
        <v>0</v>
      </c>
      <c r="AI75" s="236">
        <v>0</v>
      </c>
      <c r="AJ75" s="267">
        <f t="shared" si="17"/>
        <v>0</v>
      </c>
      <c r="AK75" s="236">
        <v>86.537499999999994</v>
      </c>
      <c r="AL75" s="267">
        <f t="shared" si="18"/>
        <v>464706.37499999994</v>
      </c>
      <c r="AM75" s="236">
        <v>34</v>
      </c>
      <c r="AN75" s="267">
        <f t="shared" si="19"/>
        <v>182580</v>
      </c>
      <c r="AO75" s="258">
        <f t="shared" si="123"/>
        <v>22.25</v>
      </c>
      <c r="AP75" s="271">
        <f t="shared" si="20"/>
        <v>149898.25</v>
      </c>
      <c r="AQ75" s="256">
        <v>0</v>
      </c>
      <c r="AR75" s="266">
        <f t="shared" si="21"/>
        <v>0</v>
      </c>
      <c r="AS75" s="236">
        <v>3.25</v>
      </c>
      <c r="AT75" s="267">
        <f t="shared" si="22"/>
        <v>42942.25</v>
      </c>
      <c r="AU75" s="236">
        <v>8</v>
      </c>
      <c r="AV75" s="273">
        <f t="shared" si="23"/>
        <v>46056</v>
      </c>
      <c r="AW75" s="243"/>
      <c r="AX75" s="95">
        <f t="shared" si="24"/>
        <v>0</v>
      </c>
      <c r="AY75" s="108">
        <f t="shared" si="25"/>
        <v>886182.875</v>
      </c>
      <c r="AZ75" s="169">
        <f t="shared" si="87"/>
        <v>988012.875</v>
      </c>
      <c r="BA75" s="110">
        <f t="shared" si="27"/>
        <v>1095493.75</v>
      </c>
      <c r="BB75" s="263">
        <f t="shared" si="28"/>
        <v>168.53749999999999</v>
      </c>
    </row>
    <row r="76" spans="1:64" ht="19.5" thickTop="1" x14ac:dyDescent="0.3">
      <c r="A76" s="621"/>
      <c r="B76" s="563"/>
      <c r="C76" s="449">
        <v>2000</v>
      </c>
      <c r="D76" s="78">
        <v>2</v>
      </c>
      <c r="E76" s="450">
        <f t="shared" si="1"/>
        <v>0</v>
      </c>
      <c r="F76" s="78">
        <v>6</v>
      </c>
      <c r="G76" s="450">
        <f t="shared" si="2"/>
        <v>0</v>
      </c>
      <c r="H76" s="78">
        <v>2</v>
      </c>
      <c r="I76" s="450">
        <f t="shared" si="3"/>
        <v>0</v>
      </c>
      <c r="J76" s="451">
        <f t="shared" si="118"/>
        <v>0</v>
      </c>
      <c r="K76" s="452" t="str">
        <f t="shared" si="122"/>
        <v>2000CLASE F36KV</v>
      </c>
      <c r="L76" s="453">
        <v>1.5</v>
      </c>
      <c r="M76" s="271">
        <f t="shared" si="5"/>
        <v>10617</v>
      </c>
      <c r="N76" s="301">
        <v>2.5</v>
      </c>
      <c r="O76" s="454">
        <f t="shared" si="6"/>
        <v>17695</v>
      </c>
      <c r="P76" s="301">
        <v>0</v>
      </c>
      <c r="Q76" s="267">
        <f t="shared" si="7"/>
        <v>0</v>
      </c>
      <c r="R76" s="301">
        <v>8</v>
      </c>
      <c r="S76" s="267">
        <f t="shared" si="8"/>
        <v>57808</v>
      </c>
      <c r="T76" s="301">
        <v>1.25</v>
      </c>
      <c r="U76" s="267">
        <f t="shared" si="9"/>
        <v>7058.75</v>
      </c>
      <c r="V76" s="301">
        <v>1.25</v>
      </c>
      <c r="W76" s="267">
        <f t="shared" si="10"/>
        <v>8651.25</v>
      </c>
      <c r="X76" s="243"/>
      <c r="Y76" s="267">
        <f t="shared" si="11"/>
        <v>0</v>
      </c>
      <c r="Z76" s="434">
        <f t="shared" si="12"/>
        <v>101830</v>
      </c>
      <c r="AA76" s="257">
        <v>0</v>
      </c>
      <c r="AB76" s="267">
        <f t="shared" si="13"/>
        <v>0</v>
      </c>
      <c r="AC76" s="257">
        <v>0</v>
      </c>
      <c r="AD76" s="267">
        <f t="shared" si="14"/>
        <v>0</v>
      </c>
      <c r="AE76" s="257">
        <v>0</v>
      </c>
      <c r="AF76" s="267">
        <f t="shared" si="15"/>
        <v>0</v>
      </c>
      <c r="AG76" s="257">
        <v>0</v>
      </c>
      <c r="AH76" s="267">
        <f t="shared" si="16"/>
        <v>0</v>
      </c>
      <c r="AI76" s="257">
        <v>0</v>
      </c>
      <c r="AJ76" s="267">
        <f t="shared" si="17"/>
        <v>0</v>
      </c>
      <c r="AK76" s="455">
        <v>95.219999999999985</v>
      </c>
      <c r="AL76" s="267">
        <f t="shared" si="18"/>
        <v>511331.39999999991</v>
      </c>
      <c r="AM76" s="455">
        <v>34</v>
      </c>
      <c r="AN76" s="267">
        <f t="shared" si="19"/>
        <v>182580</v>
      </c>
      <c r="AO76" s="301">
        <f t="shared" si="123"/>
        <v>22.25</v>
      </c>
      <c r="AP76" s="271">
        <f t="shared" si="20"/>
        <v>149898.25</v>
      </c>
      <c r="AQ76" s="301">
        <v>0</v>
      </c>
      <c r="AR76" s="267">
        <f t="shared" si="21"/>
        <v>0</v>
      </c>
      <c r="AS76" s="455">
        <v>3.25</v>
      </c>
      <c r="AT76" s="267">
        <f t="shared" si="22"/>
        <v>42942.25</v>
      </c>
      <c r="AU76" s="262">
        <v>8</v>
      </c>
      <c r="AV76" s="273">
        <f t="shared" si="23"/>
        <v>46056</v>
      </c>
      <c r="AW76" s="243"/>
      <c r="AX76" s="400">
        <f t="shared" si="24"/>
        <v>0</v>
      </c>
      <c r="AY76" s="456">
        <f t="shared" si="25"/>
        <v>932807.89999999991</v>
      </c>
      <c r="AZ76" s="164">
        <f t="shared" si="87"/>
        <v>1034637.8999999999</v>
      </c>
      <c r="BA76" s="165">
        <f t="shared" si="27"/>
        <v>1151929.9999999998</v>
      </c>
      <c r="BB76" s="457">
        <f t="shared" si="28"/>
        <v>177.21999999999997</v>
      </c>
    </row>
    <row r="77" spans="1:64" x14ac:dyDescent="0.3">
      <c r="A77" s="531" t="s">
        <v>3</v>
      </c>
      <c r="B77" s="530" t="s">
        <v>165</v>
      </c>
      <c r="C77" s="468">
        <v>5</v>
      </c>
      <c r="D77" s="104"/>
      <c r="E77" s="459"/>
      <c r="F77" s="27"/>
      <c r="G77" s="459"/>
      <c r="H77" s="27"/>
      <c r="I77" s="459"/>
      <c r="J77" s="460"/>
      <c r="K77" s="460" t="str">
        <f t="shared" si="122"/>
        <v>5CLASE F36KV</v>
      </c>
      <c r="L77" s="469"/>
      <c r="M77" s="470"/>
      <c r="N77" s="471"/>
      <c r="O77" s="472"/>
      <c r="P77" s="473"/>
      <c r="Q77" s="472"/>
      <c r="R77" s="473"/>
      <c r="S77" s="472"/>
      <c r="T77" s="474"/>
      <c r="U77" s="474"/>
      <c r="V77" s="469"/>
      <c r="W77" s="475"/>
      <c r="X77" s="475"/>
      <c r="Y77" s="475"/>
      <c r="Z77" s="475"/>
      <c r="AA77" s="475"/>
      <c r="AB77" s="475"/>
      <c r="AC77" s="475"/>
      <c r="AD77" s="475"/>
      <c r="AE77" s="476"/>
      <c r="AF77" s="475"/>
      <c r="AG77" s="475"/>
      <c r="AH77" s="475"/>
      <c r="AI77" s="476"/>
      <c r="AJ77" s="475"/>
      <c r="AK77" s="476"/>
      <c r="AL77" s="475"/>
      <c r="AM77" s="476"/>
      <c r="AN77" s="475"/>
      <c r="AO77" s="476"/>
      <c r="AP77" s="475"/>
      <c r="AQ77" s="475"/>
      <c r="AR77" s="476"/>
      <c r="AS77" s="476"/>
      <c r="AT77" s="475"/>
      <c r="AU77" s="476"/>
      <c r="AV77" s="461"/>
      <c r="AW77" s="461"/>
      <c r="AX77" s="461"/>
      <c r="AY77" s="33"/>
      <c r="AZ77" s="462"/>
      <c r="BA77" s="33"/>
      <c r="BB77" s="263">
        <f t="shared" si="28"/>
        <v>0</v>
      </c>
      <c r="BK77" s="277">
        <v>42836.448298611111</v>
      </c>
      <c r="BL77" s="276" t="s">
        <v>162</v>
      </c>
    </row>
    <row r="78" spans="1:64" ht="15.75" x14ac:dyDescent="0.25">
      <c r="A78" s="531"/>
      <c r="B78" s="530"/>
      <c r="C78" s="468">
        <v>10</v>
      </c>
      <c r="D78" s="104"/>
      <c r="E78" s="459"/>
      <c r="F78" s="27"/>
      <c r="G78" s="459"/>
      <c r="H78" s="27"/>
      <c r="I78" s="459"/>
      <c r="J78" s="460"/>
      <c r="K78" s="460" t="str">
        <f t="shared" si="122"/>
        <v>10CLASE F36KV</v>
      </c>
      <c r="L78" s="477"/>
      <c r="M78" s="474"/>
      <c r="N78" s="477"/>
      <c r="O78" s="474"/>
      <c r="P78" s="477"/>
      <c r="Q78" s="474"/>
      <c r="R78" s="477"/>
      <c r="S78" s="474"/>
      <c r="T78" s="477"/>
      <c r="U78" s="474"/>
      <c r="V78" s="477"/>
      <c r="W78" s="474"/>
      <c r="X78" s="477"/>
      <c r="Y78" s="474"/>
      <c r="Z78" s="477"/>
      <c r="AA78" s="474"/>
      <c r="AB78" s="477"/>
      <c r="AC78" s="474"/>
      <c r="AD78" s="477"/>
      <c r="AE78" s="474"/>
      <c r="AF78" s="477"/>
      <c r="AG78" s="474"/>
      <c r="AH78" s="477"/>
      <c r="AI78" s="474"/>
      <c r="AJ78" s="477"/>
      <c r="AK78" s="474"/>
      <c r="AL78" s="477"/>
      <c r="AM78" s="474"/>
      <c r="AN78" s="477"/>
      <c r="AO78" s="474"/>
      <c r="AP78" s="477"/>
      <c r="AQ78" s="474"/>
      <c r="AR78" s="477"/>
      <c r="AS78" s="474"/>
      <c r="AT78" s="477"/>
      <c r="AU78" s="474"/>
      <c r="AV78" s="463"/>
      <c r="AW78" s="460"/>
      <c r="AX78" s="463"/>
      <c r="AY78" s="460"/>
      <c r="AZ78" s="463"/>
      <c r="BA78" s="460"/>
      <c r="BB78" s="263">
        <f t="shared" ref="BB78:BB83" si="124">+L78+N78+P78+R78+T78+V78+X78+AA78+AC78+AE78+AG78+AI78+AK78+AM78+AO78+AQ78+AS78+AU78+AW78</f>
        <v>0</v>
      </c>
      <c r="BK78" s="277">
        <v>42836.447905092595</v>
      </c>
      <c r="BL78" s="276" t="s">
        <v>162</v>
      </c>
    </row>
    <row r="79" spans="1:64" x14ac:dyDescent="0.3">
      <c r="A79" s="531"/>
      <c r="B79" s="530"/>
      <c r="C79" s="458"/>
      <c r="D79" s="104"/>
      <c r="E79" s="459"/>
      <c r="F79" s="27"/>
      <c r="G79" s="459"/>
      <c r="H79" s="27"/>
      <c r="I79" s="459"/>
      <c r="J79" s="460"/>
      <c r="K79" s="460" t="str">
        <f t="shared" si="122"/>
        <v>CLASE F36KV</v>
      </c>
      <c r="L79" s="469"/>
      <c r="M79" s="469"/>
      <c r="N79" s="476"/>
      <c r="O79" s="475"/>
      <c r="P79" s="476"/>
      <c r="Q79" s="475"/>
      <c r="R79" s="475"/>
      <c r="S79" s="475"/>
      <c r="T79" s="476"/>
      <c r="U79" s="475"/>
      <c r="V79" s="476"/>
      <c r="W79" s="475"/>
      <c r="X79" s="475"/>
      <c r="Y79" s="475"/>
      <c r="Z79" s="476"/>
      <c r="AA79" s="476"/>
      <c r="AB79" s="475"/>
      <c r="AC79" s="476"/>
      <c r="AD79" s="475"/>
      <c r="AE79" s="476"/>
      <c r="AF79" s="475"/>
      <c r="AG79" s="475"/>
      <c r="AH79" s="475"/>
      <c r="AI79" s="476"/>
      <c r="AJ79" s="475"/>
      <c r="AK79" s="475"/>
      <c r="AL79" s="475"/>
      <c r="AM79" s="476"/>
      <c r="AN79" s="475"/>
      <c r="AO79" s="476"/>
      <c r="AP79" s="475"/>
      <c r="AQ79" s="475"/>
      <c r="AR79" s="476"/>
      <c r="AS79" s="476"/>
      <c r="AT79" s="475"/>
      <c r="AU79" s="476"/>
      <c r="AV79" s="461"/>
      <c r="AW79" s="461"/>
      <c r="AX79" s="461"/>
      <c r="AY79" s="33"/>
      <c r="AZ79" s="462"/>
      <c r="BA79" s="33"/>
      <c r="BB79" s="263">
        <f t="shared" si="124"/>
        <v>0</v>
      </c>
      <c r="BK79" s="277">
        <v>42836.447974537034</v>
      </c>
      <c r="BL79" s="276" t="s">
        <v>162</v>
      </c>
    </row>
    <row r="80" spans="1:64" x14ac:dyDescent="0.3">
      <c r="A80" s="531"/>
      <c r="B80" s="530"/>
      <c r="C80" s="458"/>
      <c r="D80" s="104"/>
      <c r="E80" s="459"/>
      <c r="F80" s="27"/>
      <c r="G80" s="459"/>
      <c r="H80" s="27"/>
      <c r="I80" s="459"/>
      <c r="J80" s="460"/>
      <c r="K80" s="460" t="str">
        <f t="shared" si="122"/>
        <v>CLASE F36KV</v>
      </c>
      <c r="L80" s="469"/>
      <c r="M80" s="469"/>
      <c r="N80" s="476"/>
      <c r="O80" s="475"/>
      <c r="P80" s="476"/>
      <c r="Q80" s="475"/>
      <c r="R80" s="475"/>
      <c r="S80" s="475"/>
      <c r="T80" s="476"/>
      <c r="U80" s="475"/>
      <c r="V80" s="476"/>
      <c r="W80" s="475"/>
      <c r="X80" s="475"/>
      <c r="Y80" s="475"/>
      <c r="Z80" s="476"/>
      <c r="AA80" s="476"/>
      <c r="AB80" s="475"/>
      <c r="AC80" s="476"/>
      <c r="AD80" s="475"/>
      <c r="AE80" s="476"/>
      <c r="AF80" s="475"/>
      <c r="AG80" s="475"/>
      <c r="AH80" s="475"/>
      <c r="AI80" s="476"/>
      <c r="AJ80" s="475"/>
      <c r="AK80" s="475"/>
      <c r="AL80" s="475"/>
      <c r="AM80" s="476"/>
      <c r="AN80" s="475"/>
      <c r="AO80" s="476"/>
      <c r="AP80" s="475"/>
      <c r="AQ80" s="475"/>
      <c r="AR80" s="476"/>
      <c r="AS80" s="476"/>
      <c r="AT80" s="475"/>
      <c r="AU80" s="476"/>
      <c r="AV80" s="461"/>
      <c r="AW80" s="461"/>
      <c r="AX80" s="461"/>
      <c r="AY80" s="33"/>
      <c r="AZ80" s="462"/>
      <c r="BA80" s="33"/>
      <c r="BB80" s="263">
        <f t="shared" si="124"/>
        <v>0</v>
      </c>
      <c r="BK80" s="277">
        <v>42836.447905092595</v>
      </c>
      <c r="BL80" s="276" t="s">
        <v>162</v>
      </c>
    </row>
    <row r="81" spans="1:64" x14ac:dyDescent="0.3">
      <c r="A81" s="531"/>
      <c r="B81" s="530"/>
      <c r="C81" s="458"/>
      <c r="D81" s="104"/>
      <c r="E81" s="459"/>
      <c r="F81" s="27"/>
      <c r="G81" s="459"/>
      <c r="H81" s="27"/>
      <c r="I81" s="459"/>
      <c r="J81" s="460"/>
      <c r="K81" s="460" t="str">
        <f t="shared" si="122"/>
        <v>CLASE F36KV</v>
      </c>
      <c r="L81" s="469"/>
      <c r="M81" s="469"/>
      <c r="N81" s="476"/>
      <c r="O81" s="475"/>
      <c r="P81" s="476"/>
      <c r="Q81" s="475"/>
      <c r="R81" s="475"/>
      <c r="S81" s="475"/>
      <c r="T81" s="476"/>
      <c r="U81" s="475"/>
      <c r="V81" s="476"/>
      <c r="W81" s="475"/>
      <c r="X81" s="475"/>
      <c r="Y81" s="475"/>
      <c r="Z81" s="476"/>
      <c r="AA81" s="476"/>
      <c r="AB81" s="475"/>
      <c r="AC81" s="476"/>
      <c r="AD81" s="475"/>
      <c r="AE81" s="476"/>
      <c r="AF81" s="475"/>
      <c r="AG81" s="475"/>
      <c r="AH81" s="475"/>
      <c r="AI81" s="476"/>
      <c r="AJ81" s="475"/>
      <c r="AK81" s="475"/>
      <c r="AL81" s="475"/>
      <c r="AM81" s="476"/>
      <c r="AN81" s="475"/>
      <c r="AO81" s="476"/>
      <c r="AP81" s="475"/>
      <c r="AQ81" s="475"/>
      <c r="AR81" s="476"/>
      <c r="AS81" s="476"/>
      <c r="AT81" s="475"/>
      <c r="AU81" s="476"/>
      <c r="AV81" s="461"/>
      <c r="AW81" s="461"/>
      <c r="AX81" s="461"/>
      <c r="AY81" s="33"/>
      <c r="AZ81" s="462"/>
      <c r="BA81" s="33"/>
      <c r="BB81" s="263">
        <f t="shared" si="124"/>
        <v>0</v>
      </c>
      <c r="BK81" s="277">
        <v>42836.447916666664</v>
      </c>
      <c r="BL81" s="276" t="s">
        <v>162</v>
      </c>
    </row>
    <row r="82" spans="1:64" x14ac:dyDescent="0.3">
      <c r="A82" s="531"/>
      <c r="B82" s="530"/>
      <c r="C82" s="458"/>
      <c r="D82" s="104"/>
      <c r="E82" s="459"/>
      <c r="F82" s="27"/>
      <c r="G82" s="459"/>
      <c r="H82" s="27"/>
      <c r="I82" s="459"/>
      <c r="J82" s="460"/>
      <c r="K82" s="460" t="str">
        <f t="shared" si="122"/>
        <v>CLASE F36KV</v>
      </c>
      <c r="L82" s="469"/>
      <c r="M82" s="469"/>
      <c r="N82" s="476"/>
      <c r="O82" s="475"/>
      <c r="P82" s="476"/>
      <c r="Q82" s="475"/>
      <c r="R82" s="475"/>
      <c r="S82" s="475"/>
      <c r="T82" s="476"/>
      <c r="U82" s="475"/>
      <c r="V82" s="476"/>
      <c r="W82" s="475"/>
      <c r="X82" s="475"/>
      <c r="Y82" s="475"/>
      <c r="Z82" s="476"/>
      <c r="AA82" s="476"/>
      <c r="AB82" s="475"/>
      <c r="AC82" s="476"/>
      <c r="AD82" s="475"/>
      <c r="AE82" s="476"/>
      <c r="AF82" s="475"/>
      <c r="AG82" s="475"/>
      <c r="AH82" s="475"/>
      <c r="AI82" s="476"/>
      <c r="AJ82" s="475"/>
      <c r="AK82" s="475"/>
      <c r="AL82" s="475"/>
      <c r="AM82" s="476"/>
      <c r="AN82" s="475"/>
      <c r="AO82" s="476"/>
      <c r="AP82" s="475"/>
      <c r="AQ82" s="475"/>
      <c r="AR82" s="476"/>
      <c r="AS82" s="476"/>
      <c r="AT82" s="475"/>
      <c r="AU82" s="476"/>
      <c r="AV82" s="461"/>
      <c r="AW82" s="461"/>
      <c r="AX82" s="461"/>
      <c r="AY82" s="33"/>
      <c r="AZ82" s="462"/>
      <c r="BA82" s="33"/>
      <c r="BB82" s="263">
        <f t="shared" si="124"/>
        <v>0</v>
      </c>
      <c r="BK82" s="277">
        <v>42836.447928240741</v>
      </c>
      <c r="BL82" s="276" t="s">
        <v>162</v>
      </c>
    </row>
    <row r="83" spans="1:64" x14ac:dyDescent="0.3">
      <c r="A83" s="531"/>
      <c r="B83" s="530"/>
      <c r="C83" s="458"/>
      <c r="D83" s="104"/>
      <c r="E83" s="459"/>
      <c r="F83" s="27"/>
      <c r="G83" s="459"/>
      <c r="H83" s="27"/>
      <c r="I83" s="459"/>
      <c r="J83" s="460"/>
      <c r="K83" s="460" t="str">
        <f t="shared" si="122"/>
        <v>CLASE F36KV</v>
      </c>
      <c r="L83" s="469"/>
      <c r="M83" s="469"/>
      <c r="N83" s="476"/>
      <c r="O83" s="475"/>
      <c r="P83" s="476"/>
      <c r="Q83" s="475"/>
      <c r="R83" s="475"/>
      <c r="S83" s="475"/>
      <c r="T83" s="476"/>
      <c r="U83" s="475"/>
      <c r="V83" s="476"/>
      <c r="W83" s="475"/>
      <c r="X83" s="475"/>
      <c r="Y83" s="475"/>
      <c r="Z83" s="476"/>
      <c r="AA83" s="476"/>
      <c r="AB83" s="475"/>
      <c r="AC83" s="476"/>
      <c r="AD83" s="475"/>
      <c r="AE83" s="476"/>
      <c r="AF83" s="475"/>
      <c r="AG83" s="475"/>
      <c r="AH83" s="475"/>
      <c r="AI83" s="476"/>
      <c r="AJ83" s="475"/>
      <c r="AK83" s="475"/>
      <c r="AL83" s="475"/>
      <c r="AM83" s="476"/>
      <c r="AN83" s="475"/>
      <c r="AO83" s="476"/>
      <c r="AP83" s="475"/>
      <c r="AQ83" s="475"/>
      <c r="AR83" s="476"/>
      <c r="AS83" s="476"/>
      <c r="AT83" s="475"/>
      <c r="AU83" s="476"/>
      <c r="AV83" s="461"/>
      <c r="AW83" s="461"/>
      <c r="AX83" s="461"/>
      <c r="AY83" s="33"/>
      <c r="AZ83" s="462"/>
      <c r="BA83" s="33"/>
      <c r="BB83" s="263">
        <f t="shared" si="124"/>
        <v>0</v>
      </c>
      <c r="BK83" s="277">
        <v>42836.447939814818</v>
      </c>
      <c r="BL83" s="276" t="s">
        <v>162</v>
      </c>
    </row>
    <row r="84" spans="1:64" x14ac:dyDescent="0.3">
      <c r="C84" s="45"/>
      <c r="D84" s="198"/>
      <c r="E84" s="464"/>
      <c r="F84" s="4"/>
      <c r="G84" s="464"/>
      <c r="H84" s="4"/>
      <c r="I84" s="464"/>
      <c r="J84" s="465"/>
      <c r="K84" s="465"/>
      <c r="L84" s="478"/>
      <c r="M84" s="478"/>
      <c r="N84" s="479"/>
      <c r="O84" s="480"/>
      <c r="P84" s="479"/>
      <c r="Q84" s="480"/>
      <c r="R84" s="480"/>
      <c r="S84" s="480"/>
      <c r="T84" s="479"/>
      <c r="U84" s="480"/>
      <c r="V84" s="479"/>
      <c r="W84" s="480"/>
      <c r="X84" s="480"/>
      <c r="Y84" s="480"/>
      <c r="Z84" s="479"/>
      <c r="AA84" s="479"/>
      <c r="AB84" s="480"/>
      <c r="AC84" s="479"/>
      <c r="AD84" s="480"/>
      <c r="AE84" s="479"/>
      <c r="AF84" s="480"/>
      <c r="AG84" s="480"/>
      <c r="AH84" s="480"/>
      <c r="AI84" s="479"/>
      <c r="AJ84" s="480"/>
      <c r="AK84" s="480"/>
      <c r="AL84" s="480"/>
      <c r="AM84" s="479"/>
      <c r="AN84" s="480"/>
      <c r="AO84" s="479"/>
      <c r="AP84" s="480"/>
      <c r="AQ84" s="480"/>
      <c r="AR84" s="479"/>
      <c r="AS84" s="479"/>
      <c r="AT84" s="480"/>
      <c r="AU84" s="479"/>
      <c r="AV84" s="466"/>
      <c r="AW84" s="466"/>
      <c r="AX84" s="466"/>
      <c r="AY84" s="45"/>
      <c r="AZ84" s="467"/>
      <c r="BA84" s="45"/>
      <c r="BB84" s="45"/>
    </row>
    <row r="85" spans="1:64" x14ac:dyDescent="0.3">
      <c r="L85" s="174"/>
      <c r="M85" s="174"/>
      <c r="AK85" s="80"/>
    </row>
    <row r="86" spans="1:64" x14ac:dyDescent="0.3">
      <c r="L86" s="174"/>
      <c r="M86" s="174"/>
      <c r="AK86" s="80"/>
    </row>
    <row r="87" spans="1:64" x14ac:dyDescent="0.3">
      <c r="L87" s="174"/>
      <c r="M87" s="174"/>
      <c r="AK87" s="80"/>
    </row>
    <row r="88" spans="1:64" x14ac:dyDescent="0.3">
      <c r="L88" s="174"/>
      <c r="M88" s="174"/>
      <c r="AK88" s="80"/>
    </row>
    <row r="89" spans="1:64" x14ac:dyDescent="0.3">
      <c r="L89" s="174"/>
      <c r="M89" s="174"/>
      <c r="AK89" s="80"/>
    </row>
    <row r="90" spans="1:64" x14ac:dyDescent="0.3">
      <c r="L90" s="174"/>
      <c r="M90" s="174"/>
      <c r="AK90" s="80"/>
    </row>
    <row r="91" spans="1:64" x14ac:dyDescent="0.3">
      <c r="L91" s="174"/>
      <c r="M91" s="174"/>
    </row>
    <row r="92" spans="1:64" x14ac:dyDescent="0.3">
      <c r="L92" s="174"/>
      <c r="M92" s="174"/>
    </row>
    <row r="93" spans="1:64" x14ac:dyDescent="0.3">
      <c r="L93" s="174"/>
      <c r="M93" s="174"/>
    </row>
    <row r="94" spans="1:64" x14ac:dyDescent="0.3">
      <c r="L94" s="174"/>
      <c r="M94" s="174"/>
    </row>
    <row r="95" spans="1:64" x14ac:dyDescent="0.3">
      <c r="L95" s="174"/>
      <c r="M95" s="174"/>
    </row>
    <row r="96" spans="1:64" x14ac:dyDescent="0.3">
      <c r="L96" s="174"/>
      <c r="M96" s="174"/>
    </row>
    <row r="97" spans="12:13" x14ac:dyDescent="0.3">
      <c r="L97" s="174"/>
      <c r="M97" s="174"/>
    </row>
    <row r="98" spans="12:13" x14ac:dyDescent="0.3">
      <c r="L98" s="174"/>
      <c r="M98" s="174"/>
    </row>
    <row r="99" spans="12:13" x14ac:dyDescent="0.3">
      <c r="L99" s="174"/>
      <c r="M99" s="174"/>
    </row>
    <row r="100" spans="12:13" x14ac:dyDescent="0.3">
      <c r="L100" s="174"/>
      <c r="M100" s="174"/>
    </row>
    <row r="101" spans="12:13" x14ac:dyDescent="0.3">
      <c r="L101" s="174"/>
      <c r="M101" s="174"/>
    </row>
    <row r="102" spans="12:13" x14ac:dyDescent="0.3">
      <c r="L102" s="174"/>
      <c r="M102" s="174"/>
    </row>
    <row r="103" spans="12:13" x14ac:dyDescent="0.3">
      <c r="L103" s="174"/>
      <c r="M103" s="174"/>
    </row>
    <row r="104" spans="12:13" x14ac:dyDescent="0.3">
      <c r="L104" s="174"/>
      <c r="M104" s="174"/>
    </row>
  </sheetData>
  <sheetProtection insertColumns="0" insertRows="0" selectLockedCells="1"/>
  <mergeCells count="68">
    <mergeCell ref="R3:S3"/>
    <mergeCell ref="R4:R5"/>
    <mergeCell ref="L2:X2"/>
    <mergeCell ref="N4:N5"/>
    <mergeCell ref="P4:P5"/>
    <mergeCell ref="T4:T5"/>
    <mergeCell ref="V4:V5"/>
    <mergeCell ref="N3:O3"/>
    <mergeCell ref="P3:Q3"/>
    <mergeCell ref="X4:X5"/>
    <mergeCell ref="B6:B25"/>
    <mergeCell ref="A66:A76"/>
    <mergeCell ref="B66:B76"/>
    <mergeCell ref="A53:A65"/>
    <mergeCell ref="B53:B65"/>
    <mergeCell ref="B42:B52"/>
    <mergeCell ref="A42:A52"/>
    <mergeCell ref="A26:A41"/>
    <mergeCell ref="B26:B41"/>
    <mergeCell ref="A6:A25"/>
    <mergeCell ref="AK4:AK5"/>
    <mergeCell ref="AM4:AM5"/>
    <mergeCell ref="D4:D5"/>
    <mergeCell ref="A2:A5"/>
    <mergeCell ref="D2:J2"/>
    <mergeCell ref="D3:E3"/>
    <mergeCell ref="F3:G3"/>
    <mergeCell ref="H3:I3"/>
    <mergeCell ref="H4:H5"/>
    <mergeCell ref="B2:B5"/>
    <mergeCell ref="C2:C5"/>
    <mergeCell ref="J3:J5"/>
    <mergeCell ref="F4:F5"/>
    <mergeCell ref="K2:K5"/>
    <mergeCell ref="L3:M3"/>
    <mergeCell ref="V3:W3"/>
    <mergeCell ref="BB2:BB5"/>
    <mergeCell ref="AQ4:AQ5"/>
    <mergeCell ref="AG4:AG5"/>
    <mergeCell ref="AO4:AO5"/>
    <mergeCell ref="AI3:AJ3"/>
    <mergeCell ref="AK3:AL3"/>
    <mergeCell ref="AM3:AN3"/>
    <mergeCell ref="AO3:AP3"/>
    <mergeCell ref="BA2:BA5"/>
    <mergeCell ref="AA2:AY2"/>
    <mergeCell ref="AY3:AY5"/>
    <mergeCell ref="AW3:AX3"/>
    <mergeCell ref="AW4:AW5"/>
    <mergeCell ref="AS4:AS5"/>
    <mergeCell ref="AU4:AU5"/>
    <mergeCell ref="AG3:AH3"/>
    <mergeCell ref="A77:A83"/>
    <mergeCell ref="B77:B83"/>
    <mergeCell ref="AZ2:AZ5"/>
    <mergeCell ref="T3:U3"/>
    <mergeCell ref="AE3:AF3"/>
    <mergeCell ref="AC3:AD3"/>
    <mergeCell ref="X3:Y3"/>
    <mergeCell ref="Z3:Z5"/>
    <mergeCell ref="AS3:AT3"/>
    <mergeCell ref="AU3:AV3"/>
    <mergeCell ref="AI4:AI5"/>
    <mergeCell ref="AQ3:AR3"/>
    <mergeCell ref="AA3:AB3"/>
    <mergeCell ref="AE4:AE5"/>
    <mergeCell ref="AA4:AA5"/>
    <mergeCell ref="AC4:AC5"/>
  </mergeCells>
  <pageMargins left="0.25" right="0.25" top="0.75" bottom="0.75" header="0.3" footer="0.3"/>
  <pageSetup scale="5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8"/>
  <sheetViews>
    <sheetView workbookViewId="0">
      <selection activeCell="D7" sqref="D7:J7"/>
    </sheetView>
  </sheetViews>
  <sheetFormatPr baseColWidth="10" defaultRowHeight="15" x14ac:dyDescent="0.25"/>
  <cols>
    <col min="1" max="1" width="21.140625" customWidth="1"/>
    <col min="2" max="2" width="16.85546875" hidden="1" customWidth="1"/>
    <col min="3" max="3" width="17.42578125" hidden="1" customWidth="1"/>
    <col min="4" max="4" width="22.5703125" hidden="1" customWidth="1"/>
    <col min="5" max="5" width="11.42578125" style="113"/>
  </cols>
  <sheetData>
    <row r="1" spans="1:5" x14ac:dyDescent="0.25">
      <c r="A1" s="33" t="s">
        <v>62</v>
      </c>
      <c r="B1" s="33" t="s">
        <v>64</v>
      </c>
      <c r="C1" s="33" t="s">
        <v>67</v>
      </c>
      <c r="D1" s="33" t="s">
        <v>65</v>
      </c>
      <c r="E1" s="112" t="s">
        <v>83</v>
      </c>
    </row>
    <row r="2" spans="1:5" x14ac:dyDescent="0.25">
      <c r="A2" s="33" t="s">
        <v>45</v>
      </c>
      <c r="B2" s="33" t="s">
        <v>66</v>
      </c>
      <c r="C2" s="97"/>
      <c r="D2" s="111">
        <v>26042</v>
      </c>
      <c r="E2" s="113">
        <v>26000</v>
      </c>
    </row>
    <row r="3" spans="1:5" x14ac:dyDescent="0.25">
      <c r="A3" s="33" t="s">
        <v>63</v>
      </c>
      <c r="B3" s="33" t="s">
        <v>66</v>
      </c>
      <c r="C3" s="97"/>
      <c r="D3" s="111">
        <v>9549</v>
      </c>
      <c r="E3" s="113">
        <v>10000</v>
      </c>
    </row>
    <row r="4" spans="1:5" x14ac:dyDescent="0.25">
      <c r="A4" s="33" t="s">
        <v>47</v>
      </c>
      <c r="B4" s="33" t="s">
        <v>66</v>
      </c>
      <c r="C4" s="97"/>
      <c r="D4" s="111">
        <v>5208</v>
      </c>
      <c r="E4" s="113">
        <v>5500</v>
      </c>
    </row>
    <row r="5" spans="1:5" x14ac:dyDescent="0.25">
      <c r="A5" s="33" t="s">
        <v>14</v>
      </c>
      <c r="B5" s="33" t="s">
        <v>68</v>
      </c>
      <c r="C5" s="97"/>
      <c r="D5" s="111">
        <v>4896</v>
      </c>
      <c r="E5" s="113">
        <v>5000</v>
      </c>
    </row>
    <row r="6" spans="1:5" x14ac:dyDescent="0.25">
      <c r="A6" s="33" t="s">
        <v>15</v>
      </c>
      <c r="B6" s="33" t="s">
        <v>68</v>
      </c>
      <c r="C6" s="97"/>
      <c r="D6" s="111">
        <v>4948</v>
      </c>
      <c r="E6" s="113">
        <v>5000</v>
      </c>
    </row>
    <row r="7" spans="1:5" x14ac:dyDescent="0.25">
      <c r="A7" s="33" t="s">
        <v>55</v>
      </c>
      <c r="B7" s="33" t="s">
        <v>68</v>
      </c>
      <c r="C7" s="97"/>
      <c r="D7" s="111">
        <v>5026</v>
      </c>
      <c r="E7" s="113">
        <v>5000</v>
      </c>
    </row>
    <row r="8" spans="1:5" x14ac:dyDescent="0.25">
      <c r="A8" s="33" t="s">
        <v>35</v>
      </c>
      <c r="B8" s="33" t="s">
        <v>68</v>
      </c>
      <c r="C8" s="97"/>
      <c r="D8" s="111">
        <v>4896</v>
      </c>
      <c r="E8" s="113">
        <v>5000</v>
      </c>
    </row>
    <row r="9" spans="1:5" x14ac:dyDescent="0.25">
      <c r="A9" s="33" t="s">
        <v>36</v>
      </c>
      <c r="B9" s="33" t="s">
        <v>68</v>
      </c>
      <c r="C9" s="97"/>
      <c r="D9" s="111">
        <v>4948</v>
      </c>
      <c r="E9" s="113">
        <v>5000</v>
      </c>
    </row>
    <row r="10" spans="1:5" x14ac:dyDescent="0.25">
      <c r="A10" s="33" t="s">
        <v>56</v>
      </c>
      <c r="B10" s="33" t="s">
        <v>68</v>
      </c>
      <c r="C10" s="97"/>
      <c r="D10" s="111">
        <v>5900</v>
      </c>
      <c r="E10" s="113">
        <v>6000</v>
      </c>
    </row>
    <row r="11" spans="1:5" x14ac:dyDescent="0.25">
      <c r="A11" s="33" t="s">
        <v>40</v>
      </c>
      <c r="B11" s="33" t="s">
        <v>68</v>
      </c>
      <c r="C11" s="97"/>
      <c r="D11" s="111">
        <v>5443</v>
      </c>
      <c r="E11" s="113">
        <v>5500</v>
      </c>
    </row>
    <row r="12" spans="1:5" x14ac:dyDescent="0.25">
      <c r="A12" s="33" t="s">
        <v>17</v>
      </c>
      <c r="B12" s="33" t="s">
        <v>68</v>
      </c>
      <c r="C12" s="97"/>
      <c r="D12" s="111">
        <v>4531</v>
      </c>
      <c r="E12" s="113">
        <v>5000</v>
      </c>
    </row>
    <row r="13" spans="1:5" x14ac:dyDescent="0.25">
      <c r="A13" s="33" t="s">
        <v>18</v>
      </c>
      <c r="B13" s="33" t="s">
        <v>68</v>
      </c>
      <c r="C13" s="97"/>
      <c r="D13" s="111">
        <v>5208</v>
      </c>
      <c r="E13" s="113">
        <v>5500</v>
      </c>
    </row>
    <row r="14" spans="1:5" x14ac:dyDescent="0.25">
      <c r="A14" s="33" t="s">
        <v>57</v>
      </c>
      <c r="B14" s="33" t="s">
        <v>68</v>
      </c>
      <c r="C14" s="97"/>
      <c r="D14" s="111">
        <v>5104</v>
      </c>
      <c r="E14" s="113">
        <v>5500</v>
      </c>
    </row>
    <row r="15" spans="1:5" s="26" customFormat="1" x14ac:dyDescent="0.25">
      <c r="A15" s="3" t="s">
        <v>71</v>
      </c>
      <c r="B15" s="33" t="s">
        <v>73</v>
      </c>
      <c r="C15" s="97"/>
      <c r="D15" s="111">
        <v>4557</v>
      </c>
      <c r="E15" s="113">
        <v>5000</v>
      </c>
    </row>
    <row r="16" spans="1:5" x14ac:dyDescent="0.25">
      <c r="A16" s="33" t="s">
        <v>6</v>
      </c>
      <c r="B16" s="33" t="s">
        <v>72</v>
      </c>
      <c r="C16" s="97"/>
      <c r="D16" s="111">
        <v>4619</v>
      </c>
      <c r="E16" s="113">
        <v>5000</v>
      </c>
    </row>
    <row r="17" spans="1:5" x14ac:dyDescent="0.25">
      <c r="A17" s="109" t="s">
        <v>60</v>
      </c>
      <c r="B17" s="33" t="s">
        <v>72</v>
      </c>
      <c r="C17" s="97"/>
      <c r="D17" s="111">
        <v>3574</v>
      </c>
      <c r="E17" s="113">
        <v>4000</v>
      </c>
    </row>
    <row r="18" spans="1:5" x14ac:dyDescent="0.25">
      <c r="A18" s="109" t="s">
        <v>74</v>
      </c>
      <c r="B18" s="33" t="s">
        <v>72</v>
      </c>
      <c r="C18" s="97"/>
      <c r="D18" s="111"/>
      <c r="E18" s="113">
        <v>6000</v>
      </c>
    </row>
    <row r="19" spans="1:5" x14ac:dyDescent="0.25">
      <c r="A19" s="109" t="s">
        <v>75</v>
      </c>
      <c r="B19" s="33" t="s">
        <v>72</v>
      </c>
      <c r="C19" s="33"/>
      <c r="D19" s="111"/>
      <c r="E19" s="113">
        <v>6000</v>
      </c>
    </row>
    <row r="20" spans="1:5" x14ac:dyDescent="0.25">
      <c r="A20" s="3" t="s">
        <v>69</v>
      </c>
      <c r="B20" s="33" t="s">
        <v>72</v>
      </c>
      <c r="C20" s="33"/>
      <c r="D20" s="111">
        <v>4244</v>
      </c>
      <c r="E20" s="113">
        <v>4500</v>
      </c>
    </row>
    <row r="21" spans="1:5" x14ac:dyDescent="0.25">
      <c r="A21" s="3" t="s">
        <v>70</v>
      </c>
      <c r="B21" s="33" t="s">
        <v>72</v>
      </c>
      <c r="C21" s="33"/>
      <c r="D21" s="111">
        <v>4185</v>
      </c>
      <c r="E21" s="113">
        <v>4500</v>
      </c>
    </row>
    <row r="22" spans="1:5" x14ac:dyDescent="0.25">
      <c r="A22" s="3" t="s">
        <v>8</v>
      </c>
      <c r="B22" s="33" t="s">
        <v>72</v>
      </c>
      <c r="C22" s="33"/>
      <c r="D22" s="111"/>
      <c r="E22" s="113">
        <v>4500</v>
      </c>
    </row>
    <row r="23" spans="1:5" x14ac:dyDescent="0.25">
      <c r="A23" s="3" t="s">
        <v>38</v>
      </c>
      <c r="B23" s="33" t="s">
        <v>72</v>
      </c>
      <c r="C23" s="33"/>
      <c r="D23" s="111">
        <v>3646</v>
      </c>
      <c r="E23" s="113">
        <v>4000</v>
      </c>
    </row>
    <row r="24" spans="1:5" x14ac:dyDescent="0.25">
      <c r="A24" s="3" t="s">
        <v>9</v>
      </c>
      <c r="B24" s="33" t="s">
        <v>72</v>
      </c>
      <c r="C24" s="33"/>
      <c r="D24" s="111">
        <v>5052</v>
      </c>
      <c r="E24" s="113">
        <v>5500</v>
      </c>
    </row>
    <row r="25" spans="1:5" x14ac:dyDescent="0.25">
      <c r="A25" s="3" t="s">
        <v>37</v>
      </c>
      <c r="B25" s="33" t="s">
        <v>72</v>
      </c>
      <c r="C25" s="33"/>
      <c r="D25" s="111">
        <v>4469</v>
      </c>
      <c r="E25" s="113">
        <v>4500</v>
      </c>
    </row>
    <row r="26" spans="1:5" x14ac:dyDescent="0.25">
      <c r="A26" s="3" t="s">
        <v>26</v>
      </c>
      <c r="B26" s="33" t="s">
        <v>72</v>
      </c>
      <c r="C26" s="33"/>
      <c r="D26" s="111">
        <v>6424</v>
      </c>
      <c r="E26" s="113">
        <v>6500</v>
      </c>
    </row>
    <row r="27" spans="1:5" x14ac:dyDescent="0.25">
      <c r="A27" s="3" t="s">
        <v>10</v>
      </c>
      <c r="B27" s="33" t="s">
        <v>72</v>
      </c>
      <c r="C27" s="33"/>
      <c r="D27" s="111">
        <v>5893</v>
      </c>
      <c r="E27" s="113">
        <v>6000</v>
      </c>
    </row>
    <row r="28" spans="1:5" x14ac:dyDescent="0.25">
      <c r="A28" s="3" t="s">
        <v>71</v>
      </c>
      <c r="B28" s="33" t="s">
        <v>73</v>
      </c>
      <c r="C28" s="33"/>
      <c r="D28" s="111">
        <v>4297</v>
      </c>
      <c r="E28" s="113">
        <v>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14"/>
  <sheetViews>
    <sheetView workbookViewId="0">
      <selection activeCell="D7" sqref="D7:J7"/>
    </sheetView>
  </sheetViews>
  <sheetFormatPr baseColWidth="10" defaultRowHeight="15" x14ac:dyDescent="0.25"/>
  <cols>
    <col min="6" max="6" width="11.42578125" style="26"/>
  </cols>
  <sheetData>
    <row r="1" spans="1:19" ht="30" x14ac:dyDescent="0.25">
      <c r="A1" s="10" t="s">
        <v>1</v>
      </c>
      <c r="B1" s="11" t="s">
        <v>5</v>
      </c>
      <c r="C1" s="12" t="s">
        <v>14</v>
      </c>
      <c r="D1" s="12" t="s">
        <v>15</v>
      </c>
      <c r="E1" s="11" t="s">
        <v>16</v>
      </c>
      <c r="F1" s="11"/>
      <c r="G1" s="11" t="s">
        <v>17</v>
      </c>
      <c r="H1" s="11" t="s">
        <v>18</v>
      </c>
      <c r="I1" s="18" t="s">
        <v>19</v>
      </c>
      <c r="J1" s="21" t="s">
        <v>6</v>
      </c>
      <c r="K1" s="13" t="s">
        <v>7</v>
      </c>
      <c r="L1" s="13" t="s">
        <v>29</v>
      </c>
      <c r="M1" s="11" t="s">
        <v>8</v>
      </c>
      <c r="N1" s="14" t="s">
        <v>28</v>
      </c>
      <c r="O1" s="14" t="s">
        <v>27</v>
      </c>
      <c r="P1" s="13" t="s">
        <v>9</v>
      </c>
      <c r="Q1" s="13" t="s">
        <v>26</v>
      </c>
      <c r="R1" s="13" t="s">
        <v>10</v>
      </c>
      <c r="S1" s="15" t="s">
        <v>11</v>
      </c>
    </row>
    <row r="2" spans="1:19" x14ac:dyDescent="0.25">
      <c r="A2" s="651" t="s">
        <v>4</v>
      </c>
      <c r="B2" s="67" t="s">
        <v>12</v>
      </c>
      <c r="C2" s="67">
        <v>0.25</v>
      </c>
      <c r="D2" s="67">
        <v>0.25</v>
      </c>
      <c r="E2" s="67">
        <v>2</v>
      </c>
      <c r="F2" s="67"/>
      <c r="G2" s="67">
        <v>0.25</v>
      </c>
      <c r="H2" s="67">
        <v>0.25</v>
      </c>
      <c r="I2" s="19">
        <v>0.25</v>
      </c>
      <c r="J2" s="22">
        <v>24.3</v>
      </c>
      <c r="K2" s="27">
        <v>3.6</v>
      </c>
      <c r="L2" s="27" t="s">
        <v>20</v>
      </c>
      <c r="M2" s="27">
        <v>2.25</v>
      </c>
      <c r="N2" s="27">
        <v>1.05</v>
      </c>
      <c r="O2" s="27" t="s">
        <v>20</v>
      </c>
      <c r="P2" s="29">
        <v>9.25</v>
      </c>
      <c r="Q2" s="29">
        <v>2.5</v>
      </c>
      <c r="R2" s="27">
        <v>2.25</v>
      </c>
      <c r="S2" s="16">
        <f>SUM(C2:R2)</f>
        <v>48.45</v>
      </c>
    </row>
    <row r="3" spans="1:19" x14ac:dyDescent="0.25">
      <c r="A3" s="651"/>
      <c r="B3" s="67">
        <v>45</v>
      </c>
      <c r="C3" s="67">
        <v>0.25</v>
      </c>
      <c r="D3" s="67">
        <v>0.25</v>
      </c>
      <c r="E3" s="67">
        <v>2</v>
      </c>
      <c r="F3" s="67"/>
      <c r="G3" s="67">
        <v>0.25</v>
      </c>
      <c r="H3" s="67">
        <v>0.25</v>
      </c>
      <c r="I3" s="19">
        <v>0.25</v>
      </c>
      <c r="J3" s="22">
        <v>25.89</v>
      </c>
      <c r="K3" s="27">
        <v>3.84</v>
      </c>
      <c r="L3" s="27" t="s">
        <v>20</v>
      </c>
      <c r="M3" s="27">
        <v>2.25</v>
      </c>
      <c r="N3" s="27">
        <v>1.25</v>
      </c>
      <c r="O3" s="27" t="s">
        <v>20</v>
      </c>
      <c r="P3" s="29">
        <v>10.75</v>
      </c>
      <c r="Q3" s="29">
        <v>2.5</v>
      </c>
      <c r="R3" s="27">
        <v>2.2799999999999998</v>
      </c>
      <c r="S3" s="16">
        <f t="shared" ref="S3:S13" si="0">SUM(C3:R3)</f>
        <v>52.010000000000005</v>
      </c>
    </row>
    <row r="4" spans="1:19" x14ac:dyDescent="0.25">
      <c r="A4" s="651"/>
      <c r="B4" s="67" t="s">
        <v>13</v>
      </c>
      <c r="C4" s="67">
        <v>0.25</v>
      </c>
      <c r="D4" s="67">
        <v>0.25</v>
      </c>
      <c r="E4" s="67">
        <v>2</v>
      </c>
      <c r="F4" s="67"/>
      <c r="G4" s="67">
        <v>0.25</v>
      </c>
      <c r="H4" s="67">
        <v>0.25</v>
      </c>
      <c r="I4" s="19">
        <v>0.25</v>
      </c>
      <c r="J4" s="22">
        <v>26.75</v>
      </c>
      <c r="K4" s="27">
        <v>3.7199999999999998</v>
      </c>
      <c r="L4" s="27" t="s">
        <v>20</v>
      </c>
      <c r="M4" s="27">
        <v>2.25</v>
      </c>
      <c r="N4" s="27">
        <v>1.28</v>
      </c>
      <c r="O4" s="27" t="s">
        <v>20</v>
      </c>
      <c r="P4" s="29">
        <v>10.82</v>
      </c>
      <c r="Q4" s="29">
        <v>2.5</v>
      </c>
      <c r="R4" s="27">
        <v>2.85</v>
      </c>
      <c r="S4" s="16">
        <f t="shared" si="0"/>
        <v>53.42</v>
      </c>
    </row>
    <row r="5" spans="1:19" x14ac:dyDescent="0.25">
      <c r="A5" s="651"/>
      <c r="B5" s="67">
        <v>75</v>
      </c>
      <c r="C5" s="67">
        <v>0.25</v>
      </c>
      <c r="D5" s="67">
        <v>0.25</v>
      </c>
      <c r="E5" s="67">
        <v>2</v>
      </c>
      <c r="F5" s="67"/>
      <c r="G5" s="67">
        <v>0.25</v>
      </c>
      <c r="H5" s="67">
        <v>0.25</v>
      </c>
      <c r="I5" s="19">
        <v>0.25</v>
      </c>
      <c r="J5" s="22">
        <v>28.88</v>
      </c>
      <c r="K5" s="27">
        <v>3.9400000000000004</v>
      </c>
      <c r="L5" s="27" t="s">
        <v>20</v>
      </c>
      <c r="M5" s="27">
        <v>2.25</v>
      </c>
      <c r="N5" s="27">
        <v>1.37</v>
      </c>
      <c r="O5" s="27" t="s">
        <v>20</v>
      </c>
      <c r="P5" s="29">
        <v>11.02</v>
      </c>
      <c r="Q5" s="29">
        <v>2.5</v>
      </c>
      <c r="R5" s="27">
        <v>3.05</v>
      </c>
      <c r="S5" s="16">
        <f t="shared" si="0"/>
        <v>56.259999999999991</v>
      </c>
    </row>
    <row r="6" spans="1:19" x14ac:dyDescent="0.25">
      <c r="A6" s="651"/>
      <c r="B6" s="67">
        <v>112.5</v>
      </c>
      <c r="C6" s="67">
        <v>0.25</v>
      </c>
      <c r="D6" s="67">
        <v>0.25</v>
      </c>
      <c r="E6" s="67">
        <v>2</v>
      </c>
      <c r="F6" s="67"/>
      <c r="G6" s="67">
        <v>0.25</v>
      </c>
      <c r="H6" s="67">
        <v>0.33</v>
      </c>
      <c r="I6" s="19">
        <v>0.25</v>
      </c>
      <c r="J6" s="22">
        <v>34.5</v>
      </c>
      <c r="K6" s="27">
        <v>4.21</v>
      </c>
      <c r="L6" s="27" t="s">
        <v>20</v>
      </c>
      <c r="M6" s="27">
        <v>2.25</v>
      </c>
      <c r="N6" s="27">
        <v>1.65</v>
      </c>
      <c r="O6" s="27" t="s">
        <v>20</v>
      </c>
      <c r="P6" s="29">
        <v>11.87</v>
      </c>
      <c r="Q6" s="29">
        <v>2.5</v>
      </c>
      <c r="R6" s="27">
        <v>3.35</v>
      </c>
      <c r="S6" s="16">
        <f t="shared" si="0"/>
        <v>63.66</v>
      </c>
    </row>
    <row r="7" spans="1:19" x14ac:dyDescent="0.25">
      <c r="A7" s="651"/>
      <c r="B7" s="67">
        <v>150</v>
      </c>
      <c r="C7" s="67">
        <v>0.5</v>
      </c>
      <c r="D7" s="67">
        <v>0.25</v>
      </c>
      <c r="E7" s="67">
        <v>2.5</v>
      </c>
      <c r="F7" s="67">
        <v>30</v>
      </c>
      <c r="G7" s="67">
        <v>0.25</v>
      </c>
      <c r="H7" s="67">
        <v>0.33</v>
      </c>
      <c r="I7" s="19">
        <v>0.25</v>
      </c>
      <c r="J7" s="22">
        <v>36.6</v>
      </c>
      <c r="K7" s="27">
        <v>4.8</v>
      </c>
      <c r="L7" s="27" t="s">
        <v>20</v>
      </c>
      <c r="M7" s="27">
        <v>2.25</v>
      </c>
      <c r="N7" s="27">
        <v>1.92</v>
      </c>
      <c r="O7" s="27" t="s">
        <v>20</v>
      </c>
      <c r="P7" s="29">
        <v>12.33</v>
      </c>
      <c r="Q7" s="29">
        <v>2.5</v>
      </c>
      <c r="R7" s="27">
        <v>3.95</v>
      </c>
      <c r="S7" s="16">
        <f t="shared" si="0"/>
        <v>98.43</v>
      </c>
    </row>
    <row r="8" spans="1:19" x14ac:dyDescent="0.25">
      <c r="A8" s="651"/>
      <c r="B8" s="67">
        <v>225</v>
      </c>
      <c r="C8" s="67">
        <v>0.5</v>
      </c>
      <c r="D8" s="67">
        <v>0.5</v>
      </c>
      <c r="E8" s="67">
        <v>2.5</v>
      </c>
      <c r="F8" s="67">
        <v>30</v>
      </c>
      <c r="G8" s="67">
        <v>0.5</v>
      </c>
      <c r="H8" s="67">
        <v>0.33</v>
      </c>
      <c r="I8" s="19">
        <v>0.25</v>
      </c>
      <c r="J8" s="22">
        <v>37.9</v>
      </c>
      <c r="K8" s="27">
        <v>4.9800000000000004</v>
      </c>
      <c r="L8" s="27" t="s">
        <v>20</v>
      </c>
      <c r="M8" s="27">
        <v>2.25</v>
      </c>
      <c r="N8" s="27">
        <v>2.25</v>
      </c>
      <c r="O8" s="27" t="s">
        <v>20</v>
      </c>
      <c r="P8" s="29">
        <v>12.75</v>
      </c>
      <c r="Q8" s="29">
        <v>2.5</v>
      </c>
      <c r="R8" s="27">
        <v>4.1500000000000004</v>
      </c>
      <c r="S8" s="16">
        <f>SUM(C8:R8)</f>
        <v>101.36</v>
      </c>
    </row>
    <row r="9" spans="1:19" x14ac:dyDescent="0.25">
      <c r="A9" s="651"/>
      <c r="B9" s="27">
        <v>300</v>
      </c>
      <c r="C9" s="27">
        <v>0.75</v>
      </c>
      <c r="D9" s="27">
        <v>0.5</v>
      </c>
      <c r="E9" s="27">
        <v>3.5</v>
      </c>
      <c r="F9" s="27"/>
      <c r="G9" s="27">
        <v>0.5</v>
      </c>
      <c r="H9" s="27">
        <v>0.5</v>
      </c>
      <c r="I9" s="19">
        <v>0.25</v>
      </c>
      <c r="J9" s="23">
        <v>55.75</v>
      </c>
      <c r="K9" s="27">
        <v>5.25</v>
      </c>
      <c r="L9" s="27" t="s">
        <v>20</v>
      </c>
      <c r="M9" s="27">
        <v>2.25</v>
      </c>
      <c r="N9" s="27">
        <v>2.75</v>
      </c>
      <c r="O9" s="27" t="s">
        <v>20</v>
      </c>
      <c r="P9" s="27">
        <v>12.75</v>
      </c>
      <c r="Q9" s="27">
        <v>2.5</v>
      </c>
      <c r="R9" s="27">
        <v>4.5</v>
      </c>
      <c r="S9" s="16">
        <f t="shared" si="0"/>
        <v>91.75</v>
      </c>
    </row>
    <row r="10" spans="1:19" x14ac:dyDescent="0.25">
      <c r="A10" s="651"/>
      <c r="B10" s="27">
        <v>450</v>
      </c>
      <c r="C10" s="27">
        <v>0.75</v>
      </c>
      <c r="D10" s="27">
        <v>0.5</v>
      </c>
      <c r="E10" s="27">
        <v>3.5</v>
      </c>
      <c r="F10" s="27"/>
      <c r="G10" s="27">
        <v>0.5</v>
      </c>
      <c r="H10" s="27">
        <v>0.5</v>
      </c>
      <c r="I10" s="19">
        <v>0.25</v>
      </c>
      <c r="J10" s="23">
        <v>108.5</v>
      </c>
      <c r="K10" s="27">
        <v>12.5</v>
      </c>
      <c r="L10" s="27" t="s">
        <v>20</v>
      </c>
      <c r="M10" s="27">
        <v>2.75</v>
      </c>
      <c r="N10" s="27">
        <v>5.5</v>
      </c>
      <c r="O10" s="27" t="s">
        <v>20</v>
      </c>
      <c r="P10" s="27">
        <v>13</v>
      </c>
      <c r="Q10" s="27">
        <v>2.5</v>
      </c>
      <c r="R10" s="27">
        <v>4.5</v>
      </c>
      <c r="S10" s="16">
        <f t="shared" si="0"/>
        <v>155.25</v>
      </c>
    </row>
    <row r="11" spans="1:19" x14ac:dyDescent="0.25">
      <c r="A11" s="651"/>
      <c r="B11" s="27">
        <v>500</v>
      </c>
      <c r="C11" s="27">
        <v>0.75</v>
      </c>
      <c r="D11" s="27">
        <v>0.5</v>
      </c>
      <c r="E11" s="27">
        <v>3.5</v>
      </c>
      <c r="F11" s="27">
        <v>62.5</v>
      </c>
      <c r="G11" s="27">
        <v>0.5</v>
      </c>
      <c r="H11" s="27">
        <v>0.5</v>
      </c>
      <c r="I11" s="19" t="s">
        <v>39</v>
      </c>
      <c r="J11" s="23">
        <v>123.5</v>
      </c>
      <c r="K11" s="27">
        <v>12.5</v>
      </c>
      <c r="L11" s="27" t="s">
        <v>20</v>
      </c>
      <c r="M11" s="27">
        <v>2.75</v>
      </c>
      <c r="N11" s="27">
        <v>5.5</v>
      </c>
      <c r="O11" s="27" t="s">
        <v>20</v>
      </c>
      <c r="P11" s="27">
        <v>13</v>
      </c>
      <c r="Q11" s="27">
        <v>2.5</v>
      </c>
      <c r="R11" s="27">
        <v>4.5</v>
      </c>
      <c r="S11" s="16">
        <f t="shared" si="0"/>
        <v>232.5</v>
      </c>
    </row>
    <row r="12" spans="1:19" x14ac:dyDescent="0.25">
      <c r="A12" s="651"/>
      <c r="B12" s="27">
        <v>1000</v>
      </c>
      <c r="C12" s="27">
        <v>1.5</v>
      </c>
      <c r="D12" s="27" t="s">
        <v>20</v>
      </c>
      <c r="E12" s="27">
        <v>3.5</v>
      </c>
      <c r="F12" s="27"/>
      <c r="G12" s="27">
        <v>0.5</v>
      </c>
      <c r="H12" s="27">
        <v>0.75</v>
      </c>
      <c r="I12" s="19">
        <v>0.25</v>
      </c>
      <c r="J12" s="23">
        <v>158</v>
      </c>
      <c r="K12" s="27">
        <v>12.5</v>
      </c>
      <c r="L12" s="27" t="s">
        <v>20</v>
      </c>
      <c r="M12" s="27">
        <v>3.5</v>
      </c>
      <c r="N12" s="27">
        <v>75.5</v>
      </c>
      <c r="O12" s="27">
        <v>18</v>
      </c>
      <c r="P12" s="27">
        <v>17.600000000000001</v>
      </c>
      <c r="Q12" s="27">
        <v>2.5</v>
      </c>
      <c r="R12" s="27">
        <v>6.5</v>
      </c>
      <c r="S12" s="16">
        <f t="shared" si="0"/>
        <v>300.60000000000002</v>
      </c>
    </row>
    <row r="13" spans="1:19" x14ac:dyDescent="0.25">
      <c r="A13" s="651"/>
      <c r="B13" s="27">
        <v>1250</v>
      </c>
      <c r="C13" s="27">
        <v>1.5</v>
      </c>
      <c r="D13" s="27" t="s">
        <v>20</v>
      </c>
      <c r="E13" s="27">
        <v>3.5</v>
      </c>
      <c r="F13" s="27"/>
      <c r="G13" s="27">
        <v>0.5</v>
      </c>
      <c r="H13" s="27">
        <v>0.75</v>
      </c>
      <c r="I13" s="19">
        <v>0.25</v>
      </c>
      <c r="J13" s="23">
        <v>165.7</v>
      </c>
      <c r="K13" s="27">
        <v>12.5</v>
      </c>
      <c r="L13" s="27" t="s">
        <v>20</v>
      </c>
      <c r="M13" s="27">
        <v>3.5</v>
      </c>
      <c r="N13" s="27">
        <v>75.5</v>
      </c>
      <c r="O13" s="27">
        <v>18</v>
      </c>
      <c r="P13" s="27">
        <v>17.600000000000001</v>
      </c>
      <c r="Q13" s="27">
        <v>2.5</v>
      </c>
      <c r="R13" s="27">
        <v>6.5</v>
      </c>
      <c r="S13" s="16">
        <f t="shared" si="0"/>
        <v>308.3</v>
      </c>
    </row>
    <row r="14" spans="1:19" ht="15.75" thickBot="1" x14ac:dyDescent="0.3">
      <c r="A14" s="652"/>
      <c r="B14" s="8">
        <v>1600</v>
      </c>
      <c r="C14" s="8">
        <v>1.5</v>
      </c>
      <c r="D14" s="8" t="s">
        <v>20</v>
      </c>
      <c r="E14" s="8">
        <v>3.5</v>
      </c>
      <c r="F14" s="8"/>
      <c r="G14" s="8">
        <v>0.5</v>
      </c>
      <c r="H14" s="8">
        <v>0.75</v>
      </c>
      <c r="I14" s="20">
        <v>0.25</v>
      </c>
      <c r="J14" s="24">
        <v>186.5</v>
      </c>
      <c r="K14" s="8">
        <v>15.5</v>
      </c>
      <c r="L14" s="8" t="s">
        <v>20</v>
      </c>
      <c r="M14" s="8">
        <v>3.5</v>
      </c>
      <c r="N14" s="8">
        <v>83.15</v>
      </c>
      <c r="O14" s="8">
        <v>18</v>
      </c>
      <c r="P14" s="8">
        <v>21.5</v>
      </c>
      <c r="Q14" s="8">
        <v>2.5</v>
      </c>
      <c r="R14" s="8">
        <v>6.5</v>
      </c>
      <c r="S14" s="17">
        <f>SUM(C14:R14)</f>
        <v>343.65</v>
      </c>
    </row>
  </sheetData>
  <mergeCells count="1">
    <mergeCell ref="A2:A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102"/>
  <sheetViews>
    <sheetView view="pageBreakPreview" zoomScaleNormal="106" zoomScaleSheetLayoutView="100" workbookViewId="0">
      <selection activeCell="D7" sqref="D7:J7"/>
    </sheetView>
  </sheetViews>
  <sheetFormatPr baseColWidth="10" defaultRowHeight="15" x14ac:dyDescent="0.25"/>
  <cols>
    <col min="3" max="3" width="12" customWidth="1"/>
    <col min="6" max="6" width="20.140625" style="26" customWidth="1"/>
    <col min="8" max="8" width="12.5703125" customWidth="1"/>
    <col min="19" max="19" width="12.5703125" customWidth="1"/>
  </cols>
  <sheetData>
    <row r="1" spans="1:20" ht="30" customHeight="1" x14ac:dyDescent="0.25">
      <c r="A1" s="683" t="s">
        <v>0</v>
      </c>
      <c r="B1" s="683" t="s">
        <v>1</v>
      </c>
      <c r="C1" s="683" t="s">
        <v>2</v>
      </c>
      <c r="D1" s="685" t="s">
        <v>35</v>
      </c>
      <c r="E1" s="685" t="s">
        <v>36</v>
      </c>
      <c r="F1" s="686" t="s">
        <v>40</v>
      </c>
      <c r="G1" s="682" t="s">
        <v>16</v>
      </c>
      <c r="H1" s="682" t="s">
        <v>17</v>
      </c>
      <c r="I1" s="682" t="s">
        <v>18</v>
      </c>
      <c r="J1" s="682" t="s">
        <v>19</v>
      </c>
      <c r="K1" s="678" t="s">
        <v>6</v>
      </c>
      <c r="L1" s="676" t="s">
        <v>22</v>
      </c>
      <c r="M1" s="680" t="s">
        <v>23</v>
      </c>
      <c r="N1" s="680" t="s">
        <v>38</v>
      </c>
      <c r="O1" s="676" t="s">
        <v>24</v>
      </c>
      <c r="P1" s="680" t="s">
        <v>25</v>
      </c>
      <c r="Q1" s="680" t="s">
        <v>37</v>
      </c>
      <c r="R1" s="680" t="s">
        <v>26</v>
      </c>
      <c r="S1" s="676" t="s">
        <v>10</v>
      </c>
      <c r="T1" s="678" t="s">
        <v>11</v>
      </c>
    </row>
    <row r="2" spans="1:20" s="25" customFormat="1" x14ac:dyDescent="0.25">
      <c r="A2" s="684"/>
      <c r="B2" s="684"/>
      <c r="C2" s="684"/>
      <c r="D2" s="686"/>
      <c r="E2" s="686"/>
      <c r="F2" s="687"/>
      <c r="G2" s="683"/>
      <c r="H2" s="683"/>
      <c r="I2" s="683"/>
      <c r="J2" s="683"/>
      <c r="K2" s="679"/>
      <c r="L2" s="677"/>
      <c r="M2" s="681"/>
      <c r="N2" s="681"/>
      <c r="O2" s="677"/>
      <c r="P2" s="681"/>
      <c r="Q2" s="681"/>
      <c r="R2" s="681"/>
      <c r="S2" s="677"/>
      <c r="T2" s="679"/>
    </row>
    <row r="3" spans="1:20" x14ac:dyDescent="0.25">
      <c r="A3" s="657" t="s">
        <v>3</v>
      </c>
      <c r="B3" s="657" t="s">
        <v>31</v>
      </c>
      <c r="C3" s="41">
        <v>15</v>
      </c>
      <c r="D3" s="27">
        <v>0.75</v>
      </c>
      <c r="E3" s="27">
        <v>0.5</v>
      </c>
      <c r="F3" s="33"/>
      <c r="G3" s="27">
        <v>12</v>
      </c>
      <c r="H3" s="33">
        <v>0.75</v>
      </c>
      <c r="I3" s="33">
        <v>1.5</v>
      </c>
      <c r="J3" s="33">
        <v>0.25</v>
      </c>
      <c r="K3" s="34">
        <v>25.5</v>
      </c>
      <c r="L3" s="28">
        <v>6.85</v>
      </c>
      <c r="M3" s="40" t="s">
        <v>20</v>
      </c>
      <c r="N3" s="27">
        <v>1.95</v>
      </c>
      <c r="O3" s="29">
        <v>1.2</v>
      </c>
      <c r="P3" s="29">
        <v>6.75</v>
      </c>
      <c r="Q3" s="29">
        <v>3.45</v>
      </c>
      <c r="R3" s="29">
        <v>1.5</v>
      </c>
      <c r="S3" s="27">
        <v>2.0499999999999998</v>
      </c>
      <c r="T3" s="33">
        <f>SUM(D3:S3)</f>
        <v>65.000000000000014</v>
      </c>
    </row>
    <row r="4" spans="1:20" x14ac:dyDescent="0.25">
      <c r="A4" s="657"/>
      <c r="B4" s="657"/>
      <c r="C4" s="41">
        <v>30</v>
      </c>
      <c r="D4" s="27">
        <v>0.75</v>
      </c>
      <c r="E4" s="27">
        <v>0.5</v>
      </c>
      <c r="F4" s="33"/>
      <c r="G4" s="27">
        <v>12</v>
      </c>
      <c r="H4" s="33">
        <v>0.75</v>
      </c>
      <c r="I4" s="33">
        <v>1.5</v>
      </c>
      <c r="J4" s="33">
        <v>0.25</v>
      </c>
      <c r="K4" s="34">
        <v>25.5</v>
      </c>
      <c r="L4" s="28">
        <v>6.85</v>
      </c>
      <c r="M4" s="40" t="s">
        <v>20</v>
      </c>
      <c r="N4" s="27">
        <v>1.95</v>
      </c>
      <c r="O4" s="29">
        <v>1.2</v>
      </c>
      <c r="P4" s="29">
        <v>6.75</v>
      </c>
      <c r="Q4" s="29">
        <v>3.45</v>
      </c>
      <c r="R4" s="29">
        <v>1.5</v>
      </c>
      <c r="S4" s="27">
        <v>2.0499999999999998</v>
      </c>
      <c r="T4" s="33">
        <f t="shared" ref="T4:T59" si="0">SUM(D4:S4)</f>
        <v>65.000000000000014</v>
      </c>
    </row>
    <row r="5" spans="1:20" x14ac:dyDescent="0.25">
      <c r="A5" s="657"/>
      <c r="B5" s="657"/>
      <c r="C5" s="41">
        <v>45</v>
      </c>
      <c r="D5" s="27">
        <v>0.75</v>
      </c>
      <c r="E5" s="27">
        <v>0.5</v>
      </c>
      <c r="F5" s="33"/>
      <c r="G5" s="27">
        <v>12</v>
      </c>
      <c r="H5" s="33">
        <v>0.75</v>
      </c>
      <c r="I5" s="33">
        <v>1.5</v>
      </c>
      <c r="J5" s="33">
        <v>0.25</v>
      </c>
      <c r="K5" s="34">
        <v>25.5</v>
      </c>
      <c r="L5" s="28">
        <v>6.85</v>
      </c>
      <c r="M5" s="40" t="s">
        <v>20</v>
      </c>
      <c r="N5" s="27">
        <v>1.95</v>
      </c>
      <c r="O5" s="29">
        <v>1.2</v>
      </c>
      <c r="P5" s="29">
        <v>6.75</v>
      </c>
      <c r="Q5" s="29">
        <v>3.45</v>
      </c>
      <c r="R5" s="29">
        <v>1.5</v>
      </c>
      <c r="S5" s="27">
        <v>2.0499999999999998</v>
      </c>
      <c r="T5" s="33">
        <f t="shared" si="0"/>
        <v>65.000000000000014</v>
      </c>
    </row>
    <row r="6" spans="1:20" x14ac:dyDescent="0.25">
      <c r="A6" s="657"/>
      <c r="B6" s="657"/>
      <c r="C6" s="41">
        <v>75</v>
      </c>
      <c r="D6" s="27">
        <v>0.75</v>
      </c>
      <c r="E6" s="27">
        <v>0.5</v>
      </c>
      <c r="F6" s="33"/>
      <c r="G6" s="27">
        <v>12</v>
      </c>
      <c r="H6" s="33">
        <v>0.75</v>
      </c>
      <c r="I6" s="33">
        <v>1.5</v>
      </c>
      <c r="J6" s="33">
        <v>0.25</v>
      </c>
      <c r="K6" s="34">
        <v>17.649999999999999</v>
      </c>
      <c r="L6" s="28">
        <v>6.96</v>
      </c>
      <c r="M6" s="40" t="s">
        <v>20</v>
      </c>
      <c r="N6" s="27">
        <v>1.95</v>
      </c>
      <c r="O6" s="29">
        <v>1.45</v>
      </c>
      <c r="P6" s="29">
        <v>6.92</v>
      </c>
      <c r="Q6" s="29">
        <v>3.65</v>
      </c>
      <c r="R6" s="29">
        <v>1.5</v>
      </c>
      <c r="S6" s="27">
        <v>2.4500000000000002</v>
      </c>
      <c r="T6" s="33">
        <f t="shared" si="0"/>
        <v>58.280000000000008</v>
      </c>
    </row>
    <row r="7" spans="1:20" x14ac:dyDescent="0.25">
      <c r="A7" s="657"/>
      <c r="B7" s="657"/>
      <c r="C7" s="41">
        <v>112.5</v>
      </c>
      <c r="D7" s="27">
        <v>0.75</v>
      </c>
      <c r="E7" s="27">
        <v>0.5</v>
      </c>
      <c r="F7" s="33"/>
      <c r="G7" s="27">
        <v>12</v>
      </c>
      <c r="H7" s="33"/>
      <c r="I7" s="33"/>
      <c r="J7" s="33"/>
      <c r="K7" s="34">
        <v>19.91</v>
      </c>
      <c r="L7" s="28">
        <v>7.75</v>
      </c>
      <c r="M7" s="40"/>
      <c r="N7" s="27">
        <v>1.95</v>
      </c>
      <c r="O7" s="29">
        <v>1.57</v>
      </c>
      <c r="P7" s="29">
        <v>7.23</v>
      </c>
      <c r="Q7" s="29">
        <v>3.71</v>
      </c>
      <c r="R7" s="29">
        <v>2</v>
      </c>
      <c r="S7" s="27">
        <v>2.63</v>
      </c>
      <c r="T7" s="33">
        <f>SUM(D7:S7)</f>
        <v>60</v>
      </c>
    </row>
    <row r="8" spans="1:20" x14ac:dyDescent="0.25">
      <c r="A8" s="657"/>
      <c r="B8" s="657"/>
      <c r="C8" s="41">
        <v>225</v>
      </c>
      <c r="D8" s="27">
        <v>1.5</v>
      </c>
      <c r="E8" s="27">
        <v>0.5</v>
      </c>
      <c r="F8" s="33"/>
      <c r="G8" s="27">
        <v>15</v>
      </c>
      <c r="H8" s="33"/>
      <c r="I8" s="33"/>
      <c r="J8" s="33"/>
      <c r="K8" s="34">
        <v>18.920000000000002</v>
      </c>
      <c r="L8" s="28">
        <v>7.98</v>
      </c>
      <c r="M8" s="40"/>
      <c r="N8" s="27">
        <v>1.95</v>
      </c>
      <c r="O8" s="29">
        <v>1.77</v>
      </c>
      <c r="P8" s="29">
        <v>7.83</v>
      </c>
      <c r="Q8" s="29">
        <v>3.97</v>
      </c>
      <c r="R8" s="29">
        <v>2</v>
      </c>
      <c r="S8" s="27">
        <v>2.71</v>
      </c>
      <c r="T8" s="33">
        <f t="shared" si="0"/>
        <v>64.13000000000001</v>
      </c>
    </row>
    <row r="9" spans="1:20" x14ac:dyDescent="0.25">
      <c r="A9" s="657"/>
      <c r="B9" s="657"/>
      <c r="C9" s="41">
        <v>300</v>
      </c>
      <c r="D9" s="27">
        <v>1.5</v>
      </c>
      <c r="E9" s="27">
        <v>0.5</v>
      </c>
      <c r="F9" s="33"/>
      <c r="G9" s="27">
        <v>16</v>
      </c>
      <c r="H9" s="33"/>
      <c r="I9" s="33"/>
      <c r="J9" s="33"/>
      <c r="K9" s="34">
        <v>22.98</v>
      </c>
      <c r="L9" s="28">
        <v>8.0500000000000007</v>
      </c>
      <c r="M9" s="40"/>
      <c r="N9" s="27">
        <v>1.95</v>
      </c>
      <c r="O9" s="29">
        <v>1.98</v>
      </c>
      <c r="P9" s="29">
        <v>8.5</v>
      </c>
      <c r="Q9" s="29">
        <v>4.1399999999999997</v>
      </c>
      <c r="R9" s="29">
        <v>2</v>
      </c>
      <c r="S9" s="27">
        <v>3.15</v>
      </c>
      <c r="T9" s="33">
        <f t="shared" si="0"/>
        <v>70.75</v>
      </c>
    </row>
    <row r="10" spans="1:20" x14ac:dyDescent="0.25">
      <c r="A10" s="657"/>
      <c r="B10" s="657"/>
      <c r="C10" s="41">
        <v>400</v>
      </c>
      <c r="D10" s="27">
        <v>1.5</v>
      </c>
      <c r="E10" s="27">
        <v>0.75</v>
      </c>
      <c r="F10" s="33"/>
      <c r="G10" s="27">
        <v>16</v>
      </c>
      <c r="H10" s="33"/>
      <c r="I10" s="33"/>
      <c r="J10" s="33"/>
      <c r="K10" s="34">
        <v>28.83</v>
      </c>
      <c r="L10" s="28">
        <v>10.25</v>
      </c>
      <c r="M10" s="40"/>
      <c r="N10" s="27">
        <v>1.95</v>
      </c>
      <c r="O10" s="29">
        <v>2.4500000000000002</v>
      </c>
      <c r="P10" s="29">
        <v>10.25</v>
      </c>
      <c r="Q10" s="29">
        <v>4.47</v>
      </c>
      <c r="R10" s="29">
        <v>2</v>
      </c>
      <c r="S10" s="27">
        <v>3.18</v>
      </c>
      <c r="T10" s="33">
        <f t="shared" si="0"/>
        <v>81.63000000000001</v>
      </c>
    </row>
    <row r="11" spans="1:20" x14ac:dyDescent="0.25">
      <c r="A11" s="657"/>
      <c r="B11" s="657"/>
      <c r="C11" s="41">
        <v>500</v>
      </c>
      <c r="D11" s="27">
        <v>1.5</v>
      </c>
      <c r="E11" s="27">
        <v>0.75</v>
      </c>
      <c r="F11" s="33"/>
      <c r="G11" s="27">
        <v>16</v>
      </c>
      <c r="H11" s="33"/>
      <c r="I11" s="33"/>
      <c r="J11" s="33"/>
      <c r="K11" s="34">
        <v>32.799999999999997</v>
      </c>
      <c r="L11" s="28">
        <v>10.75</v>
      </c>
      <c r="M11" s="40"/>
      <c r="N11" s="27">
        <v>1.95</v>
      </c>
      <c r="O11" s="29">
        <v>2.48</v>
      </c>
      <c r="P11" s="29">
        <v>10.83</v>
      </c>
      <c r="Q11" s="29">
        <v>4.75</v>
      </c>
      <c r="R11" s="29">
        <v>2</v>
      </c>
      <c r="S11" s="27">
        <v>3.34</v>
      </c>
      <c r="T11" s="33">
        <f t="shared" si="0"/>
        <v>87.15</v>
      </c>
    </row>
    <row r="12" spans="1:20" x14ac:dyDescent="0.25">
      <c r="A12" s="657"/>
      <c r="B12" s="657"/>
      <c r="C12" s="41">
        <v>630</v>
      </c>
      <c r="D12" s="27">
        <v>2</v>
      </c>
      <c r="E12" s="27">
        <v>0.75</v>
      </c>
      <c r="F12" s="33"/>
      <c r="G12" s="27">
        <v>18</v>
      </c>
      <c r="H12" s="33"/>
      <c r="I12" s="33"/>
      <c r="J12" s="33"/>
      <c r="K12" s="34">
        <v>34.93</v>
      </c>
      <c r="L12" s="28">
        <v>11.73</v>
      </c>
      <c r="M12" s="40"/>
      <c r="N12" s="27">
        <v>1.95</v>
      </c>
      <c r="O12" s="29">
        <v>2.72</v>
      </c>
      <c r="P12" s="29">
        <v>11.05</v>
      </c>
      <c r="Q12" s="29">
        <v>5.05</v>
      </c>
      <c r="R12" s="29">
        <v>2</v>
      </c>
      <c r="S12" s="27">
        <v>3.38</v>
      </c>
      <c r="T12" s="33">
        <f t="shared" si="0"/>
        <v>93.559999999999988</v>
      </c>
    </row>
    <row r="13" spans="1:20" x14ac:dyDescent="0.25">
      <c r="A13" s="657"/>
      <c r="B13" s="657"/>
      <c r="C13" s="41">
        <v>800</v>
      </c>
      <c r="D13" s="27">
        <v>2</v>
      </c>
      <c r="E13" s="27">
        <v>0.75</v>
      </c>
      <c r="F13" s="33"/>
      <c r="G13" s="27">
        <v>18</v>
      </c>
      <c r="H13" s="33"/>
      <c r="I13" s="33"/>
      <c r="J13" s="33"/>
      <c r="K13" s="27">
        <v>46.5</v>
      </c>
      <c r="L13" s="27">
        <v>13.45</v>
      </c>
      <c r="M13" s="40"/>
      <c r="N13" s="27">
        <v>1.95</v>
      </c>
      <c r="O13" s="29">
        <v>2.93</v>
      </c>
      <c r="P13" s="29">
        <v>12.63</v>
      </c>
      <c r="Q13" s="29">
        <v>5.98</v>
      </c>
      <c r="R13" s="29">
        <v>2.75</v>
      </c>
      <c r="S13" s="27">
        <v>3.55</v>
      </c>
      <c r="T13" s="33">
        <f t="shared" si="0"/>
        <v>110.49000000000001</v>
      </c>
    </row>
    <row r="14" spans="1:20" x14ac:dyDescent="0.25">
      <c r="A14" s="657"/>
      <c r="B14" s="657"/>
      <c r="C14" s="41">
        <v>1000</v>
      </c>
      <c r="D14" s="27">
        <v>4</v>
      </c>
      <c r="E14" s="27">
        <v>1.25</v>
      </c>
      <c r="F14" s="33"/>
      <c r="G14" s="27">
        <v>24</v>
      </c>
      <c r="H14" s="33"/>
      <c r="I14" s="33"/>
      <c r="J14" s="33"/>
      <c r="K14" s="27">
        <v>52.5</v>
      </c>
      <c r="L14" s="27">
        <v>14.35</v>
      </c>
      <c r="M14" s="40"/>
      <c r="N14" s="27">
        <v>1.95</v>
      </c>
      <c r="O14" s="27">
        <v>3.18</v>
      </c>
      <c r="P14" s="27">
        <v>13.75</v>
      </c>
      <c r="Q14" s="27">
        <v>6.25</v>
      </c>
      <c r="R14" s="29">
        <v>2.75</v>
      </c>
      <c r="S14" s="27">
        <v>3.62</v>
      </c>
      <c r="T14" s="33">
        <f t="shared" si="0"/>
        <v>127.60000000000001</v>
      </c>
    </row>
    <row r="15" spans="1:20" x14ac:dyDescent="0.25">
      <c r="A15" s="657"/>
      <c r="B15" s="657"/>
      <c r="C15" s="41">
        <v>1250</v>
      </c>
      <c r="D15" s="27">
        <v>5</v>
      </c>
      <c r="E15" s="27">
        <v>2.5</v>
      </c>
      <c r="F15" s="33"/>
      <c r="G15" s="27">
        <v>36</v>
      </c>
      <c r="H15" s="33"/>
      <c r="I15" s="33"/>
      <c r="J15" s="33"/>
      <c r="K15" s="27">
        <v>60.5</v>
      </c>
      <c r="L15" s="27">
        <v>15.85</v>
      </c>
      <c r="M15" s="40"/>
      <c r="N15" s="27">
        <v>1.95</v>
      </c>
      <c r="O15" s="27">
        <v>3.55</v>
      </c>
      <c r="P15" s="27">
        <v>14.64</v>
      </c>
      <c r="Q15" s="27">
        <v>6.63</v>
      </c>
      <c r="R15" s="29">
        <v>2.75</v>
      </c>
      <c r="S15" s="27">
        <v>3.85</v>
      </c>
      <c r="T15" s="33">
        <f t="shared" si="0"/>
        <v>153.22</v>
      </c>
    </row>
    <row r="16" spans="1:20" x14ac:dyDescent="0.25">
      <c r="A16" s="657"/>
      <c r="B16" s="657"/>
      <c r="C16" s="41">
        <v>1600</v>
      </c>
      <c r="D16" s="27">
        <v>7</v>
      </c>
      <c r="E16" s="27">
        <v>2.5</v>
      </c>
      <c r="F16" s="33"/>
      <c r="G16" s="27">
        <v>45</v>
      </c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>
        <f t="shared" si="0"/>
        <v>54.5</v>
      </c>
    </row>
    <row r="17" spans="1:20" ht="15.75" thickBot="1" x14ac:dyDescent="0.3">
      <c r="A17" s="658"/>
      <c r="B17" s="658"/>
      <c r="C17" s="51">
        <v>2000</v>
      </c>
      <c r="D17" s="5">
        <v>9</v>
      </c>
      <c r="E17" s="5">
        <v>4</v>
      </c>
      <c r="F17" s="44"/>
      <c r="G17" s="5">
        <v>45</v>
      </c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>
        <f t="shared" si="0"/>
        <v>58</v>
      </c>
    </row>
    <row r="18" spans="1:20" x14ac:dyDescent="0.25">
      <c r="A18" s="659" t="s">
        <v>21</v>
      </c>
      <c r="B18" s="661" t="s">
        <v>31</v>
      </c>
      <c r="C18" s="11">
        <v>15</v>
      </c>
      <c r="D18" s="6">
        <v>1.5</v>
      </c>
      <c r="E18" s="6">
        <v>0.5</v>
      </c>
      <c r="F18" s="6" t="s">
        <v>20</v>
      </c>
      <c r="G18" s="6">
        <v>12</v>
      </c>
      <c r="H18" s="46">
        <v>0.75</v>
      </c>
      <c r="I18" s="46">
        <v>2</v>
      </c>
      <c r="J18" s="46">
        <v>0.25</v>
      </c>
      <c r="K18" s="55">
        <v>32.5</v>
      </c>
      <c r="L18" s="56">
        <v>6.85</v>
      </c>
      <c r="M18" s="57" t="s">
        <v>20</v>
      </c>
      <c r="N18" s="6">
        <v>1.95</v>
      </c>
      <c r="O18" s="7">
        <v>1.2</v>
      </c>
      <c r="P18" s="7">
        <v>6.75</v>
      </c>
      <c r="Q18" s="7">
        <v>3.45</v>
      </c>
      <c r="R18" s="7">
        <v>1.5</v>
      </c>
      <c r="S18" s="6">
        <v>2.0499999999999998</v>
      </c>
      <c r="T18" s="47">
        <f t="shared" si="0"/>
        <v>73.25</v>
      </c>
    </row>
    <row r="19" spans="1:20" x14ac:dyDescent="0.25">
      <c r="A19" s="660"/>
      <c r="B19" s="662"/>
      <c r="C19" s="39">
        <v>30</v>
      </c>
      <c r="D19" s="27">
        <v>1.5</v>
      </c>
      <c r="E19" s="27">
        <v>0.5</v>
      </c>
      <c r="F19" s="27" t="s">
        <v>20</v>
      </c>
      <c r="G19" s="27">
        <v>12</v>
      </c>
      <c r="H19" s="33">
        <v>0.75</v>
      </c>
      <c r="I19" s="33">
        <v>2</v>
      </c>
      <c r="J19" s="33">
        <v>0.25</v>
      </c>
      <c r="K19" s="34">
        <v>32.5</v>
      </c>
      <c r="L19" s="28">
        <v>6.85</v>
      </c>
      <c r="M19" s="40" t="s">
        <v>20</v>
      </c>
      <c r="N19" s="27">
        <v>1.95</v>
      </c>
      <c r="O19" s="29">
        <v>1.2</v>
      </c>
      <c r="P19" s="29">
        <v>6.75</v>
      </c>
      <c r="Q19" s="29">
        <v>3.45</v>
      </c>
      <c r="R19" s="29">
        <v>1.5</v>
      </c>
      <c r="S19" s="27">
        <v>2.0499999999999998</v>
      </c>
      <c r="T19" s="48">
        <f t="shared" si="0"/>
        <v>73.25</v>
      </c>
    </row>
    <row r="20" spans="1:20" x14ac:dyDescent="0.25">
      <c r="A20" s="660"/>
      <c r="B20" s="662"/>
      <c r="C20" s="39">
        <v>45</v>
      </c>
      <c r="D20" s="27">
        <v>1.5</v>
      </c>
      <c r="E20" s="27">
        <v>0.5</v>
      </c>
      <c r="F20" s="27" t="s">
        <v>41</v>
      </c>
      <c r="G20" s="27">
        <v>12</v>
      </c>
      <c r="H20" s="33">
        <v>0.75</v>
      </c>
      <c r="I20" s="33">
        <v>2</v>
      </c>
      <c r="J20" s="33">
        <v>0.25</v>
      </c>
      <c r="K20" s="34">
        <v>32.5</v>
      </c>
      <c r="L20" s="28">
        <v>6.85</v>
      </c>
      <c r="M20" s="40" t="s">
        <v>20</v>
      </c>
      <c r="N20" s="27">
        <v>1.95</v>
      </c>
      <c r="O20" s="29">
        <v>1.2</v>
      </c>
      <c r="P20" s="29">
        <v>6.75</v>
      </c>
      <c r="Q20" s="29">
        <v>3.45</v>
      </c>
      <c r="R20" s="29">
        <v>1.5</v>
      </c>
      <c r="S20" s="27">
        <v>2.0499999999999998</v>
      </c>
      <c r="T20" s="48">
        <f t="shared" si="0"/>
        <v>73.25</v>
      </c>
    </row>
    <row r="21" spans="1:20" x14ac:dyDescent="0.25">
      <c r="A21" s="660"/>
      <c r="B21" s="662"/>
      <c r="C21" s="39">
        <v>75</v>
      </c>
      <c r="D21" s="27">
        <v>1.5</v>
      </c>
      <c r="E21" s="27">
        <v>0.5</v>
      </c>
      <c r="F21" s="27">
        <v>18</v>
      </c>
      <c r="G21" s="27">
        <v>15</v>
      </c>
      <c r="H21" s="33">
        <v>0.75</v>
      </c>
      <c r="I21" s="33">
        <v>2</v>
      </c>
      <c r="J21" s="33">
        <v>0.25</v>
      </c>
      <c r="K21" s="34">
        <v>17.649999999999999</v>
      </c>
      <c r="L21" s="28">
        <v>6.96</v>
      </c>
      <c r="M21" s="40"/>
      <c r="N21" s="27">
        <v>1.95</v>
      </c>
      <c r="O21" s="29">
        <v>1.45</v>
      </c>
      <c r="P21" s="29">
        <v>6.92</v>
      </c>
      <c r="Q21" s="29">
        <v>3.65</v>
      </c>
      <c r="R21" s="29">
        <v>1.5</v>
      </c>
      <c r="S21" s="27">
        <v>2.4500000000000002</v>
      </c>
      <c r="T21" s="48">
        <f t="shared" si="0"/>
        <v>80.530000000000015</v>
      </c>
    </row>
    <row r="22" spans="1:20" x14ac:dyDescent="0.25">
      <c r="A22" s="660"/>
      <c r="B22" s="662"/>
      <c r="C22" s="39">
        <v>112.5</v>
      </c>
      <c r="D22" s="27">
        <v>1.5</v>
      </c>
      <c r="E22" s="27">
        <v>0.5</v>
      </c>
      <c r="F22" s="27">
        <v>18</v>
      </c>
      <c r="G22" s="27">
        <v>12</v>
      </c>
      <c r="H22" s="33">
        <v>0.75</v>
      </c>
      <c r="I22" s="33">
        <v>2</v>
      </c>
      <c r="J22" s="33">
        <v>0.25</v>
      </c>
      <c r="K22" s="34">
        <v>19.91</v>
      </c>
      <c r="L22" s="28">
        <v>7.75</v>
      </c>
      <c r="M22" s="40"/>
      <c r="N22" s="27">
        <v>1.95</v>
      </c>
      <c r="O22" s="29">
        <v>1.57</v>
      </c>
      <c r="P22" s="29">
        <v>7.23</v>
      </c>
      <c r="Q22" s="29">
        <v>3.71</v>
      </c>
      <c r="R22" s="29">
        <v>2</v>
      </c>
      <c r="S22" s="27">
        <v>2.63</v>
      </c>
      <c r="T22" s="48">
        <f t="shared" si="0"/>
        <v>81.749999999999986</v>
      </c>
    </row>
    <row r="23" spans="1:20" x14ac:dyDescent="0.25">
      <c r="A23" s="660"/>
      <c r="B23" s="662"/>
      <c r="C23" s="39">
        <v>150</v>
      </c>
      <c r="D23" s="27">
        <v>2</v>
      </c>
      <c r="E23" s="27">
        <v>0.5</v>
      </c>
      <c r="F23" s="27">
        <v>18</v>
      </c>
      <c r="G23" s="27">
        <v>14</v>
      </c>
      <c r="H23" s="33">
        <v>0.75</v>
      </c>
      <c r="I23" s="33">
        <v>2</v>
      </c>
      <c r="J23" s="33">
        <v>0.25</v>
      </c>
      <c r="K23" s="34">
        <v>18.920000000000002</v>
      </c>
      <c r="L23" s="28">
        <v>7.98</v>
      </c>
      <c r="M23" s="40"/>
      <c r="N23" s="27">
        <v>1.95</v>
      </c>
      <c r="O23" s="29">
        <v>1.77</v>
      </c>
      <c r="P23" s="29">
        <v>7.83</v>
      </c>
      <c r="Q23" s="29">
        <v>3.97</v>
      </c>
      <c r="R23" s="29">
        <v>2</v>
      </c>
      <c r="S23" s="27">
        <v>2.71</v>
      </c>
      <c r="T23" s="48">
        <f t="shared" si="0"/>
        <v>84.63</v>
      </c>
    </row>
    <row r="24" spans="1:20" x14ac:dyDescent="0.25">
      <c r="A24" s="660"/>
      <c r="B24" s="662"/>
      <c r="C24" s="39">
        <v>225</v>
      </c>
      <c r="D24" s="27">
        <v>2</v>
      </c>
      <c r="E24" s="27">
        <v>0.5</v>
      </c>
      <c r="F24" s="27">
        <v>18</v>
      </c>
      <c r="G24" s="27">
        <v>16</v>
      </c>
      <c r="H24" s="33">
        <v>0.75</v>
      </c>
      <c r="I24" s="33">
        <v>2</v>
      </c>
      <c r="J24" s="33">
        <v>0.25</v>
      </c>
      <c r="K24" s="34">
        <v>22.98</v>
      </c>
      <c r="L24" s="28">
        <v>8.0500000000000007</v>
      </c>
      <c r="M24" s="40"/>
      <c r="N24" s="27">
        <v>1.95</v>
      </c>
      <c r="O24" s="29">
        <v>1.98</v>
      </c>
      <c r="P24" s="29">
        <v>8.5</v>
      </c>
      <c r="Q24" s="29">
        <v>4.1399999999999997</v>
      </c>
      <c r="R24" s="29">
        <v>2</v>
      </c>
      <c r="S24" s="27">
        <v>3.15</v>
      </c>
      <c r="T24" s="48">
        <f t="shared" si="0"/>
        <v>92.250000000000014</v>
      </c>
    </row>
    <row r="25" spans="1:20" x14ac:dyDescent="0.25">
      <c r="A25" s="660"/>
      <c r="B25" s="662"/>
      <c r="C25" s="39">
        <v>300</v>
      </c>
      <c r="D25" s="27">
        <v>2</v>
      </c>
      <c r="E25" s="27">
        <v>0.75</v>
      </c>
      <c r="F25" s="27">
        <v>18</v>
      </c>
      <c r="G25" s="27">
        <v>16</v>
      </c>
      <c r="H25" s="33">
        <v>0.75</v>
      </c>
      <c r="I25" s="33">
        <v>2</v>
      </c>
      <c r="J25" s="33">
        <v>0.25</v>
      </c>
      <c r="K25" s="34">
        <v>28.83</v>
      </c>
      <c r="L25" s="28">
        <v>10.25</v>
      </c>
      <c r="M25" s="40"/>
      <c r="N25" s="27">
        <v>1.95</v>
      </c>
      <c r="O25" s="29">
        <v>2.4500000000000002</v>
      </c>
      <c r="P25" s="29">
        <v>10.25</v>
      </c>
      <c r="Q25" s="29">
        <v>4.47</v>
      </c>
      <c r="R25" s="29">
        <v>2</v>
      </c>
      <c r="S25" s="27">
        <v>3.18</v>
      </c>
      <c r="T25" s="48">
        <f>SUM(D25:S25)</f>
        <v>103.13000000000001</v>
      </c>
    </row>
    <row r="26" spans="1:20" x14ac:dyDescent="0.25">
      <c r="A26" s="660"/>
      <c r="B26" s="662"/>
      <c r="C26" s="39">
        <v>400</v>
      </c>
      <c r="D26" s="27">
        <v>2</v>
      </c>
      <c r="E26" s="27">
        <v>0.75</v>
      </c>
      <c r="F26" s="27">
        <v>21</v>
      </c>
      <c r="G26" s="27">
        <v>18</v>
      </c>
      <c r="H26" s="33">
        <v>1</v>
      </c>
      <c r="I26" s="33">
        <v>2</v>
      </c>
      <c r="J26" s="33">
        <v>0.25</v>
      </c>
      <c r="K26" s="34">
        <v>32.799999999999997</v>
      </c>
      <c r="L26" s="28">
        <v>10.75</v>
      </c>
      <c r="M26" s="40"/>
      <c r="N26" s="27">
        <v>1.95</v>
      </c>
      <c r="O26" s="29">
        <v>2.48</v>
      </c>
      <c r="P26" s="29">
        <v>10.83</v>
      </c>
      <c r="Q26" s="29">
        <v>4.75</v>
      </c>
      <c r="R26" s="29">
        <v>2</v>
      </c>
      <c r="S26" s="27">
        <v>3.34</v>
      </c>
      <c r="T26" s="48">
        <f t="shared" si="0"/>
        <v>113.9</v>
      </c>
    </row>
    <row r="27" spans="1:20" x14ac:dyDescent="0.25">
      <c r="A27" s="660"/>
      <c r="B27" s="662"/>
      <c r="C27" s="39">
        <v>500</v>
      </c>
      <c r="D27" s="27">
        <v>3</v>
      </c>
      <c r="E27" s="27">
        <v>0.75</v>
      </c>
      <c r="F27" s="27">
        <v>27.5</v>
      </c>
      <c r="G27" s="27">
        <v>23</v>
      </c>
      <c r="H27" s="33">
        <v>2.5</v>
      </c>
      <c r="I27" s="33">
        <v>3</v>
      </c>
      <c r="J27" s="33">
        <v>0.25</v>
      </c>
      <c r="K27" s="34">
        <v>34.93</v>
      </c>
      <c r="L27" s="28">
        <v>11.73</v>
      </c>
      <c r="M27" s="40"/>
      <c r="N27" s="27">
        <v>1.95</v>
      </c>
      <c r="O27" s="29">
        <v>2.72</v>
      </c>
      <c r="P27" s="29">
        <v>11.05</v>
      </c>
      <c r="Q27" s="29">
        <v>5.05</v>
      </c>
      <c r="R27" s="29">
        <v>2</v>
      </c>
      <c r="S27" s="27">
        <v>3.38</v>
      </c>
      <c r="T27" s="48">
        <f t="shared" si="0"/>
        <v>132.81</v>
      </c>
    </row>
    <row r="28" spans="1:20" x14ac:dyDescent="0.25">
      <c r="A28" s="660"/>
      <c r="B28" s="662"/>
      <c r="C28" s="39">
        <v>630</v>
      </c>
      <c r="D28" s="27">
        <v>3</v>
      </c>
      <c r="E28" s="27">
        <v>0.75</v>
      </c>
      <c r="F28" s="27">
        <v>27.5</v>
      </c>
      <c r="G28" s="27">
        <v>18</v>
      </c>
      <c r="H28" s="33"/>
      <c r="I28" s="33"/>
      <c r="J28" s="33"/>
      <c r="K28" s="27">
        <v>46.5</v>
      </c>
      <c r="L28" s="27">
        <v>13.45</v>
      </c>
      <c r="M28" s="40"/>
      <c r="N28" s="27">
        <v>1.95</v>
      </c>
      <c r="O28" s="29">
        <v>2.93</v>
      </c>
      <c r="P28" s="29">
        <v>12.63</v>
      </c>
      <c r="Q28" s="29">
        <v>5.98</v>
      </c>
      <c r="R28" s="29">
        <v>2.75</v>
      </c>
      <c r="S28" s="27">
        <v>3.55</v>
      </c>
      <c r="T28" s="48">
        <f t="shared" si="0"/>
        <v>138.99</v>
      </c>
    </row>
    <row r="29" spans="1:20" x14ac:dyDescent="0.25">
      <c r="A29" s="660"/>
      <c r="B29" s="662"/>
      <c r="C29" s="39">
        <v>800</v>
      </c>
      <c r="D29" s="27">
        <v>4</v>
      </c>
      <c r="E29" s="27">
        <v>1.25</v>
      </c>
      <c r="F29" s="27">
        <v>35</v>
      </c>
      <c r="G29" s="27">
        <v>24</v>
      </c>
      <c r="H29" s="33">
        <v>2.5</v>
      </c>
      <c r="I29" s="33">
        <v>4</v>
      </c>
      <c r="J29" s="33">
        <v>0.25</v>
      </c>
      <c r="K29" s="27">
        <v>52.5</v>
      </c>
      <c r="L29" s="27">
        <v>14.35</v>
      </c>
      <c r="M29" s="40"/>
      <c r="N29" s="27">
        <v>1.95</v>
      </c>
      <c r="O29" s="27">
        <v>3.18</v>
      </c>
      <c r="P29" s="27">
        <v>13.75</v>
      </c>
      <c r="Q29" s="27">
        <v>6.25</v>
      </c>
      <c r="R29" s="29">
        <v>2.75</v>
      </c>
      <c r="S29" s="27">
        <v>3.62</v>
      </c>
      <c r="T29" s="48">
        <f t="shared" si="0"/>
        <v>169.35</v>
      </c>
    </row>
    <row r="30" spans="1:20" x14ac:dyDescent="0.25">
      <c r="A30" s="660"/>
      <c r="B30" s="662"/>
      <c r="C30" s="39">
        <v>1000</v>
      </c>
      <c r="D30" s="27">
        <v>5</v>
      </c>
      <c r="E30" s="27">
        <v>2.5</v>
      </c>
      <c r="F30" s="27">
        <v>42</v>
      </c>
      <c r="G30" s="27">
        <v>36</v>
      </c>
      <c r="H30" s="33">
        <v>6</v>
      </c>
      <c r="I30" s="33">
        <v>8</v>
      </c>
      <c r="J30" s="33">
        <v>0.75</v>
      </c>
      <c r="K30" s="27">
        <v>60.5</v>
      </c>
      <c r="L30" s="27">
        <v>15.85</v>
      </c>
      <c r="M30" s="40"/>
      <c r="N30" s="27">
        <v>1.95</v>
      </c>
      <c r="O30" s="27">
        <v>3.55</v>
      </c>
      <c r="P30" s="27">
        <v>14.64</v>
      </c>
      <c r="Q30" s="27">
        <v>6.63</v>
      </c>
      <c r="R30" s="29">
        <v>2.75</v>
      </c>
      <c r="S30" s="27">
        <v>3.85</v>
      </c>
      <c r="T30" s="48">
        <f t="shared" si="0"/>
        <v>209.97</v>
      </c>
    </row>
    <row r="31" spans="1:20" x14ac:dyDescent="0.25">
      <c r="A31" s="660"/>
      <c r="B31" s="662"/>
      <c r="C31" s="39">
        <v>1250</v>
      </c>
      <c r="D31" s="27">
        <v>8</v>
      </c>
      <c r="E31" s="27">
        <v>5</v>
      </c>
      <c r="F31" s="27">
        <v>51</v>
      </c>
      <c r="G31" s="27">
        <v>45</v>
      </c>
      <c r="H31" s="33">
        <v>6</v>
      </c>
      <c r="I31" s="33">
        <v>8</v>
      </c>
      <c r="J31" s="33">
        <v>0.75</v>
      </c>
      <c r="K31" s="33"/>
      <c r="L31" s="33"/>
      <c r="M31" s="33"/>
      <c r="N31" s="33"/>
      <c r="O31" s="33"/>
      <c r="P31" s="33"/>
      <c r="Q31" s="33"/>
      <c r="R31" s="33"/>
      <c r="S31" s="33"/>
      <c r="T31" s="48">
        <f t="shared" si="0"/>
        <v>123.75</v>
      </c>
    </row>
    <row r="32" spans="1:20" x14ac:dyDescent="0.25">
      <c r="A32" s="660"/>
      <c r="B32" s="662"/>
      <c r="C32" s="39">
        <v>1600</v>
      </c>
      <c r="D32" s="27">
        <v>9</v>
      </c>
      <c r="E32" s="27">
        <v>4</v>
      </c>
      <c r="F32" s="27">
        <v>51</v>
      </c>
      <c r="G32" s="27">
        <v>45</v>
      </c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48">
        <f t="shared" si="0"/>
        <v>109</v>
      </c>
    </row>
    <row r="33" spans="1:20" x14ac:dyDescent="0.25">
      <c r="A33" s="660"/>
      <c r="B33" s="662"/>
      <c r="C33" s="39">
        <v>2000</v>
      </c>
      <c r="D33" s="27">
        <v>15</v>
      </c>
      <c r="E33" s="27">
        <v>9</v>
      </c>
      <c r="F33" s="27">
        <v>51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48">
        <f t="shared" si="0"/>
        <v>75</v>
      </c>
    </row>
    <row r="34" spans="1:20" x14ac:dyDescent="0.25">
      <c r="A34" s="653" t="s">
        <v>32</v>
      </c>
      <c r="B34" s="655" t="s">
        <v>31</v>
      </c>
      <c r="C34" s="52">
        <v>15</v>
      </c>
      <c r="D34" s="4">
        <v>1.5</v>
      </c>
      <c r="E34" s="4">
        <v>0.5</v>
      </c>
      <c r="F34" s="4">
        <v>19</v>
      </c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53"/>
      <c r="T34" s="54">
        <f t="shared" si="0"/>
        <v>21</v>
      </c>
    </row>
    <row r="35" spans="1:20" x14ac:dyDescent="0.25">
      <c r="A35" s="654"/>
      <c r="B35" s="656"/>
      <c r="C35" s="42">
        <v>30</v>
      </c>
      <c r="D35" s="27">
        <v>1.5</v>
      </c>
      <c r="E35" s="27">
        <v>0.5</v>
      </c>
      <c r="F35" s="27">
        <v>19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48"/>
      <c r="T35" s="43">
        <f t="shared" si="0"/>
        <v>21</v>
      </c>
    </row>
    <row r="36" spans="1:20" x14ac:dyDescent="0.25">
      <c r="A36" s="654"/>
      <c r="B36" s="656"/>
      <c r="C36" s="42">
        <v>45</v>
      </c>
      <c r="D36" s="27">
        <v>1.5</v>
      </c>
      <c r="E36" s="27">
        <v>0.5</v>
      </c>
      <c r="F36" s="27">
        <v>19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48"/>
      <c r="T36" s="43">
        <f t="shared" si="0"/>
        <v>21</v>
      </c>
    </row>
    <row r="37" spans="1:20" x14ac:dyDescent="0.25">
      <c r="A37" s="654"/>
      <c r="B37" s="656"/>
      <c r="C37" s="42">
        <v>75</v>
      </c>
      <c r="D37" s="27">
        <v>1.5</v>
      </c>
      <c r="E37" s="27">
        <v>0.5</v>
      </c>
      <c r="F37" s="27">
        <f t="shared" ref="F37:F45" si="1">F21+6</f>
        <v>24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48"/>
      <c r="T37" s="43">
        <f t="shared" si="0"/>
        <v>26</v>
      </c>
    </row>
    <row r="38" spans="1:20" x14ac:dyDescent="0.25">
      <c r="A38" s="654"/>
      <c r="B38" s="656"/>
      <c r="C38" s="42">
        <v>112.5</v>
      </c>
      <c r="D38" s="27">
        <v>1.5</v>
      </c>
      <c r="E38" s="27">
        <v>0.5</v>
      </c>
      <c r="F38" s="27">
        <f t="shared" si="1"/>
        <v>24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48"/>
      <c r="T38" s="43">
        <f t="shared" si="0"/>
        <v>26</v>
      </c>
    </row>
    <row r="39" spans="1:20" x14ac:dyDescent="0.25">
      <c r="A39" s="654"/>
      <c r="B39" s="656"/>
      <c r="C39" s="42">
        <v>150</v>
      </c>
      <c r="D39" s="27">
        <v>2</v>
      </c>
      <c r="E39" s="27">
        <v>0.5</v>
      </c>
      <c r="F39" s="27">
        <f t="shared" si="1"/>
        <v>24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48"/>
      <c r="T39" s="43">
        <f t="shared" si="0"/>
        <v>26.5</v>
      </c>
    </row>
    <row r="40" spans="1:20" x14ac:dyDescent="0.25">
      <c r="A40" s="654"/>
      <c r="B40" s="656"/>
      <c r="C40" s="42">
        <v>225</v>
      </c>
      <c r="D40" s="27">
        <v>2</v>
      </c>
      <c r="E40" s="27">
        <v>0.5</v>
      </c>
      <c r="F40" s="27">
        <f t="shared" si="1"/>
        <v>24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48"/>
      <c r="T40" s="43">
        <f t="shared" si="0"/>
        <v>26.5</v>
      </c>
    </row>
    <row r="41" spans="1:20" x14ac:dyDescent="0.25">
      <c r="A41" s="654"/>
      <c r="B41" s="656"/>
      <c r="C41" s="42">
        <v>300</v>
      </c>
      <c r="D41" s="27">
        <v>2</v>
      </c>
      <c r="E41" s="27">
        <v>0.75</v>
      </c>
      <c r="F41" s="27">
        <f t="shared" si="1"/>
        <v>24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48"/>
      <c r="T41" s="43">
        <f t="shared" si="0"/>
        <v>26.75</v>
      </c>
    </row>
    <row r="42" spans="1:20" x14ac:dyDescent="0.25">
      <c r="A42" s="654"/>
      <c r="B42" s="656"/>
      <c r="C42" s="42">
        <v>400</v>
      </c>
      <c r="D42" s="27">
        <v>2</v>
      </c>
      <c r="E42" s="27">
        <v>0.75</v>
      </c>
      <c r="F42" s="27">
        <f t="shared" si="1"/>
        <v>27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48"/>
      <c r="T42" s="43">
        <f t="shared" si="0"/>
        <v>29.75</v>
      </c>
    </row>
    <row r="43" spans="1:20" x14ac:dyDescent="0.25">
      <c r="A43" s="654"/>
      <c r="B43" s="656"/>
      <c r="C43" s="42">
        <v>500</v>
      </c>
      <c r="D43" s="27">
        <v>3</v>
      </c>
      <c r="E43" s="27">
        <v>0.75</v>
      </c>
      <c r="F43" s="27">
        <f t="shared" si="1"/>
        <v>33.5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48"/>
      <c r="T43" s="43">
        <f t="shared" si="0"/>
        <v>37.25</v>
      </c>
    </row>
    <row r="44" spans="1:20" x14ac:dyDescent="0.25">
      <c r="A44" s="654"/>
      <c r="B44" s="656"/>
      <c r="C44" s="42">
        <v>630</v>
      </c>
      <c r="D44" s="27">
        <v>3</v>
      </c>
      <c r="E44" s="27">
        <v>0.75</v>
      </c>
      <c r="F44" s="27">
        <f t="shared" si="1"/>
        <v>33.5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48"/>
      <c r="T44" s="43">
        <f t="shared" si="0"/>
        <v>37.25</v>
      </c>
    </row>
    <row r="45" spans="1:20" x14ac:dyDescent="0.25">
      <c r="A45" s="654"/>
      <c r="B45" s="656"/>
      <c r="C45" s="42">
        <v>800</v>
      </c>
      <c r="D45" s="27">
        <v>4</v>
      </c>
      <c r="E45" s="27">
        <v>1.25</v>
      </c>
      <c r="F45" s="27">
        <f t="shared" si="1"/>
        <v>41</v>
      </c>
      <c r="G45" s="33">
        <v>30</v>
      </c>
      <c r="H45" s="33">
        <v>2</v>
      </c>
      <c r="I45" s="33">
        <v>4</v>
      </c>
      <c r="J45" s="33">
        <v>0.25</v>
      </c>
      <c r="K45" s="33">
        <v>65</v>
      </c>
      <c r="L45" s="33">
        <v>15</v>
      </c>
      <c r="M45" s="33"/>
      <c r="N45" s="33">
        <v>2.5</v>
      </c>
      <c r="O45" s="33">
        <v>4.5</v>
      </c>
      <c r="P45" s="33">
        <f>12+8</f>
        <v>20</v>
      </c>
      <c r="Q45" s="33">
        <v>6</v>
      </c>
      <c r="R45" s="33">
        <v>3</v>
      </c>
      <c r="S45" s="48">
        <v>4</v>
      </c>
      <c r="T45" s="43">
        <f t="shared" si="0"/>
        <v>202.5</v>
      </c>
    </row>
    <row r="46" spans="1:20" x14ac:dyDescent="0.25">
      <c r="A46" s="654"/>
      <c r="B46" s="656"/>
      <c r="C46" s="42">
        <v>1000</v>
      </c>
      <c r="D46" s="27">
        <v>5</v>
      </c>
      <c r="E46" s="27">
        <v>2.5</v>
      </c>
      <c r="F46" s="27">
        <v>57</v>
      </c>
      <c r="G46" s="33">
        <f>6*9</f>
        <v>54</v>
      </c>
      <c r="H46" s="33">
        <v>7</v>
      </c>
      <c r="I46" s="33">
        <v>5.5</v>
      </c>
      <c r="J46" s="33">
        <v>5</v>
      </c>
      <c r="K46" s="33">
        <f>(3*11)+12</f>
        <v>45</v>
      </c>
      <c r="L46" s="33">
        <v>15.85</v>
      </c>
      <c r="M46" s="33"/>
      <c r="N46" s="33">
        <v>4</v>
      </c>
      <c r="O46" s="33">
        <v>75</v>
      </c>
      <c r="P46" s="33">
        <f>(7*2)+7</f>
        <v>21</v>
      </c>
      <c r="Q46" s="33">
        <v>9</v>
      </c>
      <c r="R46" s="33">
        <v>3</v>
      </c>
      <c r="S46" s="48">
        <v>6</v>
      </c>
      <c r="T46" s="43">
        <f t="shared" si="0"/>
        <v>314.85000000000002</v>
      </c>
    </row>
    <row r="47" spans="1:20" x14ac:dyDescent="0.25">
      <c r="A47" s="654"/>
      <c r="B47" s="656"/>
      <c r="C47" s="42">
        <v>1250</v>
      </c>
      <c r="D47" s="27">
        <v>7</v>
      </c>
      <c r="E47" s="27">
        <v>2.5</v>
      </c>
      <c r="F47" s="27">
        <f>F31+6</f>
        <v>57</v>
      </c>
      <c r="G47" s="33">
        <v>54</v>
      </c>
      <c r="H47" s="33">
        <v>7</v>
      </c>
      <c r="I47" s="33">
        <v>5.5</v>
      </c>
      <c r="J47" s="33">
        <v>5</v>
      </c>
      <c r="K47" s="33"/>
      <c r="L47" s="33"/>
      <c r="M47" s="33"/>
      <c r="N47" s="33"/>
      <c r="O47" s="33"/>
      <c r="P47" s="33"/>
      <c r="Q47" s="33"/>
      <c r="R47" s="33"/>
      <c r="S47" s="48"/>
      <c r="T47" s="43">
        <f t="shared" si="0"/>
        <v>138</v>
      </c>
    </row>
    <row r="48" spans="1:20" x14ac:dyDescent="0.25">
      <c r="A48" s="654"/>
      <c r="B48" s="656"/>
      <c r="C48" s="42">
        <v>1600</v>
      </c>
      <c r="D48" s="27">
        <v>9</v>
      </c>
      <c r="E48" s="27">
        <v>4</v>
      </c>
      <c r="F48" s="27">
        <f>F32+6</f>
        <v>57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48"/>
      <c r="T48" s="43">
        <f t="shared" si="0"/>
        <v>70</v>
      </c>
    </row>
    <row r="49" spans="1:20" ht="15.75" thickBot="1" x14ac:dyDescent="0.3">
      <c r="A49" s="654"/>
      <c r="B49" s="656"/>
      <c r="C49" s="42">
        <v>2000</v>
      </c>
      <c r="D49" s="27">
        <v>15</v>
      </c>
      <c r="E49" s="27">
        <v>9</v>
      </c>
      <c r="F49" s="27">
        <f>F33+6</f>
        <v>57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48"/>
      <c r="T49" s="43">
        <f t="shared" si="0"/>
        <v>81</v>
      </c>
    </row>
    <row r="50" spans="1:20" x14ac:dyDescent="0.25">
      <c r="A50" s="665" t="s">
        <v>21</v>
      </c>
      <c r="B50" s="668" t="s">
        <v>33</v>
      </c>
      <c r="C50" s="59">
        <v>15</v>
      </c>
      <c r="D50" s="6">
        <v>2</v>
      </c>
      <c r="E50" s="6">
        <v>0.75</v>
      </c>
      <c r="F50" s="6" t="s">
        <v>20</v>
      </c>
      <c r="G50" s="46">
        <v>28</v>
      </c>
      <c r="H50" s="46">
        <v>1.25</v>
      </c>
      <c r="I50" s="46">
        <v>2.5</v>
      </c>
      <c r="J50" s="46"/>
      <c r="K50" s="55">
        <v>32.5</v>
      </c>
      <c r="L50" s="56">
        <v>6.85</v>
      </c>
      <c r="M50" s="60" t="s">
        <v>20</v>
      </c>
      <c r="N50" s="6">
        <v>1.95</v>
      </c>
      <c r="O50" s="7">
        <v>1.2</v>
      </c>
      <c r="P50" s="7">
        <v>8.5</v>
      </c>
      <c r="Q50" s="7">
        <v>4.45</v>
      </c>
      <c r="R50" s="7">
        <v>1.5</v>
      </c>
      <c r="S50" s="6">
        <v>2.0499999999999998</v>
      </c>
      <c r="T50" s="47">
        <f t="shared" si="0"/>
        <v>93.5</v>
      </c>
    </row>
    <row r="51" spans="1:20" x14ac:dyDescent="0.25">
      <c r="A51" s="666"/>
      <c r="B51" s="669"/>
      <c r="C51" s="30">
        <v>30</v>
      </c>
      <c r="D51" s="27">
        <v>2</v>
      </c>
      <c r="E51" s="27">
        <v>0.75</v>
      </c>
      <c r="F51" s="27" t="s">
        <v>20</v>
      </c>
      <c r="G51" s="33">
        <v>28</v>
      </c>
      <c r="H51" s="33">
        <v>1.25</v>
      </c>
      <c r="I51" s="33">
        <v>2.5</v>
      </c>
      <c r="J51" s="33">
        <v>0.25</v>
      </c>
      <c r="K51" s="34">
        <v>32.5</v>
      </c>
      <c r="L51" s="28">
        <v>6.85</v>
      </c>
      <c r="M51" s="35" t="s">
        <v>20</v>
      </c>
      <c r="N51" s="27">
        <v>1.95</v>
      </c>
      <c r="O51" s="29">
        <v>1.2</v>
      </c>
      <c r="P51" s="29">
        <v>8.5</v>
      </c>
      <c r="Q51" s="29">
        <v>4.45</v>
      </c>
      <c r="R51" s="29">
        <v>1.5</v>
      </c>
      <c r="S51" s="27">
        <v>2.0499999999999998</v>
      </c>
      <c r="T51" s="48">
        <f t="shared" si="0"/>
        <v>93.75</v>
      </c>
    </row>
    <row r="52" spans="1:20" x14ac:dyDescent="0.25">
      <c r="A52" s="666"/>
      <c r="B52" s="669"/>
      <c r="C52" s="30">
        <v>45</v>
      </c>
      <c r="D52" s="27">
        <v>2</v>
      </c>
      <c r="E52" s="27">
        <v>0.75</v>
      </c>
      <c r="F52" s="27" t="s">
        <v>41</v>
      </c>
      <c r="G52" s="33">
        <v>28</v>
      </c>
      <c r="H52" s="33">
        <v>1.25</v>
      </c>
      <c r="I52" s="33">
        <v>2.5</v>
      </c>
      <c r="J52" s="33"/>
      <c r="K52" s="34">
        <v>32.5</v>
      </c>
      <c r="L52" s="28">
        <v>6.85</v>
      </c>
      <c r="M52" s="35" t="s">
        <v>20</v>
      </c>
      <c r="N52" s="27">
        <v>1.95</v>
      </c>
      <c r="O52" s="29">
        <v>1.2</v>
      </c>
      <c r="P52" s="29">
        <v>8.5</v>
      </c>
      <c r="Q52" s="29">
        <v>4.45</v>
      </c>
      <c r="R52" s="29">
        <v>1.5</v>
      </c>
      <c r="S52" s="27">
        <v>2.0499999999999998</v>
      </c>
      <c r="T52" s="48">
        <f t="shared" si="0"/>
        <v>93.5</v>
      </c>
    </row>
    <row r="53" spans="1:20" x14ac:dyDescent="0.25">
      <c r="A53" s="666"/>
      <c r="B53" s="669"/>
      <c r="C53" s="30">
        <v>75</v>
      </c>
      <c r="D53" s="27">
        <v>2</v>
      </c>
      <c r="E53" s="27">
        <v>0.75</v>
      </c>
      <c r="F53" s="27" t="s">
        <v>20</v>
      </c>
      <c r="G53" s="33">
        <v>32</v>
      </c>
      <c r="H53" s="33">
        <v>1.25</v>
      </c>
      <c r="I53" s="33">
        <v>2.5</v>
      </c>
      <c r="J53" s="33">
        <v>0.25</v>
      </c>
      <c r="K53" s="34">
        <v>17.649999999999999</v>
      </c>
      <c r="L53" s="28">
        <v>6.96</v>
      </c>
      <c r="M53" s="35" t="s">
        <v>20</v>
      </c>
      <c r="N53" s="27">
        <v>1.95</v>
      </c>
      <c r="O53" s="29">
        <v>1.45</v>
      </c>
      <c r="P53" s="29">
        <v>8.5</v>
      </c>
      <c r="Q53" s="29">
        <v>4.6500000000000004</v>
      </c>
      <c r="R53" s="29">
        <v>1.5</v>
      </c>
      <c r="S53" s="27">
        <v>2.4500000000000002</v>
      </c>
      <c r="T53" s="48">
        <f t="shared" si="0"/>
        <v>83.860000000000014</v>
      </c>
    </row>
    <row r="54" spans="1:20" x14ac:dyDescent="0.25">
      <c r="A54" s="666"/>
      <c r="B54" s="669"/>
      <c r="C54" s="30">
        <v>112.5</v>
      </c>
      <c r="D54" s="27">
        <v>2</v>
      </c>
      <c r="E54" s="27">
        <v>0.75</v>
      </c>
      <c r="F54" s="27">
        <v>6</v>
      </c>
      <c r="G54" s="33">
        <v>32</v>
      </c>
      <c r="H54" s="33">
        <v>1.25</v>
      </c>
      <c r="I54" s="33">
        <v>2.5</v>
      </c>
      <c r="J54" s="33">
        <v>0.25</v>
      </c>
      <c r="K54" s="34">
        <v>19.91</v>
      </c>
      <c r="L54" s="28">
        <v>7.75</v>
      </c>
      <c r="M54" s="35" t="s">
        <v>20</v>
      </c>
      <c r="N54" s="27">
        <v>1.95</v>
      </c>
      <c r="O54" s="29">
        <v>1.57</v>
      </c>
      <c r="P54" s="29">
        <v>8.83</v>
      </c>
      <c r="Q54" s="29">
        <v>4.71</v>
      </c>
      <c r="R54" s="29">
        <v>2</v>
      </c>
      <c r="S54" s="27">
        <v>2.63</v>
      </c>
      <c r="T54" s="48">
        <f t="shared" si="0"/>
        <v>94.09999999999998</v>
      </c>
    </row>
    <row r="55" spans="1:20" x14ac:dyDescent="0.25">
      <c r="A55" s="666"/>
      <c r="B55" s="669"/>
      <c r="C55" s="30">
        <v>150</v>
      </c>
      <c r="D55" s="27" t="s">
        <v>39</v>
      </c>
      <c r="E55" s="27">
        <v>0.75</v>
      </c>
      <c r="F55" s="27">
        <v>6</v>
      </c>
      <c r="G55" s="33">
        <v>32</v>
      </c>
      <c r="H55" s="33">
        <v>1.25</v>
      </c>
      <c r="I55" s="33">
        <v>2.5</v>
      </c>
      <c r="J55" s="33">
        <v>0.25</v>
      </c>
      <c r="K55" s="34">
        <v>18.920000000000002</v>
      </c>
      <c r="L55" s="28">
        <v>7.98</v>
      </c>
      <c r="M55" s="35" t="s">
        <v>20</v>
      </c>
      <c r="N55" s="27">
        <v>1.95</v>
      </c>
      <c r="O55" s="29">
        <v>1.77</v>
      </c>
      <c r="P55" s="29">
        <v>8.83</v>
      </c>
      <c r="Q55" s="29">
        <v>5.97</v>
      </c>
      <c r="R55" s="29">
        <v>2</v>
      </c>
      <c r="S55" s="27">
        <v>2.71</v>
      </c>
      <c r="T55" s="48">
        <f t="shared" si="0"/>
        <v>92.88</v>
      </c>
    </row>
    <row r="56" spans="1:20" x14ac:dyDescent="0.25">
      <c r="A56" s="666"/>
      <c r="B56" s="669"/>
      <c r="C56" s="30">
        <v>225</v>
      </c>
      <c r="D56" s="27">
        <v>2.25</v>
      </c>
      <c r="E56" s="27">
        <v>0.75</v>
      </c>
      <c r="F56" s="27">
        <v>8</v>
      </c>
      <c r="G56" s="33">
        <v>32</v>
      </c>
      <c r="H56" s="33">
        <v>1.25</v>
      </c>
      <c r="I56" s="33">
        <v>2.5</v>
      </c>
      <c r="J56" s="33">
        <v>0.25</v>
      </c>
      <c r="K56" s="34">
        <v>22.98</v>
      </c>
      <c r="L56" s="28">
        <v>8.0500000000000007</v>
      </c>
      <c r="M56" s="35" t="s">
        <v>20</v>
      </c>
      <c r="N56" s="27">
        <v>1.95</v>
      </c>
      <c r="O56" s="29">
        <v>1.98</v>
      </c>
      <c r="P56" s="29">
        <v>9.5</v>
      </c>
      <c r="Q56" s="29">
        <v>5.14</v>
      </c>
      <c r="R56" s="29">
        <v>2</v>
      </c>
      <c r="S56" s="27">
        <v>3.15</v>
      </c>
      <c r="T56" s="48">
        <f t="shared" si="0"/>
        <v>101.75000000000001</v>
      </c>
    </row>
    <row r="57" spans="1:20" x14ac:dyDescent="0.25">
      <c r="A57" s="666"/>
      <c r="B57" s="669"/>
      <c r="C57" s="30">
        <v>300</v>
      </c>
      <c r="D57" s="27">
        <v>2.25</v>
      </c>
      <c r="E57" s="27">
        <v>1</v>
      </c>
      <c r="F57" s="27">
        <v>8</v>
      </c>
      <c r="G57" s="33">
        <v>32</v>
      </c>
      <c r="H57" s="33">
        <v>1.25</v>
      </c>
      <c r="I57" s="33">
        <v>2.5</v>
      </c>
      <c r="J57" s="33">
        <v>0.25</v>
      </c>
      <c r="K57" s="34">
        <v>28.83</v>
      </c>
      <c r="L57" s="28">
        <v>10.25</v>
      </c>
      <c r="M57" s="35" t="s">
        <v>20</v>
      </c>
      <c r="N57" s="27">
        <v>1.95</v>
      </c>
      <c r="O57" s="29">
        <v>2.4500000000000002</v>
      </c>
      <c r="P57" s="29">
        <v>10.25</v>
      </c>
      <c r="Q57" s="29">
        <v>5.47</v>
      </c>
      <c r="R57" s="29">
        <v>2</v>
      </c>
      <c r="S57" s="27">
        <v>3.18</v>
      </c>
      <c r="T57" s="48">
        <f t="shared" si="0"/>
        <v>111.63000000000001</v>
      </c>
    </row>
    <row r="58" spans="1:20" x14ac:dyDescent="0.25">
      <c r="A58" s="666"/>
      <c r="B58" s="669"/>
      <c r="C58" s="30">
        <v>400</v>
      </c>
      <c r="D58" s="27">
        <v>2.25</v>
      </c>
      <c r="E58" s="27">
        <v>1</v>
      </c>
      <c r="F58" s="27">
        <v>8</v>
      </c>
      <c r="G58" s="33">
        <v>32</v>
      </c>
      <c r="H58" s="33">
        <v>1.5</v>
      </c>
      <c r="I58" s="33">
        <v>2.5</v>
      </c>
      <c r="J58" s="33">
        <v>0.25</v>
      </c>
      <c r="K58" s="34">
        <v>32.799999999999997</v>
      </c>
      <c r="L58" s="28">
        <v>10.75</v>
      </c>
      <c r="M58" s="35" t="s">
        <v>20</v>
      </c>
      <c r="N58" s="27">
        <v>1.95</v>
      </c>
      <c r="O58" s="29">
        <v>2.48</v>
      </c>
      <c r="P58" s="29">
        <v>10.83</v>
      </c>
      <c r="Q58" s="29">
        <v>5.75</v>
      </c>
      <c r="R58" s="29">
        <v>2</v>
      </c>
      <c r="S58" s="27">
        <v>3.34</v>
      </c>
      <c r="T58" s="48">
        <f t="shared" si="0"/>
        <v>117.4</v>
      </c>
    </row>
    <row r="59" spans="1:20" x14ac:dyDescent="0.25">
      <c r="A59" s="666"/>
      <c r="B59" s="669"/>
      <c r="C59" s="30">
        <v>500</v>
      </c>
      <c r="D59" s="27">
        <v>2.75</v>
      </c>
      <c r="E59" s="27">
        <v>1</v>
      </c>
      <c r="F59" s="27">
        <v>27.5</v>
      </c>
      <c r="G59" s="33">
        <v>38</v>
      </c>
      <c r="H59" s="33">
        <v>1.5</v>
      </c>
      <c r="I59" s="33">
        <v>3</v>
      </c>
      <c r="J59" s="33">
        <v>0.25</v>
      </c>
      <c r="K59" s="34">
        <v>34.93</v>
      </c>
      <c r="L59" s="28">
        <v>11.73</v>
      </c>
      <c r="M59" s="35" t="s">
        <v>20</v>
      </c>
      <c r="N59" s="27">
        <v>1.95</v>
      </c>
      <c r="O59" s="29">
        <v>2.72</v>
      </c>
      <c r="P59" s="29">
        <v>11.05</v>
      </c>
      <c r="Q59" s="29">
        <v>6.05</v>
      </c>
      <c r="R59" s="29">
        <v>2</v>
      </c>
      <c r="S59" s="27">
        <v>3.38</v>
      </c>
      <c r="T59" s="48">
        <f t="shared" si="0"/>
        <v>147.81000000000003</v>
      </c>
    </row>
    <row r="60" spans="1:20" x14ac:dyDescent="0.25">
      <c r="A60" s="666"/>
      <c r="B60" s="669"/>
      <c r="C60" s="30">
        <v>630</v>
      </c>
      <c r="D60" s="27">
        <v>2.75</v>
      </c>
      <c r="E60" s="27">
        <v>1.25</v>
      </c>
      <c r="F60" s="27">
        <v>27.5</v>
      </c>
      <c r="G60" s="33"/>
      <c r="H60" s="33"/>
      <c r="I60" s="33"/>
      <c r="J60" s="33"/>
      <c r="K60" s="27">
        <v>46.5</v>
      </c>
      <c r="L60" s="27">
        <v>13.45</v>
      </c>
      <c r="M60" s="35" t="s">
        <v>20</v>
      </c>
      <c r="N60" s="27">
        <v>1.95</v>
      </c>
      <c r="O60" s="29">
        <v>2.93</v>
      </c>
      <c r="P60" s="29">
        <v>12.63</v>
      </c>
      <c r="Q60" s="29">
        <v>6.98</v>
      </c>
      <c r="R60" s="29">
        <v>2.75</v>
      </c>
      <c r="S60" s="27">
        <v>3.55</v>
      </c>
      <c r="T60" s="48">
        <f t="shared" ref="T60:T102" si="2">SUM(D60:S60)</f>
        <v>122.24000000000001</v>
      </c>
    </row>
    <row r="61" spans="1:20" x14ac:dyDescent="0.25">
      <c r="A61" s="666"/>
      <c r="B61" s="669"/>
      <c r="C61" s="30">
        <v>800</v>
      </c>
      <c r="D61" s="27">
        <v>3</v>
      </c>
      <c r="E61" s="27">
        <v>1.5</v>
      </c>
      <c r="F61" s="27">
        <v>35</v>
      </c>
      <c r="G61" s="33"/>
      <c r="H61" s="33"/>
      <c r="I61" s="33"/>
      <c r="J61" s="33"/>
      <c r="K61" s="27">
        <v>52.5</v>
      </c>
      <c r="L61" s="27">
        <v>14.35</v>
      </c>
      <c r="M61" s="35" t="s">
        <v>20</v>
      </c>
      <c r="N61" s="27">
        <v>1.95</v>
      </c>
      <c r="O61" s="27">
        <v>3.18</v>
      </c>
      <c r="P61" s="27">
        <v>13.75</v>
      </c>
      <c r="Q61" s="27">
        <v>7.25</v>
      </c>
      <c r="R61" s="29">
        <v>2.75</v>
      </c>
      <c r="S61" s="27">
        <v>3.62</v>
      </c>
      <c r="T61" s="48">
        <f t="shared" si="2"/>
        <v>138.85000000000002</v>
      </c>
    </row>
    <row r="62" spans="1:20" x14ac:dyDescent="0.25">
      <c r="A62" s="666"/>
      <c r="B62" s="669"/>
      <c r="C62" s="30">
        <v>1000</v>
      </c>
      <c r="D62" s="27">
        <v>7</v>
      </c>
      <c r="E62" s="27">
        <v>2</v>
      </c>
      <c r="F62" s="27">
        <v>42</v>
      </c>
      <c r="G62" s="33"/>
      <c r="H62" s="33"/>
      <c r="I62" s="33"/>
      <c r="J62" s="33"/>
      <c r="K62" s="27">
        <v>60.5</v>
      </c>
      <c r="L62" s="27">
        <v>15.85</v>
      </c>
      <c r="M62" s="35" t="s">
        <v>20</v>
      </c>
      <c r="N62" s="27">
        <v>1.95</v>
      </c>
      <c r="O62" s="27">
        <v>3.55</v>
      </c>
      <c r="P62" s="27">
        <v>14.64</v>
      </c>
      <c r="Q62" s="27">
        <v>7.63</v>
      </c>
      <c r="R62" s="29">
        <v>2.75</v>
      </c>
      <c r="S62" s="27">
        <v>3.85</v>
      </c>
      <c r="T62" s="48">
        <f t="shared" si="2"/>
        <v>161.72</v>
      </c>
    </row>
    <row r="63" spans="1:20" x14ac:dyDescent="0.25">
      <c r="A63" s="666"/>
      <c r="B63" s="669"/>
      <c r="C63" s="30">
        <v>1250</v>
      </c>
      <c r="D63" s="27">
        <v>9</v>
      </c>
      <c r="E63" s="27">
        <v>2.5</v>
      </c>
      <c r="F63" s="27">
        <v>51</v>
      </c>
      <c r="G63" s="33"/>
      <c r="H63" s="33"/>
      <c r="I63" s="33"/>
      <c r="J63" s="33"/>
      <c r="K63" s="33"/>
      <c r="L63" s="33"/>
      <c r="M63" s="35" t="s">
        <v>20</v>
      </c>
      <c r="N63" s="33"/>
      <c r="O63" s="33"/>
      <c r="P63" s="33"/>
      <c r="Q63" s="33"/>
      <c r="R63" s="33"/>
      <c r="S63" s="33"/>
      <c r="T63" s="48">
        <f t="shared" si="2"/>
        <v>62.5</v>
      </c>
    </row>
    <row r="64" spans="1:20" x14ac:dyDescent="0.25">
      <c r="A64" s="666"/>
      <c r="B64" s="669"/>
      <c r="C64" s="30">
        <v>1600</v>
      </c>
      <c r="D64" s="27">
        <v>9</v>
      </c>
      <c r="E64" s="27">
        <v>3</v>
      </c>
      <c r="F64" s="27">
        <v>51</v>
      </c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48">
        <f t="shared" si="2"/>
        <v>63</v>
      </c>
    </row>
    <row r="65" spans="1:20" ht="15.75" thickBot="1" x14ac:dyDescent="0.3">
      <c r="A65" s="667"/>
      <c r="B65" s="670"/>
      <c r="C65" s="61">
        <v>2000</v>
      </c>
      <c r="D65" s="8">
        <v>15</v>
      </c>
      <c r="E65" s="8">
        <v>5</v>
      </c>
      <c r="F65" s="8">
        <v>51</v>
      </c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50">
        <f t="shared" si="2"/>
        <v>71</v>
      </c>
    </row>
    <row r="66" spans="1:20" x14ac:dyDescent="0.25">
      <c r="A66" s="671" t="s">
        <v>21</v>
      </c>
      <c r="B66" s="674" t="s">
        <v>34</v>
      </c>
      <c r="C66" s="65">
        <v>15</v>
      </c>
      <c r="D66" s="6">
        <v>1.5</v>
      </c>
      <c r="E66" s="6">
        <v>0.75</v>
      </c>
      <c r="F66" s="6" t="s">
        <v>20</v>
      </c>
      <c r="G66" s="46"/>
      <c r="H66" s="46"/>
      <c r="I66" s="46"/>
      <c r="J66" s="46"/>
      <c r="K66" s="55">
        <v>16.71</v>
      </c>
      <c r="L66" s="56">
        <v>6.85</v>
      </c>
      <c r="M66" s="60" t="s">
        <v>20</v>
      </c>
      <c r="N66" s="6">
        <v>1.95</v>
      </c>
      <c r="O66" s="7">
        <v>1.2</v>
      </c>
      <c r="P66" s="7">
        <v>6.75</v>
      </c>
      <c r="Q66" s="7">
        <v>3.45</v>
      </c>
      <c r="R66" s="7">
        <v>1.5</v>
      </c>
      <c r="S66" s="6">
        <v>2.0499999999999998</v>
      </c>
      <c r="T66" s="47">
        <f t="shared" si="2"/>
        <v>42.71</v>
      </c>
    </row>
    <row r="67" spans="1:20" x14ac:dyDescent="0.25">
      <c r="A67" s="672"/>
      <c r="B67" s="510"/>
      <c r="C67" s="31">
        <v>30</v>
      </c>
      <c r="D67" s="27">
        <v>1.5</v>
      </c>
      <c r="E67" s="27">
        <v>0.75</v>
      </c>
      <c r="F67" s="27" t="s">
        <v>20</v>
      </c>
      <c r="G67" s="33"/>
      <c r="H67" s="33"/>
      <c r="I67" s="33"/>
      <c r="J67" s="33"/>
      <c r="K67" s="34">
        <v>16.71</v>
      </c>
      <c r="L67" s="28">
        <v>6.85</v>
      </c>
      <c r="M67" s="35" t="s">
        <v>20</v>
      </c>
      <c r="N67" s="27">
        <v>1.95</v>
      </c>
      <c r="O67" s="29">
        <v>1.2</v>
      </c>
      <c r="P67" s="29">
        <v>6.75</v>
      </c>
      <c r="Q67" s="29">
        <v>3.45</v>
      </c>
      <c r="R67" s="29">
        <v>1.5</v>
      </c>
      <c r="S67" s="27">
        <v>2.0499999999999998</v>
      </c>
      <c r="T67" s="48">
        <f t="shared" si="2"/>
        <v>42.71</v>
      </c>
    </row>
    <row r="68" spans="1:20" x14ac:dyDescent="0.25">
      <c r="A68" s="672"/>
      <c r="B68" s="510"/>
      <c r="C68" s="31">
        <v>45</v>
      </c>
      <c r="D68" s="27">
        <v>1.5</v>
      </c>
      <c r="E68" s="27">
        <v>0.75</v>
      </c>
      <c r="F68" s="27" t="s">
        <v>41</v>
      </c>
      <c r="G68" s="33"/>
      <c r="H68" s="33"/>
      <c r="I68" s="33"/>
      <c r="J68" s="33"/>
      <c r="K68" s="34">
        <v>16.71</v>
      </c>
      <c r="L68" s="28">
        <v>6.85</v>
      </c>
      <c r="M68" s="35" t="s">
        <v>20</v>
      </c>
      <c r="N68" s="27">
        <v>1.95</v>
      </c>
      <c r="O68" s="29">
        <v>1.2</v>
      </c>
      <c r="P68" s="29">
        <v>6.75</v>
      </c>
      <c r="Q68" s="29">
        <v>3.45</v>
      </c>
      <c r="R68" s="29">
        <v>1.5</v>
      </c>
      <c r="S68" s="27">
        <v>2.0499999999999998</v>
      </c>
      <c r="T68" s="48">
        <f t="shared" si="2"/>
        <v>42.71</v>
      </c>
    </row>
    <row r="69" spans="1:20" x14ac:dyDescent="0.25">
      <c r="A69" s="672"/>
      <c r="B69" s="510"/>
      <c r="C69" s="31">
        <v>75</v>
      </c>
      <c r="D69" s="27">
        <v>1.5</v>
      </c>
      <c r="E69" s="27">
        <v>0.75</v>
      </c>
      <c r="F69" s="27">
        <v>21</v>
      </c>
      <c r="G69" s="33"/>
      <c r="H69" s="33"/>
      <c r="I69" s="33"/>
      <c r="J69" s="33"/>
      <c r="K69" s="34">
        <v>17.649999999999999</v>
      </c>
      <c r="L69" s="28">
        <v>6.96</v>
      </c>
      <c r="M69" s="36"/>
      <c r="N69" s="27">
        <v>1.95</v>
      </c>
      <c r="O69" s="29">
        <v>1.45</v>
      </c>
      <c r="P69" s="29">
        <v>6.92</v>
      </c>
      <c r="Q69" s="29">
        <v>3.65</v>
      </c>
      <c r="R69" s="29">
        <v>1.5</v>
      </c>
      <c r="S69" s="27">
        <v>2.4500000000000002</v>
      </c>
      <c r="T69" s="48">
        <f t="shared" si="2"/>
        <v>65.78</v>
      </c>
    </row>
    <row r="70" spans="1:20" x14ac:dyDescent="0.25">
      <c r="A70" s="672"/>
      <c r="B70" s="510"/>
      <c r="C70" s="31">
        <v>112.5</v>
      </c>
      <c r="D70" s="27">
        <v>1.5</v>
      </c>
      <c r="E70" s="27">
        <v>0.75</v>
      </c>
      <c r="F70" s="27">
        <v>21</v>
      </c>
      <c r="G70" s="33"/>
      <c r="H70" s="33"/>
      <c r="I70" s="33"/>
      <c r="J70" s="33"/>
      <c r="K70" s="34">
        <v>19.91</v>
      </c>
      <c r="L70" s="28">
        <v>7.75</v>
      </c>
      <c r="M70" s="36"/>
      <c r="N70" s="27">
        <v>1.95</v>
      </c>
      <c r="O70" s="29">
        <v>1.57</v>
      </c>
      <c r="P70" s="29">
        <v>7.23</v>
      </c>
      <c r="Q70" s="29">
        <v>3.71</v>
      </c>
      <c r="R70" s="29">
        <v>2</v>
      </c>
      <c r="S70" s="27">
        <v>2.63</v>
      </c>
      <c r="T70" s="48">
        <f t="shared" si="2"/>
        <v>69.999999999999986</v>
      </c>
    </row>
    <row r="71" spans="1:20" x14ac:dyDescent="0.25">
      <c r="A71" s="672"/>
      <c r="B71" s="510"/>
      <c r="C71" s="31">
        <v>150</v>
      </c>
      <c r="D71" s="27">
        <v>2</v>
      </c>
      <c r="E71" s="27">
        <v>0.75</v>
      </c>
      <c r="F71" s="27">
        <v>21</v>
      </c>
      <c r="G71" s="33"/>
      <c r="H71" s="33"/>
      <c r="I71" s="33"/>
      <c r="J71" s="33"/>
      <c r="K71" s="34">
        <v>18.920000000000002</v>
      </c>
      <c r="L71" s="28">
        <v>7.98</v>
      </c>
      <c r="M71" s="36"/>
      <c r="N71" s="27">
        <v>1.95</v>
      </c>
      <c r="O71" s="29">
        <v>1.77</v>
      </c>
      <c r="P71" s="29">
        <v>7.83</v>
      </c>
      <c r="Q71" s="29">
        <v>3.97</v>
      </c>
      <c r="R71" s="29">
        <v>2</v>
      </c>
      <c r="S71" s="27">
        <v>2.71</v>
      </c>
      <c r="T71" s="48">
        <f t="shared" si="2"/>
        <v>70.88000000000001</v>
      </c>
    </row>
    <row r="72" spans="1:20" x14ac:dyDescent="0.25">
      <c r="A72" s="672"/>
      <c r="B72" s="510"/>
      <c r="C72" s="31">
        <v>225</v>
      </c>
      <c r="D72" s="27">
        <v>2</v>
      </c>
      <c r="E72" s="27">
        <v>0.75</v>
      </c>
      <c r="F72" s="27">
        <v>21</v>
      </c>
      <c r="G72" s="33"/>
      <c r="H72" s="33"/>
      <c r="I72" s="33"/>
      <c r="J72" s="33"/>
      <c r="K72" s="34">
        <v>22.98</v>
      </c>
      <c r="L72" s="28">
        <v>8.0500000000000007</v>
      </c>
      <c r="M72" s="36"/>
      <c r="N72" s="27">
        <v>1.95</v>
      </c>
      <c r="O72" s="29">
        <v>1.98</v>
      </c>
      <c r="P72" s="29">
        <v>8.5</v>
      </c>
      <c r="Q72" s="29">
        <v>4.1399999999999997</v>
      </c>
      <c r="R72" s="29">
        <v>2</v>
      </c>
      <c r="S72" s="27">
        <v>3.15</v>
      </c>
      <c r="T72" s="48">
        <f t="shared" si="2"/>
        <v>76.500000000000014</v>
      </c>
    </row>
    <row r="73" spans="1:20" x14ac:dyDescent="0.25">
      <c r="A73" s="672"/>
      <c r="B73" s="510"/>
      <c r="C73" s="31">
        <v>300</v>
      </c>
      <c r="D73" s="27">
        <v>2</v>
      </c>
      <c r="E73" s="27">
        <v>1</v>
      </c>
      <c r="F73" s="27">
        <v>21</v>
      </c>
      <c r="G73" s="33"/>
      <c r="H73" s="33"/>
      <c r="I73" s="33"/>
      <c r="J73" s="33"/>
      <c r="K73" s="34">
        <v>28.83</v>
      </c>
      <c r="L73" s="28">
        <v>10.25</v>
      </c>
      <c r="M73" s="36"/>
      <c r="N73" s="27">
        <v>1.95</v>
      </c>
      <c r="O73" s="29">
        <v>2.4500000000000002</v>
      </c>
      <c r="P73" s="29">
        <v>10.25</v>
      </c>
      <c r="Q73" s="29">
        <v>4.47</v>
      </c>
      <c r="R73" s="29">
        <v>2</v>
      </c>
      <c r="S73" s="27">
        <v>3.18</v>
      </c>
      <c r="T73" s="48">
        <f t="shared" si="2"/>
        <v>87.38000000000001</v>
      </c>
    </row>
    <row r="74" spans="1:20" ht="15.75" thickBot="1" x14ac:dyDescent="0.3">
      <c r="A74" s="672"/>
      <c r="B74" s="510"/>
      <c r="C74" s="31">
        <v>400</v>
      </c>
      <c r="D74" s="27">
        <v>2</v>
      </c>
      <c r="E74" s="27">
        <v>1</v>
      </c>
      <c r="F74" s="27">
        <v>21</v>
      </c>
      <c r="G74" s="33"/>
      <c r="H74" s="33"/>
      <c r="I74" s="33"/>
      <c r="J74" s="33"/>
      <c r="K74" s="34">
        <v>32.799999999999997</v>
      </c>
      <c r="L74" s="28">
        <v>10.75</v>
      </c>
      <c r="M74" s="36"/>
      <c r="N74" s="27">
        <v>1.95</v>
      </c>
      <c r="O74" s="29">
        <v>2.48</v>
      </c>
      <c r="P74" s="29">
        <v>10.83</v>
      </c>
      <c r="Q74" s="29">
        <v>4.75</v>
      </c>
      <c r="R74" s="29">
        <v>2</v>
      </c>
      <c r="S74" s="27">
        <v>3.34</v>
      </c>
      <c r="T74" s="58">
        <f t="shared" si="2"/>
        <v>92.9</v>
      </c>
    </row>
    <row r="75" spans="1:20" ht="15.75" thickBot="1" x14ac:dyDescent="0.3">
      <c r="A75" s="672"/>
      <c r="B75" s="510"/>
      <c r="C75" s="31">
        <v>500</v>
      </c>
      <c r="D75" s="27">
        <v>3</v>
      </c>
      <c r="E75" s="27">
        <v>1</v>
      </c>
      <c r="F75" s="27">
        <v>27.5</v>
      </c>
      <c r="G75" s="33"/>
      <c r="H75" s="33"/>
      <c r="I75" s="33"/>
      <c r="J75" s="33"/>
      <c r="K75" s="34">
        <v>34.93</v>
      </c>
      <c r="L75" s="28">
        <v>11.73</v>
      </c>
      <c r="M75" s="36"/>
      <c r="N75" s="27">
        <v>1.95</v>
      </c>
      <c r="O75" s="29">
        <v>2.72</v>
      </c>
      <c r="P75" s="29">
        <v>11.05</v>
      </c>
      <c r="Q75" s="29">
        <v>5.05</v>
      </c>
      <c r="R75" s="29">
        <v>2</v>
      </c>
      <c r="S75" s="62">
        <v>3.38</v>
      </c>
      <c r="T75" s="63">
        <f t="shared" si="2"/>
        <v>104.31</v>
      </c>
    </row>
    <row r="76" spans="1:20" x14ac:dyDescent="0.25">
      <c r="A76" s="672"/>
      <c r="B76" s="510"/>
      <c r="C76" s="31">
        <v>630</v>
      </c>
      <c r="D76" s="27">
        <v>3</v>
      </c>
      <c r="E76" s="27">
        <v>1.25</v>
      </c>
      <c r="F76" s="27">
        <v>27.5</v>
      </c>
      <c r="G76" s="33"/>
      <c r="H76" s="33"/>
      <c r="I76" s="33"/>
      <c r="J76" s="33"/>
      <c r="K76" s="27">
        <v>46.5</v>
      </c>
      <c r="L76" s="27">
        <v>13.45</v>
      </c>
      <c r="M76" s="36"/>
      <c r="N76" s="27">
        <v>1.95</v>
      </c>
      <c r="O76" s="29">
        <v>2.93</v>
      </c>
      <c r="P76" s="29">
        <v>12.63</v>
      </c>
      <c r="Q76" s="29">
        <v>5.98</v>
      </c>
      <c r="R76" s="29">
        <v>2.75</v>
      </c>
      <c r="S76" s="27">
        <v>3.55</v>
      </c>
      <c r="T76" s="53">
        <f t="shared" si="2"/>
        <v>121.49000000000001</v>
      </c>
    </row>
    <row r="77" spans="1:20" x14ac:dyDescent="0.25">
      <c r="A77" s="672"/>
      <c r="B77" s="510"/>
      <c r="C77" s="31">
        <v>800</v>
      </c>
      <c r="D77" s="27">
        <v>4</v>
      </c>
      <c r="E77" s="27">
        <v>1.5</v>
      </c>
      <c r="F77" s="27">
        <v>35</v>
      </c>
      <c r="G77" s="33"/>
      <c r="H77" s="33"/>
      <c r="I77" s="33"/>
      <c r="J77" s="33"/>
      <c r="K77" s="27">
        <v>52.5</v>
      </c>
      <c r="L77" s="27">
        <v>14.35</v>
      </c>
      <c r="M77" s="36"/>
      <c r="N77" s="27">
        <v>1.95</v>
      </c>
      <c r="O77" s="27">
        <v>3.18</v>
      </c>
      <c r="P77" s="27">
        <v>13.75</v>
      </c>
      <c r="Q77" s="27">
        <v>6.25</v>
      </c>
      <c r="R77" s="29">
        <v>2.75</v>
      </c>
      <c r="S77" s="27">
        <v>3.62</v>
      </c>
      <c r="T77" s="48">
        <f t="shared" si="2"/>
        <v>138.85000000000002</v>
      </c>
    </row>
    <row r="78" spans="1:20" x14ac:dyDescent="0.25">
      <c r="A78" s="672"/>
      <c r="B78" s="510"/>
      <c r="C78" s="31">
        <v>1000</v>
      </c>
      <c r="D78" s="27">
        <v>5</v>
      </c>
      <c r="E78" s="27">
        <v>2</v>
      </c>
      <c r="F78" s="27">
        <v>42</v>
      </c>
      <c r="G78" s="33"/>
      <c r="H78" s="33"/>
      <c r="I78" s="33"/>
      <c r="J78" s="33"/>
      <c r="K78" s="27">
        <v>60.5</v>
      </c>
      <c r="L78" s="27">
        <v>15.85</v>
      </c>
      <c r="M78" s="37"/>
      <c r="N78" s="27">
        <v>1.95</v>
      </c>
      <c r="O78" s="27">
        <v>3.55</v>
      </c>
      <c r="P78" s="27">
        <v>14.64</v>
      </c>
      <c r="Q78" s="27">
        <v>6.63</v>
      </c>
      <c r="R78" s="29">
        <v>2.75</v>
      </c>
      <c r="S78" s="27">
        <v>3.85</v>
      </c>
      <c r="T78" s="48">
        <f t="shared" si="2"/>
        <v>158.72</v>
      </c>
    </row>
    <row r="79" spans="1:20" x14ac:dyDescent="0.25">
      <c r="A79" s="672"/>
      <c r="B79" s="510"/>
      <c r="C79" s="31">
        <v>1250</v>
      </c>
      <c r="D79" s="27">
        <v>7</v>
      </c>
      <c r="E79" s="27">
        <v>2.5</v>
      </c>
      <c r="F79" s="27">
        <v>51</v>
      </c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48">
        <f t="shared" si="2"/>
        <v>60.5</v>
      </c>
    </row>
    <row r="80" spans="1:20" x14ac:dyDescent="0.25">
      <c r="A80" s="672"/>
      <c r="B80" s="510"/>
      <c r="C80" s="31">
        <v>1600</v>
      </c>
      <c r="D80" s="27">
        <v>9</v>
      </c>
      <c r="E80" s="27">
        <v>3</v>
      </c>
      <c r="F80" s="27">
        <v>51</v>
      </c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48">
        <f t="shared" si="2"/>
        <v>63</v>
      </c>
    </row>
    <row r="81" spans="1:20" ht="15.75" thickBot="1" x14ac:dyDescent="0.3">
      <c r="A81" s="673"/>
      <c r="B81" s="675"/>
      <c r="C81" s="66">
        <v>2000</v>
      </c>
      <c r="D81" s="8">
        <v>15</v>
      </c>
      <c r="E81" s="8">
        <v>5</v>
      </c>
      <c r="F81" s="8">
        <v>51</v>
      </c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8">
        <f t="shared" si="2"/>
        <v>71</v>
      </c>
    </row>
    <row r="82" spans="1:20" x14ac:dyDescent="0.25">
      <c r="A82" s="663" t="s">
        <v>32</v>
      </c>
      <c r="B82" s="663" t="s">
        <v>33</v>
      </c>
      <c r="C82" s="64">
        <v>15</v>
      </c>
      <c r="D82" s="4">
        <v>1.5</v>
      </c>
      <c r="E82" s="4">
        <v>0.75</v>
      </c>
      <c r="F82" s="4">
        <v>19</v>
      </c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8">
        <f t="shared" si="2"/>
        <v>21.25</v>
      </c>
    </row>
    <row r="83" spans="1:20" x14ac:dyDescent="0.25">
      <c r="A83" s="664"/>
      <c r="B83" s="664"/>
      <c r="C83" s="32">
        <v>30</v>
      </c>
      <c r="D83" s="27">
        <v>1.5</v>
      </c>
      <c r="E83" s="27">
        <v>0.75</v>
      </c>
      <c r="F83" s="27">
        <v>19</v>
      </c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48">
        <f t="shared" si="2"/>
        <v>21.25</v>
      </c>
    </row>
    <row r="84" spans="1:20" x14ac:dyDescent="0.25">
      <c r="A84" s="664"/>
      <c r="B84" s="664"/>
      <c r="C84" s="32">
        <v>45</v>
      </c>
      <c r="D84" s="27">
        <v>1.5</v>
      </c>
      <c r="E84" s="27">
        <v>0.75</v>
      </c>
      <c r="F84" s="27">
        <v>19</v>
      </c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48">
        <f t="shared" si="2"/>
        <v>21.25</v>
      </c>
    </row>
    <row r="85" spans="1:20" x14ac:dyDescent="0.25">
      <c r="A85" s="664"/>
      <c r="B85" s="664"/>
      <c r="C85" s="32">
        <v>75</v>
      </c>
      <c r="D85" s="27">
        <v>1.5</v>
      </c>
      <c r="E85" s="27">
        <v>0.75</v>
      </c>
      <c r="F85" s="27">
        <v>27</v>
      </c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48">
        <f t="shared" si="2"/>
        <v>29.25</v>
      </c>
    </row>
    <row r="86" spans="1:20" x14ac:dyDescent="0.25">
      <c r="A86" s="664"/>
      <c r="B86" s="664"/>
      <c r="C86" s="32">
        <v>112.5</v>
      </c>
      <c r="D86" s="27">
        <v>1.5</v>
      </c>
      <c r="E86" s="27">
        <v>0.75</v>
      </c>
      <c r="F86" s="27">
        <v>27</v>
      </c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48">
        <f t="shared" si="2"/>
        <v>29.25</v>
      </c>
    </row>
    <row r="87" spans="1:20" x14ac:dyDescent="0.25">
      <c r="A87" s="664"/>
      <c r="B87" s="664"/>
      <c r="C87" s="32">
        <v>150</v>
      </c>
      <c r="D87" s="27">
        <v>2</v>
      </c>
      <c r="E87" s="27">
        <v>0.75</v>
      </c>
      <c r="F87" s="27">
        <v>27</v>
      </c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48">
        <f t="shared" si="2"/>
        <v>29.75</v>
      </c>
    </row>
    <row r="88" spans="1:20" x14ac:dyDescent="0.25">
      <c r="A88" s="664"/>
      <c r="B88" s="664"/>
      <c r="C88" s="32">
        <v>225</v>
      </c>
      <c r="D88" s="27">
        <v>2</v>
      </c>
      <c r="E88" s="27">
        <v>0.75</v>
      </c>
      <c r="F88" s="27">
        <v>27</v>
      </c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48">
        <f t="shared" si="2"/>
        <v>29.75</v>
      </c>
    </row>
    <row r="89" spans="1:20" x14ac:dyDescent="0.25">
      <c r="A89" s="664"/>
      <c r="B89" s="664"/>
      <c r="C89" s="32">
        <v>300</v>
      </c>
      <c r="D89" s="27">
        <v>2</v>
      </c>
      <c r="E89" s="27">
        <v>1</v>
      </c>
      <c r="F89" s="27">
        <v>27</v>
      </c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48">
        <f t="shared" si="2"/>
        <v>30</v>
      </c>
    </row>
    <row r="90" spans="1:20" x14ac:dyDescent="0.25">
      <c r="A90" s="664"/>
      <c r="B90" s="664"/>
      <c r="C90" s="32">
        <v>400</v>
      </c>
      <c r="D90" s="27">
        <v>2</v>
      </c>
      <c r="E90" s="27">
        <v>1</v>
      </c>
      <c r="F90" s="27">
        <v>27</v>
      </c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48">
        <f t="shared" si="2"/>
        <v>30</v>
      </c>
    </row>
    <row r="91" spans="1:20" x14ac:dyDescent="0.25">
      <c r="A91" s="664"/>
      <c r="B91" s="664"/>
      <c r="C91" s="32">
        <v>500</v>
      </c>
      <c r="D91" s="27">
        <v>3</v>
      </c>
      <c r="E91" s="27">
        <v>1</v>
      </c>
      <c r="F91" s="27">
        <v>33.5</v>
      </c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48">
        <f t="shared" si="2"/>
        <v>37.5</v>
      </c>
    </row>
    <row r="92" spans="1:20" x14ac:dyDescent="0.25">
      <c r="A92" s="664"/>
      <c r="B92" s="664"/>
      <c r="C92" s="32">
        <v>630</v>
      </c>
      <c r="D92" s="27">
        <v>3</v>
      </c>
      <c r="E92" s="27">
        <v>1.25</v>
      </c>
      <c r="F92" s="27">
        <v>33.5</v>
      </c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48">
        <f t="shared" si="2"/>
        <v>37.75</v>
      </c>
    </row>
    <row r="93" spans="1:20" x14ac:dyDescent="0.25">
      <c r="A93" s="664"/>
      <c r="B93" s="664"/>
      <c r="C93" s="32">
        <v>800</v>
      </c>
      <c r="D93" s="27">
        <v>4</v>
      </c>
      <c r="E93" s="27">
        <v>1.5</v>
      </c>
      <c r="F93" s="27">
        <v>41</v>
      </c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48">
        <f t="shared" si="2"/>
        <v>46.5</v>
      </c>
    </row>
    <row r="94" spans="1:20" x14ac:dyDescent="0.25">
      <c r="A94" s="664"/>
      <c r="B94" s="664"/>
      <c r="C94" s="32">
        <v>1000</v>
      </c>
      <c r="D94" s="27">
        <v>5</v>
      </c>
      <c r="E94" s="27">
        <v>2</v>
      </c>
      <c r="F94" s="27">
        <v>48</v>
      </c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48">
        <f t="shared" si="2"/>
        <v>55</v>
      </c>
    </row>
    <row r="95" spans="1:20" x14ac:dyDescent="0.25">
      <c r="A95" s="664"/>
      <c r="B95" s="664"/>
      <c r="C95" s="32">
        <v>1250</v>
      </c>
      <c r="D95" s="27">
        <v>7</v>
      </c>
      <c r="E95" s="27">
        <v>2.5</v>
      </c>
      <c r="F95" s="27">
        <v>57</v>
      </c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48">
        <f t="shared" si="2"/>
        <v>66.5</v>
      </c>
    </row>
    <row r="96" spans="1:20" x14ac:dyDescent="0.25">
      <c r="A96" s="664"/>
      <c r="B96" s="664"/>
      <c r="C96" s="32">
        <v>1600</v>
      </c>
      <c r="D96" s="27">
        <v>9</v>
      </c>
      <c r="E96" s="27">
        <v>3</v>
      </c>
      <c r="F96" s="27">
        <v>57</v>
      </c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48">
        <f t="shared" si="2"/>
        <v>69</v>
      </c>
    </row>
    <row r="97" spans="1:20" x14ac:dyDescent="0.25">
      <c r="A97" s="664"/>
      <c r="B97" s="664"/>
      <c r="C97" s="32">
        <v>2000</v>
      </c>
      <c r="D97" s="27">
        <v>15</v>
      </c>
      <c r="E97" s="27">
        <v>5</v>
      </c>
      <c r="F97" s="27">
        <v>57</v>
      </c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48">
        <f t="shared" si="2"/>
        <v>77</v>
      </c>
    </row>
    <row r="98" spans="1:20" x14ac:dyDescent="0.25"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48">
        <f t="shared" si="2"/>
        <v>0</v>
      </c>
    </row>
    <row r="99" spans="1:20" x14ac:dyDescent="0.25">
      <c r="C99" s="68">
        <v>150</v>
      </c>
      <c r="D99" s="69">
        <v>4</v>
      </c>
      <c r="E99" s="69">
        <v>1</v>
      </c>
      <c r="F99" s="69">
        <v>27</v>
      </c>
      <c r="G99" s="70">
        <v>25</v>
      </c>
      <c r="H99" s="70">
        <v>2.5</v>
      </c>
      <c r="I99" s="70">
        <v>2</v>
      </c>
      <c r="J99" s="70">
        <v>0.75</v>
      </c>
      <c r="K99" s="70">
        <v>48.5</v>
      </c>
      <c r="L99" s="70">
        <v>13.75</v>
      </c>
      <c r="N99" s="70">
        <v>1.95</v>
      </c>
      <c r="O99" s="70">
        <v>3</v>
      </c>
      <c r="P99" s="70">
        <v>11</v>
      </c>
      <c r="Q99" s="70">
        <v>3.5</v>
      </c>
      <c r="R99" s="70">
        <v>2</v>
      </c>
      <c r="S99" s="70">
        <v>3.5</v>
      </c>
      <c r="T99" s="48">
        <f t="shared" si="2"/>
        <v>149.44999999999999</v>
      </c>
    </row>
    <row r="100" spans="1:20" x14ac:dyDescent="0.25">
      <c r="C100" s="68">
        <v>260</v>
      </c>
      <c r="D100" s="69">
        <v>4</v>
      </c>
      <c r="E100" s="69">
        <v>1</v>
      </c>
      <c r="F100" s="69">
        <v>27</v>
      </c>
      <c r="G100" s="70">
        <v>25</v>
      </c>
      <c r="H100" s="70">
        <v>2.5</v>
      </c>
      <c r="I100" s="70">
        <v>2</v>
      </c>
      <c r="J100" s="70">
        <v>0.75</v>
      </c>
      <c r="K100" s="70">
        <v>52</v>
      </c>
      <c r="L100" s="70">
        <v>13.75</v>
      </c>
      <c r="N100" s="70">
        <v>1.95</v>
      </c>
      <c r="O100" s="70">
        <v>3</v>
      </c>
      <c r="P100" s="70">
        <v>11</v>
      </c>
      <c r="Q100" s="70">
        <v>3.5</v>
      </c>
      <c r="R100" s="70">
        <v>2</v>
      </c>
      <c r="S100" s="70">
        <v>3.5</v>
      </c>
      <c r="T100" s="48">
        <f t="shared" si="2"/>
        <v>152.94999999999999</v>
      </c>
    </row>
    <row r="101" spans="1:20" x14ac:dyDescent="0.25">
      <c r="C101" s="68">
        <v>300</v>
      </c>
      <c r="D101" s="69">
        <v>4</v>
      </c>
      <c r="E101" s="69">
        <v>1</v>
      </c>
      <c r="F101" s="69">
        <v>42</v>
      </c>
      <c r="G101" s="70">
        <v>32</v>
      </c>
      <c r="H101" s="70">
        <v>2</v>
      </c>
      <c r="I101" s="70">
        <v>2</v>
      </c>
      <c r="J101" s="70">
        <v>0.75</v>
      </c>
      <c r="K101" s="70">
        <v>60.5</v>
      </c>
      <c r="L101" s="70">
        <v>16.75</v>
      </c>
      <c r="N101" s="70">
        <v>1.95</v>
      </c>
      <c r="O101" s="70">
        <v>3.5</v>
      </c>
      <c r="P101" s="70">
        <v>13</v>
      </c>
      <c r="Q101" s="70">
        <v>4</v>
      </c>
      <c r="R101" s="70">
        <v>2</v>
      </c>
      <c r="S101" s="70">
        <v>3.5</v>
      </c>
      <c r="T101" s="48">
        <f t="shared" si="2"/>
        <v>188.95</v>
      </c>
    </row>
    <row r="102" spans="1:20" x14ac:dyDescent="0.25">
      <c r="C102" s="68">
        <v>460</v>
      </c>
      <c r="D102" s="69">
        <v>4</v>
      </c>
      <c r="E102" s="69">
        <v>1</v>
      </c>
      <c r="F102" s="69">
        <v>42</v>
      </c>
      <c r="G102" s="70">
        <v>32</v>
      </c>
      <c r="H102" s="70">
        <v>2</v>
      </c>
      <c r="I102" s="70">
        <v>2</v>
      </c>
      <c r="J102" s="70">
        <v>0.75</v>
      </c>
      <c r="K102" s="70">
        <v>69</v>
      </c>
      <c r="L102" s="70">
        <v>16.75</v>
      </c>
      <c r="N102" s="70">
        <v>1.95</v>
      </c>
      <c r="O102" s="70">
        <v>3.5</v>
      </c>
      <c r="P102" s="70">
        <v>15</v>
      </c>
      <c r="Q102" s="70">
        <v>5</v>
      </c>
      <c r="R102" s="70">
        <v>2</v>
      </c>
      <c r="S102" s="70">
        <v>3.5</v>
      </c>
      <c r="T102" s="48">
        <f t="shared" si="2"/>
        <v>200.45</v>
      </c>
    </row>
  </sheetData>
  <mergeCells count="32">
    <mergeCell ref="G1:G2"/>
    <mergeCell ref="H1:H2"/>
    <mergeCell ref="I1:I2"/>
    <mergeCell ref="J1:J2"/>
    <mergeCell ref="A1:A2"/>
    <mergeCell ref="B1:B2"/>
    <mergeCell ref="C1:C2"/>
    <mergeCell ref="D1:D2"/>
    <mergeCell ref="E1:E2"/>
    <mergeCell ref="F1:F2"/>
    <mergeCell ref="K1:K2"/>
    <mergeCell ref="L1:L2"/>
    <mergeCell ref="M1:M2"/>
    <mergeCell ref="N1:N2"/>
    <mergeCell ref="R1:R2"/>
    <mergeCell ref="S1:S2"/>
    <mergeCell ref="T1:T2"/>
    <mergeCell ref="Q1:Q2"/>
    <mergeCell ref="O1:O2"/>
    <mergeCell ref="P1:P2"/>
    <mergeCell ref="A82:A97"/>
    <mergeCell ref="B82:B97"/>
    <mergeCell ref="A50:A65"/>
    <mergeCell ref="B50:B65"/>
    <mergeCell ref="A66:A81"/>
    <mergeCell ref="B66:B81"/>
    <mergeCell ref="A34:A49"/>
    <mergeCell ref="B34:B49"/>
    <mergeCell ref="A3:A17"/>
    <mergeCell ref="B3:B17"/>
    <mergeCell ref="A18:A33"/>
    <mergeCell ref="B18:B33"/>
  </mergeCells>
  <pageMargins left="0.7" right="0.7" top="0.75" bottom="0.75" header="0.3" footer="0.3"/>
  <pageSetup scale="37" orientation="portrait" r:id="rId1"/>
  <ignoredErrors>
    <ignoredError sqref="T46:T49 T6:T33 T34:T45 T50:T78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4"/>
  <sheetViews>
    <sheetView workbookViewId="0">
      <selection activeCell="D7" sqref="D7:J7"/>
    </sheetView>
  </sheetViews>
  <sheetFormatPr baseColWidth="10" defaultRowHeight="15" x14ac:dyDescent="0.25"/>
  <cols>
    <col min="7" max="7" width="20.85546875" style="26" customWidth="1"/>
  </cols>
  <sheetData>
    <row r="1" spans="1:20" ht="30" x14ac:dyDescent="0.25">
      <c r="A1" s="9" t="s">
        <v>0</v>
      </c>
      <c r="B1" s="10" t="s">
        <v>1</v>
      </c>
      <c r="C1" s="11" t="s">
        <v>5</v>
      </c>
      <c r="D1" s="12" t="s">
        <v>14</v>
      </c>
      <c r="E1" s="12" t="s">
        <v>15</v>
      </c>
      <c r="F1" s="11" t="s">
        <v>16</v>
      </c>
      <c r="G1" s="11" t="s">
        <v>42</v>
      </c>
      <c r="H1" s="11" t="s">
        <v>17</v>
      </c>
      <c r="I1" s="11" t="s">
        <v>18</v>
      </c>
      <c r="J1" s="18" t="s">
        <v>19</v>
      </c>
      <c r="K1" s="21" t="s">
        <v>6</v>
      </c>
      <c r="L1" s="13" t="s">
        <v>7</v>
      </c>
      <c r="M1" s="13" t="s">
        <v>29</v>
      </c>
      <c r="N1" s="11" t="s">
        <v>8</v>
      </c>
      <c r="O1" s="14" t="s">
        <v>28</v>
      </c>
      <c r="P1" s="14" t="s">
        <v>27</v>
      </c>
      <c r="Q1" s="13" t="s">
        <v>9</v>
      </c>
      <c r="R1" s="13" t="s">
        <v>26</v>
      </c>
      <c r="S1" s="13" t="s">
        <v>10</v>
      </c>
      <c r="T1" s="15" t="s">
        <v>11</v>
      </c>
    </row>
    <row r="2" spans="1:20" x14ac:dyDescent="0.25">
      <c r="A2" s="688" t="s">
        <v>3</v>
      </c>
      <c r="B2" s="651" t="s">
        <v>4</v>
      </c>
      <c r="C2" s="38" t="s">
        <v>12</v>
      </c>
      <c r="D2" s="38">
        <v>0.25</v>
      </c>
      <c r="E2" s="38">
        <v>0.25</v>
      </c>
      <c r="F2" s="38">
        <v>3.5</v>
      </c>
      <c r="G2" s="38">
        <v>13</v>
      </c>
      <c r="H2" s="38">
        <v>1.25</v>
      </c>
      <c r="I2" s="38">
        <v>1.45</v>
      </c>
      <c r="J2" s="19">
        <v>1.5</v>
      </c>
      <c r="K2" s="22">
        <v>24.3</v>
      </c>
      <c r="L2" s="27">
        <v>3.6</v>
      </c>
      <c r="M2" s="27" t="s">
        <v>20</v>
      </c>
      <c r="N2" s="27">
        <v>2.25</v>
      </c>
      <c r="O2" s="27">
        <v>1.05</v>
      </c>
      <c r="P2" s="27" t="s">
        <v>20</v>
      </c>
      <c r="Q2" s="29">
        <v>9.25</v>
      </c>
      <c r="R2" s="29">
        <v>2.5</v>
      </c>
      <c r="S2" s="27">
        <v>2.25</v>
      </c>
      <c r="T2" s="16">
        <f>SUM(D2:S2)</f>
        <v>66.400000000000006</v>
      </c>
    </row>
    <row r="3" spans="1:20" x14ac:dyDescent="0.25">
      <c r="A3" s="688"/>
      <c r="B3" s="651"/>
      <c r="C3" s="38">
        <v>45</v>
      </c>
      <c r="D3" s="38">
        <v>0.25</v>
      </c>
      <c r="E3" s="38">
        <v>0.25</v>
      </c>
      <c r="F3" s="38">
        <v>3.5</v>
      </c>
      <c r="G3" s="38">
        <v>13</v>
      </c>
      <c r="H3" s="38">
        <v>1.25</v>
      </c>
      <c r="I3" s="38">
        <v>1.45</v>
      </c>
      <c r="J3" s="19">
        <v>0.25</v>
      </c>
      <c r="K3" s="22">
        <v>25.89</v>
      </c>
      <c r="L3" s="27">
        <v>3.84</v>
      </c>
      <c r="M3" s="27" t="s">
        <v>20</v>
      </c>
      <c r="N3" s="27">
        <v>2.25</v>
      </c>
      <c r="O3" s="27">
        <v>1.25</v>
      </c>
      <c r="P3" s="27" t="s">
        <v>20</v>
      </c>
      <c r="Q3" s="29">
        <v>10.75</v>
      </c>
      <c r="R3" s="29">
        <v>2.5</v>
      </c>
      <c r="S3" s="27">
        <v>2.2799999999999998</v>
      </c>
      <c r="T3" s="16">
        <f t="shared" ref="T3:T13" si="0">SUM(D3:S3)</f>
        <v>68.710000000000008</v>
      </c>
    </row>
    <row r="4" spans="1:20" x14ac:dyDescent="0.25">
      <c r="A4" s="688"/>
      <c r="B4" s="651"/>
      <c r="C4" s="38" t="s">
        <v>13</v>
      </c>
      <c r="D4" s="38">
        <v>0.25</v>
      </c>
      <c r="E4" s="38">
        <v>0.25</v>
      </c>
      <c r="F4" s="38">
        <v>3.5</v>
      </c>
      <c r="G4" s="38">
        <v>13</v>
      </c>
      <c r="H4" s="38">
        <v>1.25</v>
      </c>
      <c r="I4" s="38">
        <v>1.45</v>
      </c>
      <c r="J4" s="19">
        <v>0.25</v>
      </c>
      <c r="K4" s="22">
        <v>26.75</v>
      </c>
      <c r="L4" s="27">
        <v>3.7199999999999998</v>
      </c>
      <c r="M4" s="27" t="s">
        <v>20</v>
      </c>
      <c r="N4" s="27">
        <v>2.25</v>
      </c>
      <c r="O4" s="27">
        <v>1.28</v>
      </c>
      <c r="P4" s="27" t="s">
        <v>20</v>
      </c>
      <c r="Q4" s="29">
        <v>10.82</v>
      </c>
      <c r="R4" s="29">
        <v>2.5</v>
      </c>
      <c r="S4" s="27">
        <v>2.85</v>
      </c>
      <c r="T4" s="16">
        <f t="shared" si="0"/>
        <v>70.12</v>
      </c>
    </row>
    <row r="5" spans="1:20" x14ac:dyDescent="0.25">
      <c r="A5" s="688"/>
      <c r="B5" s="651"/>
      <c r="C5" s="38">
        <v>75</v>
      </c>
      <c r="D5" s="38">
        <v>0.25</v>
      </c>
      <c r="E5" s="38">
        <v>2.25</v>
      </c>
      <c r="F5" s="38">
        <v>3.5</v>
      </c>
      <c r="G5" s="38">
        <v>13</v>
      </c>
      <c r="H5" s="38">
        <v>1.25</v>
      </c>
      <c r="I5" s="38">
        <v>2</v>
      </c>
      <c r="J5" s="19">
        <v>0.25</v>
      </c>
      <c r="K5" s="22">
        <v>28.88</v>
      </c>
      <c r="L5" s="27">
        <v>3.9400000000000004</v>
      </c>
      <c r="M5" s="27" t="s">
        <v>20</v>
      </c>
      <c r="N5" s="27">
        <v>2.25</v>
      </c>
      <c r="O5" s="27">
        <v>1.37</v>
      </c>
      <c r="P5" s="27" t="s">
        <v>20</v>
      </c>
      <c r="Q5" s="29">
        <v>11.02</v>
      </c>
      <c r="R5" s="29">
        <v>2.5</v>
      </c>
      <c r="S5" s="27">
        <v>3.05</v>
      </c>
      <c r="T5" s="16">
        <f t="shared" si="0"/>
        <v>75.509999999999991</v>
      </c>
    </row>
    <row r="6" spans="1:20" x14ac:dyDescent="0.25">
      <c r="A6" s="688"/>
      <c r="B6" s="651"/>
      <c r="C6" s="38">
        <v>112.5</v>
      </c>
      <c r="D6" s="38">
        <v>0.25</v>
      </c>
      <c r="E6" s="38">
        <v>0.25</v>
      </c>
      <c r="F6" s="38">
        <v>3.5</v>
      </c>
      <c r="G6" s="38">
        <v>15</v>
      </c>
      <c r="H6" s="38">
        <v>1.25</v>
      </c>
      <c r="I6" s="38">
        <v>2</v>
      </c>
      <c r="J6" s="19">
        <v>0.25</v>
      </c>
      <c r="K6" s="22">
        <v>34.5</v>
      </c>
      <c r="L6" s="27">
        <v>4.21</v>
      </c>
      <c r="M6" s="27" t="s">
        <v>20</v>
      </c>
      <c r="N6" s="27">
        <v>2.25</v>
      </c>
      <c r="O6" s="27">
        <v>1.65</v>
      </c>
      <c r="P6" s="27" t="s">
        <v>20</v>
      </c>
      <c r="Q6" s="29">
        <v>11.87</v>
      </c>
      <c r="R6" s="29">
        <v>2.5</v>
      </c>
      <c r="S6" s="27">
        <v>3.35</v>
      </c>
      <c r="T6" s="16">
        <f t="shared" si="0"/>
        <v>82.83</v>
      </c>
    </row>
    <row r="7" spans="1:20" x14ac:dyDescent="0.25">
      <c r="A7" s="688"/>
      <c r="B7" s="651"/>
      <c r="C7" s="38">
        <v>150</v>
      </c>
      <c r="D7" s="38">
        <v>0.5</v>
      </c>
      <c r="E7" s="38">
        <v>0.25</v>
      </c>
      <c r="F7" s="38">
        <v>4.5</v>
      </c>
      <c r="G7" s="38">
        <v>15</v>
      </c>
      <c r="H7" s="38">
        <v>1.25</v>
      </c>
      <c r="I7" s="38">
        <v>2</v>
      </c>
      <c r="J7" s="19">
        <v>0.25</v>
      </c>
      <c r="K7" s="22">
        <v>36.6</v>
      </c>
      <c r="L7" s="27">
        <v>4.8</v>
      </c>
      <c r="M7" s="27" t="s">
        <v>20</v>
      </c>
      <c r="N7" s="27">
        <v>2.25</v>
      </c>
      <c r="O7" s="27">
        <v>1.92</v>
      </c>
      <c r="P7" s="27" t="s">
        <v>20</v>
      </c>
      <c r="Q7" s="29">
        <v>12.33</v>
      </c>
      <c r="R7" s="29">
        <v>2.5</v>
      </c>
      <c r="S7" s="27">
        <v>3.95</v>
      </c>
      <c r="T7" s="16">
        <f t="shared" si="0"/>
        <v>88.100000000000009</v>
      </c>
    </row>
    <row r="8" spans="1:20" x14ac:dyDescent="0.25">
      <c r="A8" s="688"/>
      <c r="B8" s="651"/>
      <c r="C8" s="38">
        <v>225</v>
      </c>
      <c r="D8" s="38">
        <v>0.5</v>
      </c>
      <c r="E8" s="38">
        <v>0.5</v>
      </c>
      <c r="F8" s="38">
        <v>4.5</v>
      </c>
      <c r="G8" s="38">
        <v>17</v>
      </c>
      <c r="H8" s="38">
        <v>1.75</v>
      </c>
      <c r="I8" s="38">
        <v>2</v>
      </c>
      <c r="J8" s="19">
        <v>0.25</v>
      </c>
      <c r="K8" s="22">
        <v>37.9</v>
      </c>
      <c r="L8" s="27">
        <v>4.9800000000000004</v>
      </c>
      <c r="M8" s="27" t="s">
        <v>20</v>
      </c>
      <c r="N8" s="27">
        <v>2.25</v>
      </c>
      <c r="O8" s="27">
        <v>2.25</v>
      </c>
      <c r="P8" s="27" t="s">
        <v>20</v>
      </c>
      <c r="Q8" s="29">
        <v>12.75</v>
      </c>
      <c r="R8" s="29">
        <v>2.5</v>
      </c>
      <c r="S8" s="27">
        <v>4.1500000000000004</v>
      </c>
      <c r="T8" s="16">
        <f t="shared" si="0"/>
        <v>93.280000000000015</v>
      </c>
    </row>
    <row r="9" spans="1:20" x14ac:dyDescent="0.25">
      <c r="A9" s="688"/>
      <c r="B9" s="651"/>
      <c r="C9" s="27">
        <v>300</v>
      </c>
      <c r="D9" s="27">
        <v>0.75</v>
      </c>
      <c r="E9" s="27">
        <v>0.5</v>
      </c>
      <c r="F9" s="27">
        <v>4.5</v>
      </c>
      <c r="G9" s="27">
        <v>17</v>
      </c>
      <c r="H9" s="27">
        <v>1.75</v>
      </c>
      <c r="I9" s="27">
        <v>2.5</v>
      </c>
      <c r="J9" s="19">
        <v>0.25</v>
      </c>
      <c r="K9" s="23">
        <v>55.75</v>
      </c>
      <c r="L9" s="27">
        <v>5.25</v>
      </c>
      <c r="M9" s="27" t="s">
        <v>20</v>
      </c>
      <c r="N9" s="27">
        <v>2.25</v>
      </c>
      <c r="O9" s="27">
        <v>2.75</v>
      </c>
      <c r="P9" s="27" t="s">
        <v>20</v>
      </c>
      <c r="Q9" s="27">
        <v>12.75</v>
      </c>
      <c r="R9" s="27">
        <v>2.5</v>
      </c>
      <c r="S9" s="27">
        <v>4.5</v>
      </c>
      <c r="T9" s="16">
        <f t="shared" si="0"/>
        <v>113</v>
      </c>
    </row>
    <row r="10" spans="1:20" x14ac:dyDescent="0.25">
      <c r="A10" s="688"/>
      <c r="B10" s="651"/>
      <c r="C10" s="27">
        <v>450</v>
      </c>
      <c r="D10" s="27">
        <v>0.75</v>
      </c>
      <c r="E10" s="27">
        <v>0.5</v>
      </c>
      <c r="F10" s="27">
        <v>5</v>
      </c>
      <c r="G10" s="27">
        <v>24</v>
      </c>
      <c r="H10" s="27">
        <v>1.75</v>
      </c>
      <c r="I10" s="27">
        <v>3</v>
      </c>
      <c r="J10" s="19">
        <v>0.25</v>
      </c>
      <c r="K10" s="23">
        <v>108.5</v>
      </c>
      <c r="L10" s="27">
        <v>12.5</v>
      </c>
      <c r="M10" s="27" t="s">
        <v>20</v>
      </c>
      <c r="N10" s="27">
        <v>2.75</v>
      </c>
      <c r="O10" s="27">
        <v>5.5</v>
      </c>
      <c r="P10" s="27" t="s">
        <v>20</v>
      </c>
      <c r="Q10" s="27">
        <v>13</v>
      </c>
      <c r="R10" s="27">
        <v>2.5</v>
      </c>
      <c r="S10" s="27">
        <v>4.5</v>
      </c>
      <c r="T10" s="16">
        <f t="shared" si="0"/>
        <v>184.5</v>
      </c>
    </row>
    <row r="11" spans="1:20" x14ac:dyDescent="0.25">
      <c r="A11" s="688"/>
      <c r="B11" s="651"/>
      <c r="C11" s="27">
        <v>500</v>
      </c>
      <c r="D11" s="27">
        <v>0.75</v>
      </c>
      <c r="E11" s="27">
        <v>0.5</v>
      </c>
      <c r="F11" s="27">
        <v>5</v>
      </c>
      <c r="G11" s="27">
        <v>27</v>
      </c>
      <c r="H11" s="27">
        <v>1.75</v>
      </c>
      <c r="I11" s="27">
        <v>5</v>
      </c>
      <c r="J11" s="19" t="s">
        <v>39</v>
      </c>
      <c r="K11" s="23">
        <v>123.5</v>
      </c>
      <c r="L11" s="27">
        <v>12.5</v>
      </c>
      <c r="M11" s="27" t="s">
        <v>20</v>
      </c>
      <c r="N11" s="27">
        <v>2.75</v>
      </c>
      <c r="O11" s="27">
        <v>5.5</v>
      </c>
      <c r="P11" s="27" t="s">
        <v>20</v>
      </c>
      <c r="Q11" s="27">
        <v>13</v>
      </c>
      <c r="R11" s="27">
        <v>2.5</v>
      </c>
      <c r="S11" s="27">
        <v>4.5</v>
      </c>
      <c r="T11" s="16">
        <f t="shared" si="0"/>
        <v>204.25</v>
      </c>
    </row>
    <row r="12" spans="1:20" x14ac:dyDescent="0.25">
      <c r="A12" s="688"/>
      <c r="B12" s="651"/>
      <c r="C12" s="27">
        <v>1000</v>
      </c>
      <c r="D12" s="27">
        <v>1.5</v>
      </c>
      <c r="E12" s="27" t="s">
        <v>20</v>
      </c>
      <c r="F12" s="27">
        <v>5</v>
      </c>
      <c r="G12" s="27"/>
      <c r="H12" s="27">
        <v>3.5</v>
      </c>
      <c r="I12" s="27">
        <v>5</v>
      </c>
      <c r="J12" s="19">
        <v>0.25</v>
      </c>
      <c r="K12" s="23">
        <v>158</v>
      </c>
      <c r="L12" s="27">
        <v>12.5</v>
      </c>
      <c r="M12" s="27" t="s">
        <v>20</v>
      </c>
      <c r="N12" s="27">
        <v>3.5</v>
      </c>
      <c r="O12" s="27">
        <v>75.5</v>
      </c>
      <c r="P12" s="27">
        <v>18</v>
      </c>
      <c r="Q12" s="27">
        <v>17.600000000000001</v>
      </c>
      <c r="R12" s="27">
        <v>2.5</v>
      </c>
      <c r="S12" s="27">
        <v>6.5</v>
      </c>
      <c r="T12" s="16">
        <f t="shared" si="0"/>
        <v>309.35000000000002</v>
      </c>
    </row>
    <row r="13" spans="1:20" x14ac:dyDescent="0.25">
      <c r="A13" s="688"/>
      <c r="B13" s="651"/>
      <c r="C13" s="27">
        <v>1250</v>
      </c>
      <c r="D13" s="27">
        <v>1.5</v>
      </c>
      <c r="E13" s="27" t="s">
        <v>20</v>
      </c>
      <c r="F13" s="27">
        <v>7</v>
      </c>
      <c r="G13" s="27"/>
      <c r="H13" s="27">
        <v>3.5</v>
      </c>
      <c r="I13" s="27">
        <v>5</v>
      </c>
      <c r="J13" s="19">
        <v>0.25</v>
      </c>
      <c r="K13" s="23">
        <v>165.7</v>
      </c>
      <c r="L13" s="27">
        <v>12.5</v>
      </c>
      <c r="M13" s="27" t="s">
        <v>20</v>
      </c>
      <c r="N13" s="27">
        <v>3.5</v>
      </c>
      <c r="O13" s="27">
        <v>75.5</v>
      </c>
      <c r="P13" s="27">
        <v>18</v>
      </c>
      <c r="Q13" s="27">
        <v>17.600000000000001</v>
      </c>
      <c r="R13" s="27">
        <v>2.5</v>
      </c>
      <c r="S13" s="27">
        <v>6.5</v>
      </c>
      <c r="T13" s="16">
        <f t="shared" si="0"/>
        <v>319.05</v>
      </c>
    </row>
    <row r="14" spans="1:20" ht="15.75" thickBot="1" x14ac:dyDescent="0.3">
      <c r="A14" s="689"/>
      <c r="B14" s="652"/>
      <c r="C14" s="8">
        <v>1600</v>
      </c>
      <c r="D14" s="8">
        <v>1.5</v>
      </c>
      <c r="E14" s="8" t="s">
        <v>20</v>
      </c>
      <c r="F14" s="8">
        <v>7</v>
      </c>
      <c r="G14" s="8"/>
      <c r="H14" s="8">
        <v>3.5</v>
      </c>
      <c r="I14" s="8">
        <v>5</v>
      </c>
      <c r="J14" s="20">
        <v>0.25</v>
      </c>
      <c r="K14" s="24">
        <v>186.5</v>
      </c>
      <c r="L14" s="8">
        <v>15.5</v>
      </c>
      <c r="M14" s="8" t="s">
        <v>20</v>
      </c>
      <c r="N14" s="8">
        <v>3.5</v>
      </c>
      <c r="O14" s="8">
        <v>83.15</v>
      </c>
      <c r="P14" s="8">
        <v>18</v>
      </c>
      <c r="Q14" s="8">
        <v>21.5</v>
      </c>
      <c r="R14" s="8">
        <v>2.5</v>
      </c>
      <c r="S14" s="8">
        <v>6.5</v>
      </c>
      <c r="T14" s="17">
        <f>SUM(D14:S14)</f>
        <v>354.4</v>
      </c>
    </row>
  </sheetData>
  <mergeCells count="2">
    <mergeCell ref="A2:A14"/>
    <mergeCell ref="B2:B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CD185"/>
  <sheetViews>
    <sheetView zoomScale="55" zoomScaleNormal="55" workbookViewId="0">
      <pane xSplit="3" ySplit="5" topLeftCell="L36" activePane="bottomRight" state="frozen"/>
      <selection pane="topRight" activeCell="D1" sqref="D1"/>
      <selection pane="bottomLeft" activeCell="A6" sqref="A6"/>
      <selection pane="bottomRight" activeCell="A39" sqref="A39:A55"/>
    </sheetView>
  </sheetViews>
  <sheetFormatPr baseColWidth="10" defaultRowHeight="18.75" x14ac:dyDescent="0.3"/>
  <cols>
    <col min="1" max="2" width="11.42578125" style="26"/>
    <col min="3" max="3" width="33.42578125" style="26" bestFit="1" customWidth="1"/>
    <col min="4" max="4" width="7.140625" style="73" hidden="1" customWidth="1"/>
    <col min="5" max="5" width="20.7109375" style="79" hidden="1" customWidth="1"/>
    <col min="6" max="6" width="7.140625" style="71" hidden="1" customWidth="1"/>
    <col min="7" max="7" width="21.28515625" style="79" hidden="1" customWidth="1"/>
    <col min="8" max="8" width="7.140625" style="71" hidden="1" customWidth="1"/>
    <col min="9" max="9" width="25.140625" style="79" hidden="1" customWidth="1"/>
    <col min="10" max="10" width="19" style="81" hidden="1" customWidth="1"/>
    <col min="11" max="11" width="41.7109375" style="81" hidden="1" customWidth="1"/>
    <col min="12" max="12" width="19.5703125" style="201" bestFit="1" customWidth="1"/>
    <col min="13" max="13" width="16.5703125" style="81" hidden="1" customWidth="1"/>
    <col min="14" max="14" width="10.5703125" style="201" bestFit="1" customWidth="1"/>
    <col min="15" max="15" width="16.5703125" style="81" hidden="1" customWidth="1"/>
    <col min="16" max="16" width="10.5703125" style="201" bestFit="1" customWidth="1"/>
    <col min="17" max="17" width="16.5703125" style="81" hidden="1" customWidth="1"/>
    <col min="18" max="18" width="10.5703125" style="201" bestFit="1" customWidth="1"/>
    <col min="19" max="19" width="16.5703125" style="81" hidden="1" customWidth="1"/>
    <col min="20" max="20" width="10.5703125" style="117" bestFit="1" customWidth="1"/>
    <col min="21" max="21" width="16.5703125" style="80" hidden="1" customWidth="1"/>
    <col min="22" max="22" width="10.5703125" style="117" bestFit="1" customWidth="1"/>
    <col min="23" max="23" width="16.5703125" style="80" hidden="1" customWidth="1"/>
    <col min="24" max="24" width="10.5703125" style="117" bestFit="1" customWidth="1"/>
    <col min="25" max="25" width="16.5703125" style="80" hidden="1" customWidth="1"/>
    <col min="26" max="26" width="10.5703125" style="191" bestFit="1" customWidth="1"/>
    <col min="27" max="27" width="16.5703125" style="80" hidden="1" customWidth="1"/>
    <col min="28" max="28" width="10.5703125" style="191" bestFit="1" customWidth="1"/>
    <col min="29" max="29" width="16.5703125" style="80" hidden="1" customWidth="1"/>
    <col min="30" max="30" width="10.5703125" style="117" bestFit="1" customWidth="1"/>
    <col min="31" max="31" width="16.5703125" style="80" hidden="1" customWidth="1"/>
    <col min="32" max="32" width="10.5703125" style="117" bestFit="1" customWidth="1"/>
    <col min="33" max="33" width="16.5703125" style="80" hidden="1" customWidth="1"/>
    <col min="34" max="34" width="10.5703125" style="117" bestFit="1" customWidth="1"/>
    <col min="35" max="35" width="16.5703125" style="80" hidden="1" customWidth="1"/>
    <col min="36" max="36" width="10.5703125" style="191" bestFit="1" customWidth="1"/>
    <col min="37" max="37" width="16.5703125" style="80" hidden="1" customWidth="1"/>
    <col min="38" max="38" width="10.5703125" style="191" bestFit="1" customWidth="1"/>
    <col min="39" max="39" width="16.5703125" style="80" hidden="1" customWidth="1"/>
    <col min="40" max="40" width="10.5703125" style="191" bestFit="1" customWidth="1"/>
    <col min="41" max="41" width="16.5703125" style="191" hidden="1" customWidth="1"/>
    <col min="42" max="42" width="10.5703125" style="191" bestFit="1" customWidth="1"/>
    <col min="43" max="43" width="16.5703125" style="80" hidden="1" customWidth="1"/>
    <col min="44" max="44" width="10.5703125" style="114" hidden="1" customWidth="1"/>
    <col min="45" max="45" width="16.5703125" style="80" hidden="1" customWidth="1"/>
    <col min="46" max="46" width="27.7109375" style="26" bestFit="1" customWidth="1"/>
    <col min="47" max="47" width="10.5703125" style="26" bestFit="1" customWidth="1"/>
    <col min="48" max="48" width="13.7109375" style="80" hidden="1" customWidth="1"/>
    <col min="49" max="49" width="10.5703125" style="117" bestFit="1" customWidth="1"/>
    <col min="50" max="50" width="13.7109375" style="80" hidden="1" customWidth="1"/>
    <col min="51" max="51" width="10.5703125" style="117" bestFit="1" customWidth="1"/>
    <col min="52" max="52" width="13.7109375" style="80" hidden="1" customWidth="1"/>
    <col min="53" max="53" width="10.5703125" style="117" bestFit="1" customWidth="1"/>
    <col min="54" max="54" width="13.7109375" style="80" hidden="1" customWidth="1"/>
    <col min="55" max="55" width="10.5703125" style="117" bestFit="1" customWidth="1"/>
    <col min="56" max="56" width="13.7109375" style="80" hidden="1" customWidth="1"/>
    <col min="57" max="57" width="10.5703125" style="117" bestFit="1" customWidth="1"/>
    <col min="58" max="58" width="13.7109375" style="80" hidden="1" customWidth="1"/>
    <col min="59" max="59" width="10.5703125" style="117" bestFit="1" customWidth="1"/>
    <col min="60" max="60" width="13.7109375" style="80" hidden="1" customWidth="1"/>
    <col min="61" max="61" width="10.5703125" style="117" bestFit="1" customWidth="1"/>
    <col min="62" max="62" width="13.7109375" style="80" hidden="1" customWidth="1"/>
    <col min="63" max="63" width="10.5703125" style="117" bestFit="1" customWidth="1"/>
    <col min="64" max="64" width="13.7109375" style="80" hidden="1" customWidth="1"/>
    <col min="65" max="65" width="9.5703125" style="117" hidden="1" customWidth="1"/>
    <col min="66" max="66" width="13.7109375" style="80" hidden="1" customWidth="1"/>
    <col min="67" max="67" width="10.85546875" style="26" hidden="1" customWidth="1"/>
    <col min="68" max="68" width="26.5703125" style="89" customWidth="1"/>
    <col min="69" max="69" width="29.85546875" style="26" customWidth="1"/>
    <col min="70" max="70" width="18" style="26" bestFit="1" customWidth="1"/>
    <col min="71" max="79" width="11.42578125" style="26"/>
    <col min="80" max="80" width="11.42578125" style="276" hidden="1" customWidth="1"/>
    <col min="81" max="81" width="18.7109375" style="276" hidden="1" customWidth="1"/>
    <col min="82" max="82" width="11.42578125" style="276"/>
    <col min="83" max="16384" width="11.42578125" style="26"/>
  </cols>
  <sheetData>
    <row r="1" spans="1:82" ht="19.5" thickBot="1" x14ac:dyDescent="0.35">
      <c r="BQ1" s="118">
        <v>6500</v>
      </c>
      <c r="BR1" s="119" t="s">
        <v>84</v>
      </c>
      <c r="CB1" s="277">
        <v>42745.417719907404</v>
      </c>
      <c r="CC1" s="276" t="s">
        <v>115</v>
      </c>
    </row>
    <row r="2" spans="1:82" s="72" customFormat="1" ht="15" customHeight="1" thickBot="1" x14ac:dyDescent="0.3">
      <c r="A2" s="532" t="s">
        <v>53</v>
      </c>
      <c r="B2" s="534" t="s">
        <v>1</v>
      </c>
      <c r="C2" s="535" t="s">
        <v>5</v>
      </c>
      <c r="D2" s="565" t="s">
        <v>50</v>
      </c>
      <c r="E2" s="566"/>
      <c r="F2" s="566"/>
      <c r="G2" s="566"/>
      <c r="H2" s="566"/>
      <c r="I2" s="566"/>
      <c r="J2" s="698"/>
      <c r="K2" s="734" t="s">
        <v>125</v>
      </c>
      <c r="L2" s="699" t="s">
        <v>51</v>
      </c>
      <c r="M2" s="700"/>
      <c r="N2" s="700"/>
      <c r="O2" s="700"/>
      <c r="P2" s="700"/>
      <c r="Q2" s="700"/>
      <c r="R2" s="700"/>
      <c r="S2" s="700"/>
      <c r="T2" s="700"/>
      <c r="U2" s="700"/>
      <c r="V2" s="700"/>
      <c r="W2" s="700"/>
      <c r="X2" s="700"/>
      <c r="Y2" s="700"/>
      <c r="Z2" s="700"/>
      <c r="AA2" s="700"/>
      <c r="AB2" s="700"/>
      <c r="AC2" s="700"/>
      <c r="AD2" s="700"/>
      <c r="AE2" s="700"/>
      <c r="AF2" s="700"/>
      <c r="AG2" s="700"/>
      <c r="AH2" s="700"/>
      <c r="AI2" s="700"/>
      <c r="AJ2" s="700"/>
      <c r="AK2" s="700"/>
      <c r="AL2" s="700"/>
      <c r="AM2" s="700"/>
      <c r="AN2" s="700"/>
      <c r="AO2" s="700"/>
      <c r="AP2" s="700"/>
      <c r="AQ2" s="700"/>
      <c r="AR2" s="700"/>
      <c r="AS2" s="700"/>
      <c r="AT2" s="700"/>
      <c r="AU2" s="726" t="s">
        <v>52</v>
      </c>
      <c r="AV2" s="727"/>
      <c r="AW2" s="727"/>
      <c r="AX2" s="727"/>
      <c r="AY2" s="727"/>
      <c r="AZ2" s="727"/>
      <c r="BA2" s="727"/>
      <c r="BB2" s="727"/>
      <c r="BC2" s="727"/>
      <c r="BD2" s="727"/>
      <c r="BE2" s="727"/>
      <c r="BF2" s="727"/>
      <c r="BG2" s="727"/>
      <c r="BH2" s="727"/>
      <c r="BI2" s="727"/>
      <c r="BJ2" s="727"/>
      <c r="BK2" s="727"/>
      <c r="BL2" s="727"/>
      <c r="BM2" s="728"/>
      <c r="BN2" s="728"/>
      <c r="BO2" s="729"/>
      <c r="BP2" s="578" t="s">
        <v>49</v>
      </c>
      <c r="BQ2" s="721" t="s">
        <v>78</v>
      </c>
      <c r="BR2" s="695" t="s">
        <v>116</v>
      </c>
      <c r="CB2" s="351">
        <v>42745.417800925927</v>
      </c>
      <c r="CC2" s="312" t="s">
        <v>115</v>
      </c>
      <c r="CD2" s="312"/>
    </row>
    <row r="3" spans="1:82" s="72" customFormat="1" ht="42" customHeight="1" x14ac:dyDescent="0.25">
      <c r="A3" s="532"/>
      <c r="B3" s="534"/>
      <c r="C3" s="564"/>
      <c r="D3" s="574" t="s">
        <v>45</v>
      </c>
      <c r="E3" s="575"/>
      <c r="F3" s="575" t="s">
        <v>46</v>
      </c>
      <c r="G3" s="575"/>
      <c r="H3" s="575" t="s">
        <v>47</v>
      </c>
      <c r="I3" s="575"/>
      <c r="J3" s="724" t="s">
        <v>48</v>
      </c>
      <c r="K3" s="735"/>
      <c r="L3" s="690" t="s">
        <v>88</v>
      </c>
      <c r="M3" s="691"/>
      <c r="N3" s="690" t="s">
        <v>106</v>
      </c>
      <c r="O3" s="691"/>
      <c r="P3" s="690" t="s">
        <v>107</v>
      </c>
      <c r="Q3" s="691"/>
      <c r="R3" s="690" t="s">
        <v>108</v>
      </c>
      <c r="S3" s="691"/>
      <c r="T3" s="714" t="s">
        <v>85</v>
      </c>
      <c r="U3" s="715"/>
      <c r="V3" s="714" t="s">
        <v>86</v>
      </c>
      <c r="W3" s="715"/>
      <c r="X3" s="714" t="s">
        <v>87</v>
      </c>
      <c r="Y3" s="715"/>
      <c r="Z3" s="701" t="s">
        <v>102</v>
      </c>
      <c r="AA3" s="702"/>
      <c r="AB3" s="701" t="s">
        <v>103</v>
      </c>
      <c r="AC3" s="702"/>
      <c r="AD3" s="714" t="s">
        <v>35</v>
      </c>
      <c r="AE3" s="715"/>
      <c r="AF3" s="714" t="s">
        <v>36</v>
      </c>
      <c r="AG3" s="715"/>
      <c r="AH3" s="714" t="s">
        <v>56</v>
      </c>
      <c r="AI3" s="715"/>
      <c r="AJ3" s="714" t="s">
        <v>40</v>
      </c>
      <c r="AK3" s="715"/>
      <c r="AL3" s="701" t="s">
        <v>104</v>
      </c>
      <c r="AM3" s="702"/>
      <c r="AN3" s="701" t="s">
        <v>105</v>
      </c>
      <c r="AO3" s="720"/>
      <c r="AP3" s="701" t="s">
        <v>26</v>
      </c>
      <c r="AQ3" s="702"/>
      <c r="AR3" s="701" t="s">
        <v>59</v>
      </c>
      <c r="AS3" s="702"/>
      <c r="AT3" s="703" t="s">
        <v>48</v>
      </c>
      <c r="AU3" s="710" t="s">
        <v>6</v>
      </c>
      <c r="AV3" s="711"/>
      <c r="AW3" s="710" t="s">
        <v>60</v>
      </c>
      <c r="AX3" s="711"/>
      <c r="AY3" s="710" t="s">
        <v>28</v>
      </c>
      <c r="AZ3" s="711"/>
      <c r="BA3" s="710" t="s">
        <v>27</v>
      </c>
      <c r="BB3" s="711"/>
      <c r="BC3" s="710" t="s">
        <v>38</v>
      </c>
      <c r="BD3" s="711"/>
      <c r="BE3" s="710" t="s">
        <v>25</v>
      </c>
      <c r="BF3" s="711"/>
      <c r="BG3" s="710" t="s">
        <v>37</v>
      </c>
      <c r="BH3" s="711"/>
      <c r="BI3" s="710" t="s">
        <v>26</v>
      </c>
      <c r="BJ3" s="711"/>
      <c r="BK3" s="710" t="s">
        <v>61</v>
      </c>
      <c r="BL3" s="711"/>
      <c r="BM3" s="710" t="s">
        <v>58</v>
      </c>
      <c r="BN3" s="711"/>
      <c r="BO3" s="733" t="s">
        <v>48</v>
      </c>
      <c r="BP3" s="578"/>
      <c r="BQ3" s="722"/>
      <c r="BR3" s="695"/>
      <c r="CB3" s="312"/>
      <c r="CC3" s="312"/>
      <c r="CD3" s="312"/>
    </row>
    <row r="4" spans="1:82" s="72" customFormat="1" ht="20.25" customHeight="1" x14ac:dyDescent="0.25">
      <c r="A4" s="532"/>
      <c r="B4" s="534"/>
      <c r="C4" s="564"/>
      <c r="D4" s="548" t="s">
        <v>43</v>
      </c>
      <c r="E4" s="82" t="s">
        <v>44</v>
      </c>
      <c r="F4" s="548" t="s">
        <v>43</v>
      </c>
      <c r="G4" s="82" t="s">
        <v>44</v>
      </c>
      <c r="H4" s="548" t="s">
        <v>43</v>
      </c>
      <c r="I4" s="82" t="s">
        <v>44</v>
      </c>
      <c r="J4" s="725"/>
      <c r="K4" s="735"/>
      <c r="L4" s="718" t="s">
        <v>89</v>
      </c>
      <c r="M4" s="128" t="s">
        <v>44</v>
      </c>
      <c r="N4" s="696" t="s">
        <v>43</v>
      </c>
      <c r="O4" s="128" t="s">
        <v>44</v>
      </c>
      <c r="P4" s="696" t="s">
        <v>43</v>
      </c>
      <c r="Q4" s="128" t="s">
        <v>44</v>
      </c>
      <c r="R4" s="696" t="s">
        <v>43</v>
      </c>
      <c r="S4" s="128" t="s">
        <v>44</v>
      </c>
      <c r="T4" s="696" t="s">
        <v>43</v>
      </c>
      <c r="U4" s="128" t="s">
        <v>44</v>
      </c>
      <c r="V4" s="696" t="s">
        <v>43</v>
      </c>
      <c r="W4" s="128" t="s">
        <v>44</v>
      </c>
      <c r="X4" s="696" t="s">
        <v>43</v>
      </c>
      <c r="Y4" s="128" t="s">
        <v>44</v>
      </c>
      <c r="Z4" s="696" t="s">
        <v>43</v>
      </c>
      <c r="AA4" s="128" t="s">
        <v>44</v>
      </c>
      <c r="AB4" s="696" t="s">
        <v>43</v>
      </c>
      <c r="AC4" s="128" t="s">
        <v>44</v>
      </c>
      <c r="AD4" s="696" t="s">
        <v>43</v>
      </c>
      <c r="AE4" s="128" t="s">
        <v>44</v>
      </c>
      <c r="AF4" s="696" t="s">
        <v>43</v>
      </c>
      <c r="AG4" s="128" t="s">
        <v>44</v>
      </c>
      <c r="AH4" s="696" t="s">
        <v>43</v>
      </c>
      <c r="AI4" s="128" t="s">
        <v>44</v>
      </c>
      <c r="AJ4" s="696" t="s">
        <v>43</v>
      </c>
      <c r="AK4" s="128" t="s">
        <v>44</v>
      </c>
      <c r="AL4" s="696" t="s">
        <v>43</v>
      </c>
      <c r="AM4" s="128" t="s">
        <v>44</v>
      </c>
      <c r="AN4" s="696" t="s">
        <v>43</v>
      </c>
      <c r="AO4" s="128" t="s">
        <v>44</v>
      </c>
      <c r="AP4" s="696" t="s">
        <v>43</v>
      </c>
      <c r="AQ4" s="128" t="s">
        <v>44</v>
      </c>
      <c r="AR4" s="730" t="s">
        <v>43</v>
      </c>
      <c r="AS4" s="128" t="s">
        <v>44</v>
      </c>
      <c r="AT4" s="556"/>
      <c r="AU4" s="536" t="s">
        <v>43</v>
      </c>
      <c r="AV4" s="176" t="s">
        <v>44</v>
      </c>
      <c r="AW4" s="712" t="s">
        <v>43</v>
      </c>
      <c r="AX4" s="176" t="s">
        <v>44</v>
      </c>
      <c r="AY4" s="712" t="s">
        <v>43</v>
      </c>
      <c r="AZ4" s="176" t="s">
        <v>44</v>
      </c>
      <c r="BA4" s="712" t="s">
        <v>43</v>
      </c>
      <c r="BB4" s="176" t="s">
        <v>44</v>
      </c>
      <c r="BC4" s="712" t="s">
        <v>43</v>
      </c>
      <c r="BD4" s="176" t="s">
        <v>44</v>
      </c>
      <c r="BE4" s="712" t="s">
        <v>43</v>
      </c>
      <c r="BF4" s="176" t="s">
        <v>44</v>
      </c>
      <c r="BG4" s="712" t="s">
        <v>43</v>
      </c>
      <c r="BH4" s="176" t="s">
        <v>44</v>
      </c>
      <c r="BI4" s="712" t="s">
        <v>43</v>
      </c>
      <c r="BJ4" s="176" t="s">
        <v>44</v>
      </c>
      <c r="BK4" s="712" t="s">
        <v>43</v>
      </c>
      <c r="BL4" s="176" t="s">
        <v>44</v>
      </c>
      <c r="BM4" s="716" t="s">
        <v>43</v>
      </c>
      <c r="BN4" s="175" t="s">
        <v>44</v>
      </c>
      <c r="BO4" s="588"/>
      <c r="BP4" s="578"/>
      <c r="BQ4" s="722"/>
      <c r="BR4" s="695"/>
      <c r="CB4" s="312"/>
      <c r="CC4" s="312"/>
      <c r="CD4" s="312"/>
    </row>
    <row r="5" spans="1:82" s="72" customFormat="1" ht="21" customHeight="1" thickBot="1" x14ac:dyDescent="0.3">
      <c r="A5" s="533"/>
      <c r="B5" s="535"/>
      <c r="C5" s="564"/>
      <c r="D5" s="549"/>
      <c r="E5" s="90"/>
      <c r="F5" s="549"/>
      <c r="G5" s="90"/>
      <c r="H5" s="549"/>
      <c r="I5" s="90"/>
      <c r="J5" s="725"/>
      <c r="K5" s="736"/>
      <c r="L5" s="719"/>
      <c r="M5" s="129">
        <f>'VALOR HH'!B10</f>
        <v>7078</v>
      </c>
      <c r="N5" s="697"/>
      <c r="O5" s="129">
        <f>'VALOR HH'!B10</f>
        <v>7078</v>
      </c>
      <c r="P5" s="697"/>
      <c r="Q5" s="129">
        <f>'VALOR HH'!B11</f>
        <v>5348</v>
      </c>
      <c r="R5" s="697"/>
      <c r="S5" s="129">
        <f>'VALOR HH'!B9</f>
        <v>7226</v>
      </c>
      <c r="T5" s="697"/>
      <c r="U5" s="129">
        <f>+O5</f>
        <v>7078</v>
      </c>
      <c r="V5" s="697"/>
      <c r="W5" s="129">
        <f>+Q5</f>
        <v>5348</v>
      </c>
      <c r="X5" s="697"/>
      <c r="Y5" s="129">
        <f>S5</f>
        <v>7226</v>
      </c>
      <c r="Z5" s="697"/>
      <c r="AA5" s="129">
        <f>'VALOR HH'!B12</f>
        <v>5647</v>
      </c>
      <c r="AB5" s="697"/>
      <c r="AC5" s="129">
        <f>'VALOR HH'!B6</f>
        <v>6921</v>
      </c>
      <c r="AD5" s="697"/>
      <c r="AE5" s="129">
        <f>+O5</f>
        <v>7078</v>
      </c>
      <c r="AF5" s="697"/>
      <c r="AG5" s="129">
        <f>+Q5</f>
        <v>5348</v>
      </c>
      <c r="AH5" s="697"/>
      <c r="AI5" s="151">
        <f>+Y5</f>
        <v>7226</v>
      </c>
      <c r="AJ5" s="697"/>
      <c r="AK5" s="129">
        <f>'VALOR HH'!B9</f>
        <v>7226</v>
      </c>
      <c r="AL5" s="697"/>
      <c r="AM5" s="129">
        <f>+AA5</f>
        <v>5647</v>
      </c>
      <c r="AN5" s="697"/>
      <c r="AO5" s="129">
        <f>+AC5</f>
        <v>6921</v>
      </c>
      <c r="AP5" s="697"/>
      <c r="AQ5" s="129">
        <f>'VALOR HH'!B12</f>
        <v>5647</v>
      </c>
      <c r="AR5" s="731"/>
      <c r="AS5" s="129">
        <f>+SECOS!Y5</f>
        <v>6194</v>
      </c>
      <c r="AT5" s="557"/>
      <c r="AU5" s="732"/>
      <c r="AV5" s="177">
        <f>'VALOR HH'!B2</f>
        <v>6310</v>
      </c>
      <c r="AW5" s="713"/>
      <c r="AX5" s="177">
        <f>'VALOR HH'!B4</f>
        <v>6300</v>
      </c>
      <c r="AY5" s="713"/>
      <c r="AZ5" s="177">
        <f>'VALOR HH'!B5</f>
        <v>5370</v>
      </c>
      <c r="BA5" s="713"/>
      <c r="BB5" s="177">
        <f>+AZ5</f>
        <v>5370</v>
      </c>
      <c r="BC5" s="713"/>
      <c r="BD5" s="177">
        <f>'VALOR HH'!B2</f>
        <v>6310</v>
      </c>
      <c r="BE5" s="713"/>
      <c r="BF5" s="177">
        <f>'VALOR HH'!B3</f>
        <v>6737</v>
      </c>
      <c r="BG5" s="713"/>
      <c r="BH5" s="177">
        <f>'VALOR HH'!B3</f>
        <v>6737</v>
      </c>
      <c r="BI5" s="713"/>
      <c r="BJ5" s="177">
        <f>'VALOR HH'!B7</f>
        <v>13213</v>
      </c>
      <c r="BK5" s="713"/>
      <c r="BL5" s="177">
        <f>'VALOR HH'!B8</f>
        <v>5757</v>
      </c>
      <c r="BM5" s="717"/>
      <c r="BN5" s="91">
        <f>+SECOS!AX5</f>
        <v>6732</v>
      </c>
      <c r="BO5" s="588"/>
      <c r="BP5" s="579"/>
      <c r="BQ5" s="723"/>
      <c r="BR5" s="695"/>
      <c r="CB5" s="351">
        <v>42950.497777777775</v>
      </c>
      <c r="CC5" s="312" t="s">
        <v>167</v>
      </c>
      <c r="CD5" s="312"/>
    </row>
    <row r="6" spans="1:82" ht="19.5" thickBot="1" x14ac:dyDescent="0.35">
      <c r="A6" s="704" t="s">
        <v>3</v>
      </c>
      <c r="B6" s="704" t="s">
        <v>31</v>
      </c>
      <c r="C6" s="132">
        <v>15</v>
      </c>
      <c r="D6" s="146">
        <v>4</v>
      </c>
      <c r="E6" s="92">
        <f>$E$5</f>
        <v>0</v>
      </c>
      <c r="F6" s="105">
        <v>8</v>
      </c>
      <c r="G6" s="92">
        <f>$G$5</f>
        <v>0</v>
      </c>
      <c r="H6" s="105">
        <v>2</v>
      </c>
      <c r="I6" s="92">
        <f>$I$5</f>
        <v>0</v>
      </c>
      <c r="J6" s="98">
        <f>D6*E6+F6*G6+H6*I6</f>
        <v>0</v>
      </c>
      <c r="K6" s="334" t="str">
        <f>C6&amp;$B$6&amp;$A$6</f>
        <v>15CNV1.1KV</v>
      </c>
      <c r="L6" s="269">
        <v>1</v>
      </c>
      <c r="M6" s="285">
        <f>$M$5*L6</f>
        <v>7078</v>
      </c>
      <c r="N6" s="264">
        <v>0.25</v>
      </c>
      <c r="O6" s="285">
        <f>$O$5*N6</f>
        <v>1769.5</v>
      </c>
      <c r="P6" s="264">
        <v>0.25</v>
      </c>
      <c r="Q6" s="285">
        <f>$Q$5*P6</f>
        <v>1337</v>
      </c>
      <c r="R6" s="241">
        <v>0</v>
      </c>
      <c r="S6" s="285">
        <f>$S$5*R6</f>
        <v>0</v>
      </c>
      <c r="T6" s="264">
        <v>0</v>
      </c>
      <c r="U6" s="266">
        <f>$U$5*T6</f>
        <v>0</v>
      </c>
      <c r="V6" s="264">
        <v>0</v>
      </c>
      <c r="W6" s="266">
        <f>$W$5*V6</f>
        <v>0</v>
      </c>
      <c r="X6" s="264">
        <v>0</v>
      </c>
      <c r="Y6" s="266">
        <f>$Y$5*X6</f>
        <v>0</v>
      </c>
      <c r="Z6" s="264">
        <v>0</v>
      </c>
      <c r="AA6" s="266">
        <f>$AA$5*Z6</f>
        <v>0</v>
      </c>
      <c r="AB6" s="264">
        <v>0</v>
      </c>
      <c r="AC6" s="266">
        <f>$AC$5*AB6</f>
        <v>0</v>
      </c>
      <c r="AD6" s="264">
        <v>0.75</v>
      </c>
      <c r="AE6" s="266">
        <f>$AE$5*AD6</f>
        <v>5308.5</v>
      </c>
      <c r="AF6" s="264">
        <v>0.5</v>
      </c>
      <c r="AG6" s="266">
        <f>$AG$5*AF6</f>
        <v>2674</v>
      </c>
      <c r="AH6" s="264">
        <v>12</v>
      </c>
      <c r="AI6" s="266">
        <f>$AI$5*AH6</f>
        <v>86712</v>
      </c>
      <c r="AJ6" s="264">
        <v>0</v>
      </c>
      <c r="AK6" s="266">
        <f>$AK$5*AJ6</f>
        <v>0</v>
      </c>
      <c r="AL6" s="264">
        <v>1</v>
      </c>
      <c r="AM6" s="266">
        <f>$AM$5*AL6</f>
        <v>5647</v>
      </c>
      <c r="AN6" s="264">
        <v>1.25</v>
      </c>
      <c r="AO6" s="266">
        <f>$AO$5*AN6</f>
        <v>8651.25</v>
      </c>
      <c r="AP6" s="264">
        <v>1.5</v>
      </c>
      <c r="AQ6" s="266">
        <f>$AQ$5*AN6</f>
        <v>7058.75</v>
      </c>
      <c r="AR6" s="286"/>
      <c r="AS6" s="266">
        <f>$AS$5*AR6</f>
        <v>0</v>
      </c>
      <c r="AT6" s="287">
        <f>+M6+O6+Q6+S6+U6+W6+Y6+AA6+AC6+AE6+AG6+AI6+AK6+AM6+AO6+AQ6+AS6</f>
        <v>126236</v>
      </c>
      <c r="AU6" s="269">
        <v>25.5</v>
      </c>
      <c r="AV6" s="285">
        <f>$AV$5*AU6</f>
        <v>160905</v>
      </c>
      <c r="AW6" s="264">
        <v>6.85</v>
      </c>
      <c r="AX6" s="285">
        <f>$AX$5*AW6</f>
        <v>43155</v>
      </c>
      <c r="AY6" s="264">
        <v>1.2</v>
      </c>
      <c r="AZ6" s="285">
        <f>$AZ$5*AY6</f>
        <v>6444</v>
      </c>
      <c r="BA6" s="264">
        <v>0</v>
      </c>
      <c r="BB6" s="285">
        <f>$BB$5*BA6</f>
        <v>0</v>
      </c>
      <c r="BC6" s="264">
        <v>1.95</v>
      </c>
      <c r="BD6" s="285">
        <f>$BD$5*BC6</f>
        <v>12304.5</v>
      </c>
      <c r="BE6" s="264">
        <v>8.75</v>
      </c>
      <c r="BF6" s="285">
        <f>$BF$5*BE6</f>
        <v>58948.75</v>
      </c>
      <c r="BG6" s="264">
        <v>3.45</v>
      </c>
      <c r="BH6" s="285">
        <f>$BH$5*BG6</f>
        <v>23242.65</v>
      </c>
      <c r="BI6" s="264">
        <v>1.5</v>
      </c>
      <c r="BJ6" s="285">
        <f>$BJ$5*BI6</f>
        <v>19819.5</v>
      </c>
      <c r="BK6" s="264">
        <v>2.0499999999999998</v>
      </c>
      <c r="BL6" s="266">
        <f>$BL$5*BK6</f>
        <v>11801.849999999999</v>
      </c>
      <c r="BM6" s="286"/>
      <c r="BN6" s="92">
        <f>+$BN$5*BM6</f>
        <v>0</v>
      </c>
      <c r="BO6" s="93">
        <f>+AV6+AX6+AZ6+BB6+BD6+BF6+BH6+BJ6+BL6+BN6</f>
        <v>336621.25</v>
      </c>
      <c r="BP6" s="223">
        <f>AT6+BO6</f>
        <v>462857.25</v>
      </c>
      <c r="BQ6" s="280">
        <f>+$BQ$1*BR6</f>
        <v>453375</v>
      </c>
      <c r="BR6" s="34">
        <f>+L6+N6+P6+R6+T6+V6+X6+Z6+AB6+AD6+AF6+AH6+AJ6+AL6+AN6+AP6+AR6+AU6+AW6+AY6+BA6+BC6+BE6+BG6+BI6+BK6+BM6</f>
        <v>69.75</v>
      </c>
      <c r="CB6" s="277">
        <v>42795.599618055552</v>
      </c>
      <c r="CC6" s="277" t="s">
        <v>115</v>
      </c>
    </row>
    <row r="7" spans="1:82" ht="19.5" thickBot="1" x14ac:dyDescent="0.35">
      <c r="A7" s="705"/>
      <c r="B7" s="705"/>
      <c r="C7" s="133">
        <v>30</v>
      </c>
      <c r="D7" s="147">
        <v>4</v>
      </c>
      <c r="E7" s="95">
        <f t="shared" ref="E7:E74" si="0">$E$5</f>
        <v>0</v>
      </c>
      <c r="F7" s="103">
        <v>8</v>
      </c>
      <c r="G7" s="95">
        <f t="shared" ref="G7:G74" si="1">$G$5</f>
        <v>0</v>
      </c>
      <c r="H7" s="103">
        <v>2</v>
      </c>
      <c r="I7" s="95">
        <f t="shared" ref="I7:I74" si="2">$I$5</f>
        <v>0</v>
      </c>
      <c r="J7" s="84">
        <f t="shared" ref="J7:J59" si="3">D7*E7+F7*G7+H7*I7</f>
        <v>0</v>
      </c>
      <c r="K7" s="334" t="str">
        <f t="shared" ref="K7:K21" si="4">C7&amp;$B$6&amp;$A$6</f>
        <v>30CNV1.1KV</v>
      </c>
      <c r="L7" s="248">
        <v>1</v>
      </c>
      <c r="M7" s="285">
        <f t="shared" ref="M7:M73" si="5">$M$5*L7</f>
        <v>7078</v>
      </c>
      <c r="N7" s="241">
        <v>0.25</v>
      </c>
      <c r="O7" s="285">
        <f t="shared" ref="O7:O73" si="6">$O$5*N7</f>
        <v>1769.5</v>
      </c>
      <c r="P7" s="241">
        <v>0.25</v>
      </c>
      <c r="Q7" s="285">
        <f t="shared" ref="Q7:Q73" si="7">$Q$5*P7</f>
        <v>1337</v>
      </c>
      <c r="R7" s="241">
        <v>0</v>
      </c>
      <c r="S7" s="285">
        <f t="shared" ref="S7:S73" si="8">$S$5*R7</f>
        <v>0</v>
      </c>
      <c r="T7" s="241">
        <v>0</v>
      </c>
      <c r="U7" s="266">
        <f t="shared" ref="U7:U73" si="9">$U$5*T7</f>
        <v>0</v>
      </c>
      <c r="V7" s="241">
        <v>0</v>
      </c>
      <c r="W7" s="266">
        <f t="shared" ref="W7:W73" si="10">$W$5*V7</f>
        <v>0</v>
      </c>
      <c r="X7" s="241">
        <v>0</v>
      </c>
      <c r="Y7" s="266">
        <f t="shared" ref="Y7:Y73" si="11">$Y$5*X7</f>
        <v>0</v>
      </c>
      <c r="Z7" s="241">
        <v>0</v>
      </c>
      <c r="AA7" s="266">
        <f t="shared" ref="AA7:AA73" si="12">$AA$5*Z7</f>
        <v>0</v>
      </c>
      <c r="AB7" s="241">
        <v>0</v>
      </c>
      <c r="AC7" s="266">
        <f t="shared" ref="AC7:AC73" si="13">$AC$5*AB7</f>
        <v>0</v>
      </c>
      <c r="AD7" s="241">
        <v>0.75</v>
      </c>
      <c r="AE7" s="266">
        <f t="shared" ref="AE7:AE73" si="14">$AE$5*AD7</f>
        <v>5308.5</v>
      </c>
      <c r="AF7" s="241">
        <v>0.5</v>
      </c>
      <c r="AG7" s="266">
        <f t="shared" ref="AG7:AG73" si="15">$AG$5*AF7</f>
        <v>2674</v>
      </c>
      <c r="AH7" s="241">
        <v>12</v>
      </c>
      <c r="AI7" s="266">
        <f t="shared" ref="AI7:AI73" si="16">$AI$5*AH7</f>
        <v>86712</v>
      </c>
      <c r="AJ7" s="241">
        <v>0</v>
      </c>
      <c r="AK7" s="266">
        <f t="shared" ref="AK7:AK73" si="17">$AK$5*AJ7</f>
        <v>0</v>
      </c>
      <c r="AL7" s="241">
        <v>1</v>
      </c>
      <c r="AM7" s="266">
        <f t="shared" ref="AM7:AM73" si="18">$AM$5*AL7</f>
        <v>5647</v>
      </c>
      <c r="AN7" s="241">
        <v>1.25</v>
      </c>
      <c r="AO7" s="266">
        <f t="shared" ref="AO7:AO73" si="19">$AO$5*AN7</f>
        <v>8651.25</v>
      </c>
      <c r="AP7" s="241">
        <v>1.5</v>
      </c>
      <c r="AQ7" s="266">
        <f t="shared" ref="AQ7:AQ73" si="20">$AQ$5*AN7</f>
        <v>7058.75</v>
      </c>
      <c r="AR7" s="288"/>
      <c r="AS7" s="266">
        <f t="shared" ref="AS7:AS73" si="21">$AS$5*AR7</f>
        <v>0</v>
      </c>
      <c r="AT7" s="287">
        <f t="shared" ref="AT7:AT73" si="22">+M7+O7+Q7+S7+U7+W7+Y7+AA7+AC7+AE7+AG7+AI7+AK7+AM7+AO7+AQ7+AS7</f>
        <v>126236</v>
      </c>
      <c r="AU7" s="248">
        <v>25.5</v>
      </c>
      <c r="AV7" s="285">
        <f t="shared" ref="AV7:AV73" si="23">$AV$5*AU7</f>
        <v>160905</v>
      </c>
      <c r="AW7" s="241">
        <v>6.85</v>
      </c>
      <c r="AX7" s="285">
        <f t="shared" ref="AX7:AX73" si="24">$AX$5*AW7</f>
        <v>43155</v>
      </c>
      <c r="AY7" s="241">
        <v>1.2</v>
      </c>
      <c r="AZ7" s="285">
        <f t="shared" ref="AZ7:AZ73" si="25">$AZ$5*AY7</f>
        <v>6444</v>
      </c>
      <c r="BA7" s="241">
        <v>0</v>
      </c>
      <c r="BB7" s="285">
        <f t="shared" ref="BB7:BB73" si="26">$BB$5*BA7</f>
        <v>0</v>
      </c>
      <c r="BC7" s="241">
        <v>1.95</v>
      </c>
      <c r="BD7" s="285">
        <f t="shared" ref="BD7:BD73" si="27">$BD$5*BC7</f>
        <v>12304.5</v>
      </c>
      <c r="BE7" s="241">
        <v>8.75</v>
      </c>
      <c r="BF7" s="285">
        <f t="shared" ref="BF7:BF73" si="28">$BF$5*BE7</f>
        <v>58948.75</v>
      </c>
      <c r="BG7" s="241">
        <v>3.45</v>
      </c>
      <c r="BH7" s="285">
        <f t="shared" ref="BH7:BH73" si="29">$BH$5*BG7</f>
        <v>23242.65</v>
      </c>
      <c r="BI7" s="241">
        <v>1.5</v>
      </c>
      <c r="BJ7" s="285">
        <f t="shared" ref="BJ7:BJ73" si="30">$BJ$5*BI7</f>
        <v>19819.5</v>
      </c>
      <c r="BK7" s="241">
        <v>2.0499999999999998</v>
      </c>
      <c r="BL7" s="266">
        <f t="shared" ref="BL7:BL73" si="31">$BL$5*BK7</f>
        <v>11801.849999999999</v>
      </c>
      <c r="BM7" s="288"/>
      <c r="BN7" s="92">
        <f t="shared" ref="BN7:BN73" si="32">+$BN$5*BM7</f>
        <v>0</v>
      </c>
      <c r="BO7" s="93">
        <f t="shared" ref="BO7:BO73" si="33">+AV7+AX7+AZ7+BB7+BD7+BF7+BH7+BJ7+BL7+BN7</f>
        <v>336621.25</v>
      </c>
      <c r="BP7" s="223">
        <f t="shared" ref="BP7:BP73" si="34">AT7+BO7</f>
        <v>462857.25</v>
      </c>
      <c r="BQ7" s="280">
        <f t="shared" ref="BQ7:BQ73" si="35">+$BQ$1*BR7</f>
        <v>453375</v>
      </c>
      <c r="BR7" s="34">
        <f t="shared" ref="BR7:BR73" si="36">+L7+N7+P7+R7+T7+V7+X7+Z7+AB7+AD7+AF7+AH7+AJ7+AL7+AN7+AP7+AR7+AU7+AW7+AY7+BA7+BC7+BE7+BG7+BI7+BK7+BM7</f>
        <v>69.75</v>
      </c>
      <c r="CB7" s="277">
        <v>42745.424201388887</v>
      </c>
      <c r="CC7" s="276" t="s">
        <v>115</v>
      </c>
    </row>
    <row r="8" spans="1:82" ht="19.5" thickBot="1" x14ac:dyDescent="0.35">
      <c r="A8" s="705"/>
      <c r="B8" s="705"/>
      <c r="C8" s="133">
        <v>45</v>
      </c>
      <c r="D8" s="147">
        <v>4</v>
      </c>
      <c r="E8" s="95">
        <f t="shared" si="0"/>
        <v>0</v>
      </c>
      <c r="F8" s="103">
        <v>8</v>
      </c>
      <c r="G8" s="95">
        <f t="shared" si="1"/>
        <v>0</v>
      </c>
      <c r="H8" s="103">
        <v>2</v>
      </c>
      <c r="I8" s="95">
        <f t="shared" si="2"/>
        <v>0</v>
      </c>
      <c r="J8" s="84">
        <f t="shared" si="3"/>
        <v>0</v>
      </c>
      <c r="K8" s="334" t="str">
        <f t="shared" si="4"/>
        <v>45CNV1.1KV</v>
      </c>
      <c r="L8" s="248">
        <v>1</v>
      </c>
      <c r="M8" s="285">
        <f t="shared" si="5"/>
        <v>7078</v>
      </c>
      <c r="N8" s="241">
        <v>0.25</v>
      </c>
      <c r="O8" s="285">
        <f t="shared" si="6"/>
        <v>1769.5</v>
      </c>
      <c r="P8" s="241">
        <v>0.25</v>
      </c>
      <c r="Q8" s="285">
        <f t="shared" si="7"/>
        <v>1337</v>
      </c>
      <c r="R8" s="241">
        <v>0</v>
      </c>
      <c r="S8" s="285">
        <f t="shared" si="8"/>
        <v>0</v>
      </c>
      <c r="T8" s="241">
        <v>0</v>
      </c>
      <c r="U8" s="266">
        <f t="shared" si="9"/>
        <v>0</v>
      </c>
      <c r="V8" s="241">
        <v>0</v>
      </c>
      <c r="W8" s="266">
        <f t="shared" si="10"/>
        <v>0</v>
      </c>
      <c r="X8" s="241">
        <v>0</v>
      </c>
      <c r="Y8" s="266">
        <f t="shared" si="11"/>
        <v>0</v>
      </c>
      <c r="Z8" s="241">
        <v>0</v>
      </c>
      <c r="AA8" s="266">
        <f t="shared" si="12"/>
        <v>0</v>
      </c>
      <c r="AB8" s="241">
        <v>0</v>
      </c>
      <c r="AC8" s="266">
        <f t="shared" si="13"/>
        <v>0</v>
      </c>
      <c r="AD8" s="241">
        <v>0.75</v>
      </c>
      <c r="AE8" s="266">
        <f t="shared" si="14"/>
        <v>5308.5</v>
      </c>
      <c r="AF8" s="241">
        <v>0.5</v>
      </c>
      <c r="AG8" s="266">
        <f t="shared" si="15"/>
        <v>2674</v>
      </c>
      <c r="AH8" s="241">
        <v>12</v>
      </c>
      <c r="AI8" s="266">
        <f t="shared" si="16"/>
        <v>86712</v>
      </c>
      <c r="AJ8" s="241">
        <v>0</v>
      </c>
      <c r="AK8" s="266">
        <f t="shared" si="17"/>
        <v>0</v>
      </c>
      <c r="AL8" s="241">
        <v>1</v>
      </c>
      <c r="AM8" s="266">
        <f t="shared" si="18"/>
        <v>5647</v>
      </c>
      <c r="AN8" s="241">
        <v>1.25</v>
      </c>
      <c r="AO8" s="266">
        <f t="shared" si="19"/>
        <v>8651.25</v>
      </c>
      <c r="AP8" s="241">
        <v>1.5</v>
      </c>
      <c r="AQ8" s="266">
        <f t="shared" si="20"/>
        <v>7058.75</v>
      </c>
      <c r="AR8" s="288"/>
      <c r="AS8" s="266">
        <f t="shared" si="21"/>
        <v>0</v>
      </c>
      <c r="AT8" s="287">
        <f t="shared" si="22"/>
        <v>126236</v>
      </c>
      <c r="AU8" s="248">
        <v>25.5</v>
      </c>
      <c r="AV8" s="285">
        <f t="shared" si="23"/>
        <v>160905</v>
      </c>
      <c r="AW8" s="241">
        <v>6.85</v>
      </c>
      <c r="AX8" s="285">
        <f t="shared" si="24"/>
        <v>43155</v>
      </c>
      <c r="AY8" s="241">
        <v>1.2</v>
      </c>
      <c r="AZ8" s="285">
        <f t="shared" si="25"/>
        <v>6444</v>
      </c>
      <c r="BA8" s="241">
        <v>0</v>
      </c>
      <c r="BB8" s="285">
        <f t="shared" si="26"/>
        <v>0</v>
      </c>
      <c r="BC8" s="241">
        <v>1.95</v>
      </c>
      <c r="BD8" s="285">
        <f t="shared" si="27"/>
        <v>12304.5</v>
      </c>
      <c r="BE8" s="241">
        <v>8.75</v>
      </c>
      <c r="BF8" s="285">
        <f t="shared" si="28"/>
        <v>58948.75</v>
      </c>
      <c r="BG8" s="241">
        <v>3.45</v>
      </c>
      <c r="BH8" s="285">
        <f t="shared" si="29"/>
        <v>23242.65</v>
      </c>
      <c r="BI8" s="241">
        <v>1.5</v>
      </c>
      <c r="BJ8" s="285">
        <f t="shared" si="30"/>
        <v>19819.5</v>
      </c>
      <c r="BK8" s="241">
        <v>2.0499999999999998</v>
      </c>
      <c r="BL8" s="266">
        <f t="shared" si="31"/>
        <v>11801.849999999999</v>
      </c>
      <c r="BM8" s="288"/>
      <c r="BN8" s="92">
        <f t="shared" si="32"/>
        <v>0</v>
      </c>
      <c r="BO8" s="93">
        <f t="shared" si="33"/>
        <v>336621.25</v>
      </c>
      <c r="BP8" s="223">
        <f t="shared" si="34"/>
        <v>462857.25</v>
      </c>
      <c r="BQ8" s="280">
        <f t="shared" si="35"/>
        <v>453375</v>
      </c>
      <c r="BR8" s="34">
        <f t="shared" si="36"/>
        <v>69.75</v>
      </c>
    </row>
    <row r="9" spans="1:82" ht="19.5" thickBot="1" x14ac:dyDescent="0.35">
      <c r="A9" s="705"/>
      <c r="B9" s="705"/>
      <c r="C9" s="133">
        <v>75</v>
      </c>
      <c r="D9" s="147">
        <v>4</v>
      </c>
      <c r="E9" s="95">
        <f t="shared" si="0"/>
        <v>0</v>
      </c>
      <c r="F9" s="103">
        <v>8</v>
      </c>
      <c r="G9" s="95">
        <f t="shared" si="1"/>
        <v>0</v>
      </c>
      <c r="H9" s="103">
        <v>2</v>
      </c>
      <c r="I9" s="95">
        <f t="shared" si="2"/>
        <v>0</v>
      </c>
      <c r="J9" s="84">
        <f t="shared" si="3"/>
        <v>0</v>
      </c>
      <c r="K9" s="334" t="str">
        <f t="shared" si="4"/>
        <v>75CNV1.1KV</v>
      </c>
      <c r="L9" s="248">
        <v>1</v>
      </c>
      <c r="M9" s="285">
        <f t="shared" si="5"/>
        <v>7078</v>
      </c>
      <c r="N9" s="241">
        <v>0.25</v>
      </c>
      <c r="O9" s="285">
        <f t="shared" si="6"/>
        <v>1769.5</v>
      </c>
      <c r="P9" s="241">
        <v>0.25</v>
      </c>
      <c r="Q9" s="285">
        <f t="shared" si="7"/>
        <v>1337</v>
      </c>
      <c r="R9" s="241">
        <v>0</v>
      </c>
      <c r="S9" s="285">
        <f t="shared" si="8"/>
        <v>0</v>
      </c>
      <c r="T9" s="241">
        <v>0</v>
      </c>
      <c r="U9" s="266">
        <f t="shared" si="9"/>
        <v>0</v>
      </c>
      <c r="V9" s="241">
        <v>0</v>
      </c>
      <c r="W9" s="266">
        <f t="shared" si="10"/>
        <v>0</v>
      </c>
      <c r="X9" s="241">
        <v>0</v>
      </c>
      <c r="Y9" s="266">
        <f t="shared" si="11"/>
        <v>0</v>
      </c>
      <c r="Z9" s="241">
        <v>0</v>
      </c>
      <c r="AA9" s="266">
        <f t="shared" si="12"/>
        <v>0</v>
      </c>
      <c r="AB9" s="241">
        <v>0</v>
      </c>
      <c r="AC9" s="266">
        <f t="shared" si="13"/>
        <v>0</v>
      </c>
      <c r="AD9" s="241">
        <v>0.75</v>
      </c>
      <c r="AE9" s="266">
        <f t="shared" si="14"/>
        <v>5308.5</v>
      </c>
      <c r="AF9" s="241">
        <v>0.5</v>
      </c>
      <c r="AG9" s="266">
        <f t="shared" si="15"/>
        <v>2674</v>
      </c>
      <c r="AH9" s="241">
        <v>12</v>
      </c>
      <c r="AI9" s="266">
        <f t="shared" si="16"/>
        <v>86712</v>
      </c>
      <c r="AJ9" s="241">
        <v>2.125</v>
      </c>
      <c r="AK9" s="266">
        <f t="shared" si="17"/>
        <v>15355.25</v>
      </c>
      <c r="AL9" s="241">
        <v>1</v>
      </c>
      <c r="AM9" s="266">
        <f t="shared" si="18"/>
        <v>5647</v>
      </c>
      <c r="AN9" s="241">
        <v>1.25</v>
      </c>
      <c r="AO9" s="266">
        <f t="shared" si="19"/>
        <v>8651.25</v>
      </c>
      <c r="AP9" s="241">
        <v>1.5</v>
      </c>
      <c r="AQ9" s="266">
        <f t="shared" si="20"/>
        <v>7058.75</v>
      </c>
      <c r="AR9" s="288"/>
      <c r="AS9" s="266">
        <f t="shared" si="21"/>
        <v>0</v>
      </c>
      <c r="AT9" s="287">
        <f t="shared" si="22"/>
        <v>141591.25</v>
      </c>
      <c r="AU9" s="248">
        <v>17.649999999999999</v>
      </c>
      <c r="AV9" s="285">
        <f t="shared" si="23"/>
        <v>111371.49999999999</v>
      </c>
      <c r="AW9" s="240">
        <v>6.96</v>
      </c>
      <c r="AX9" s="285">
        <f t="shared" si="24"/>
        <v>43848</v>
      </c>
      <c r="AY9" s="240">
        <v>1.45</v>
      </c>
      <c r="AZ9" s="285">
        <f t="shared" si="25"/>
        <v>7786.5</v>
      </c>
      <c r="BA9" s="240">
        <v>0</v>
      </c>
      <c r="BB9" s="285">
        <f t="shared" si="26"/>
        <v>0</v>
      </c>
      <c r="BC9" s="240">
        <v>1.95</v>
      </c>
      <c r="BD9" s="285">
        <f t="shared" si="27"/>
        <v>12304.5</v>
      </c>
      <c r="BE9" s="240">
        <v>9.25</v>
      </c>
      <c r="BF9" s="285">
        <f t="shared" si="28"/>
        <v>62317.25</v>
      </c>
      <c r="BG9" s="240">
        <v>3.65</v>
      </c>
      <c r="BH9" s="285">
        <f t="shared" si="29"/>
        <v>24590.05</v>
      </c>
      <c r="BI9" s="240">
        <v>1.5</v>
      </c>
      <c r="BJ9" s="285">
        <f t="shared" si="30"/>
        <v>19819.5</v>
      </c>
      <c r="BK9" s="240">
        <v>2.4500000000000002</v>
      </c>
      <c r="BL9" s="266">
        <f t="shared" si="31"/>
        <v>14104.650000000001</v>
      </c>
      <c r="BM9" s="289"/>
      <c r="BN9" s="92">
        <f t="shared" si="32"/>
        <v>0</v>
      </c>
      <c r="BO9" s="93">
        <f t="shared" si="33"/>
        <v>296141.95</v>
      </c>
      <c r="BP9" s="223">
        <f t="shared" si="34"/>
        <v>437733.2</v>
      </c>
      <c r="BQ9" s="280">
        <f t="shared" si="35"/>
        <v>425652.5</v>
      </c>
      <c r="BR9" s="34">
        <f t="shared" si="36"/>
        <v>65.484999999999999</v>
      </c>
      <c r="CB9" s="277">
        <v>42745.522372685184</v>
      </c>
      <c r="CC9" s="276" t="s">
        <v>115</v>
      </c>
    </row>
    <row r="10" spans="1:82" ht="19.5" thickBot="1" x14ac:dyDescent="0.35">
      <c r="A10" s="705"/>
      <c r="B10" s="705"/>
      <c r="C10" s="133">
        <v>112.5</v>
      </c>
      <c r="D10" s="147">
        <v>4</v>
      </c>
      <c r="E10" s="95">
        <f t="shared" si="0"/>
        <v>0</v>
      </c>
      <c r="F10" s="103">
        <v>8</v>
      </c>
      <c r="G10" s="95">
        <f t="shared" si="1"/>
        <v>0</v>
      </c>
      <c r="H10" s="103">
        <v>2</v>
      </c>
      <c r="I10" s="95">
        <f t="shared" si="2"/>
        <v>0</v>
      </c>
      <c r="J10" s="84">
        <f t="shared" si="3"/>
        <v>0</v>
      </c>
      <c r="K10" s="334" t="str">
        <f t="shared" si="4"/>
        <v>112.5CNV1.1KV</v>
      </c>
      <c r="L10" s="248">
        <v>1</v>
      </c>
      <c r="M10" s="285">
        <f t="shared" si="5"/>
        <v>7078</v>
      </c>
      <c r="N10" s="241">
        <v>0.25</v>
      </c>
      <c r="O10" s="285">
        <f t="shared" si="6"/>
        <v>1769.5</v>
      </c>
      <c r="P10" s="241">
        <v>0.25</v>
      </c>
      <c r="Q10" s="285">
        <f t="shared" si="7"/>
        <v>1337</v>
      </c>
      <c r="R10" s="241">
        <v>0</v>
      </c>
      <c r="S10" s="285">
        <f t="shared" si="8"/>
        <v>0</v>
      </c>
      <c r="T10" s="241">
        <v>0</v>
      </c>
      <c r="U10" s="266">
        <f t="shared" si="9"/>
        <v>0</v>
      </c>
      <c r="V10" s="241">
        <v>0</v>
      </c>
      <c r="W10" s="266">
        <f t="shared" si="10"/>
        <v>0</v>
      </c>
      <c r="X10" s="241">
        <v>0</v>
      </c>
      <c r="Y10" s="266">
        <f t="shared" si="11"/>
        <v>0</v>
      </c>
      <c r="Z10" s="241">
        <v>0</v>
      </c>
      <c r="AA10" s="266">
        <f t="shared" si="12"/>
        <v>0</v>
      </c>
      <c r="AB10" s="241">
        <v>0</v>
      </c>
      <c r="AC10" s="266">
        <f t="shared" si="13"/>
        <v>0</v>
      </c>
      <c r="AD10" s="241">
        <v>0.75</v>
      </c>
      <c r="AE10" s="266">
        <f t="shared" si="14"/>
        <v>5308.5</v>
      </c>
      <c r="AF10" s="241">
        <v>0.5</v>
      </c>
      <c r="AG10" s="266">
        <f t="shared" si="15"/>
        <v>2674</v>
      </c>
      <c r="AH10" s="241">
        <v>12</v>
      </c>
      <c r="AI10" s="266">
        <f t="shared" si="16"/>
        <v>86712</v>
      </c>
      <c r="AJ10" s="241">
        <v>4.25</v>
      </c>
      <c r="AK10" s="266">
        <f t="shared" si="17"/>
        <v>30710.5</v>
      </c>
      <c r="AL10" s="241">
        <v>1.25</v>
      </c>
      <c r="AM10" s="266">
        <f t="shared" si="18"/>
        <v>7058.75</v>
      </c>
      <c r="AN10" s="241">
        <v>1.25</v>
      </c>
      <c r="AO10" s="266">
        <f t="shared" si="19"/>
        <v>8651.25</v>
      </c>
      <c r="AP10" s="241">
        <v>1.5</v>
      </c>
      <c r="AQ10" s="266">
        <f t="shared" si="20"/>
        <v>7058.75</v>
      </c>
      <c r="AR10" s="288"/>
      <c r="AS10" s="266">
        <f t="shared" si="21"/>
        <v>0</v>
      </c>
      <c r="AT10" s="287">
        <f t="shared" si="22"/>
        <v>158358.25</v>
      </c>
      <c r="AU10" s="248">
        <v>19.91</v>
      </c>
      <c r="AV10" s="285">
        <f t="shared" si="23"/>
        <v>125632.1</v>
      </c>
      <c r="AW10" s="241">
        <v>7.75</v>
      </c>
      <c r="AX10" s="285">
        <f t="shared" si="24"/>
        <v>48825</v>
      </c>
      <c r="AY10" s="241">
        <v>1.57</v>
      </c>
      <c r="AZ10" s="285">
        <f t="shared" si="25"/>
        <v>8430.9</v>
      </c>
      <c r="BA10" s="241">
        <v>0</v>
      </c>
      <c r="BB10" s="285">
        <f t="shared" si="26"/>
        <v>0</v>
      </c>
      <c r="BC10" s="241">
        <v>1.95</v>
      </c>
      <c r="BD10" s="285">
        <f t="shared" si="27"/>
        <v>12304.5</v>
      </c>
      <c r="BE10" s="241">
        <v>9.25</v>
      </c>
      <c r="BF10" s="285">
        <f t="shared" si="28"/>
        <v>62317.25</v>
      </c>
      <c r="BG10" s="241">
        <v>3.71</v>
      </c>
      <c r="BH10" s="285">
        <f t="shared" si="29"/>
        <v>24994.27</v>
      </c>
      <c r="BI10" s="241">
        <v>2</v>
      </c>
      <c r="BJ10" s="285">
        <f t="shared" si="30"/>
        <v>26426</v>
      </c>
      <c r="BK10" s="241">
        <v>2.63</v>
      </c>
      <c r="BL10" s="266">
        <f t="shared" si="31"/>
        <v>15140.91</v>
      </c>
      <c r="BM10" s="288"/>
      <c r="BN10" s="92">
        <f t="shared" si="32"/>
        <v>0</v>
      </c>
      <c r="BO10" s="93">
        <f t="shared" si="33"/>
        <v>324070.93</v>
      </c>
      <c r="BP10" s="223">
        <f t="shared" si="34"/>
        <v>482429.18</v>
      </c>
      <c r="BQ10" s="280">
        <f t="shared" si="35"/>
        <v>466505</v>
      </c>
      <c r="BR10" s="34">
        <f t="shared" si="36"/>
        <v>71.77</v>
      </c>
    </row>
    <row r="11" spans="1:82" ht="19.5" thickBot="1" x14ac:dyDescent="0.35">
      <c r="A11" s="705"/>
      <c r="B11" s="705"/>
      <c r="C11" s="133">
        <v>150</v>
      </c>
      <c r="D11" s="147">
        <v>6</v>
      </c>
      <c r="E11" s="95">
        <f t="shared" si="0"/>
        <v>0</v>
      </c>
      <c r="F11" s="103">
        <v>8</v>
      </c>
      <c r="G11" s="95">
        <f t="shared" si="1"/>
        <v>0</v>
      </c>
      <c r="H11" s="103">
        <v>2</v>
      </c>
      <c r="I11" s="95">
        <f t="shared" si="2"/>
        <v>0</v>
      </c>
      <c r="J11" s="84">
        <f>D11*E11+F11*G11+H11*I11</f>
        <v>0</v>
      </c>
      <c r="K11" s="334" t="str">
        <f t="shared" si="4"/>
        <v>150CNV1.1KV</v>
      </c>
      <c r="L11" s="248">
        <v>1</v>
      </c>
      <c r="M11" s="285">
        <f t="shared" si="5"/>
        <v>7078</v>
      </c>
      <c r="N11" s="241">
        <v>0.25</v>
      </c>
      <c r="O11" s="285">
        <f t="shared" si="6"/>
        <v>1769.5</v>
      </c>
      <c r="P11" s="241">
        <v>0.25</v>
      </c>
      <c r="Q11" s="285">
        <f t="shared" si="7"/>
        <v>1337</v>
      </c>
      <c r="R11" s="241">
        <v>0</v>
      </c>
      <c r="S11" s="285">
        <f t="shared" si="8"/>
        <v>0</v>
      </c>
      <c r="T11" s="241">
        <v>0</v>
      </c>
      <c r="U11" s="266">
        <f t="shared" si="9"/>
        <v>0</v>
      </c>
      <c r="V11" s="241">
        <v>0</v>
      </c>
      <c r="W11" s="266">
        <f t="shared" si="10"/>
        <v>0</v>
      </c>
      <c r="X11" s="241">
        <v>0</v>
      </c>
      <c r="Y11" s="266">
        <f t="shared" si="11"/>
        <v>0</v>
      </c>
      <c r="Z11" s="241">
        <v>0</v>
      </c>
      <c r="AA11" s="266">
        <f t="shared" si="12"/>
        <v>0</v>
      </c>
      <c r="AB11" s="241">
        <v>0</v>
      </c>
      <c r="AC11" s="266">
        <f t="shared" si="13"/>
        <v>0</v>
      </c>
      <c r="AD11" s="241">
        <v>0.75</v>
      </c>
      <c r="AE11" s="266">
        <f t="shared" si="14"/>
        <v>5308.5</v>
      </c>
      <c r="AF11" s="241">
        <v>0.5</v>
      </c>
      <c r="AG11" s="266">
        <f t="shared" si="15"/>
        <v>2674</v>
      </c>
      <c r="AH11" s="241">
        <v>12</v>
      </c>
      <c r="AI11" s="266">
        <f t="shared" si="16"/>
        <v>86712</v>
      </c>
      <c r="AJ11" s="241">
        <v>5.95</v>
      </c>
      <c r="AK11" s="266">
        <f t="shared" si="17"/>
        <v>42994.700000000004</v>
      </c>
      <c r="AL11" s="241">
        <v>1.25</v>
      </c>
      <c r="AM11" s="266">
        <f t="shared" si="18"/>
        <v>7058.75</v>
      </c>
      <c r="AN11" s="241">
        <v>1.25</v>
      </c>
      <c r="AO11" s="266">
        <f t="shared" si="19"/>
        <v>8651.25</v>
      </c>
      <c r="AP11" s="241">
        <v>1.5</v>
      </c>
      <c r="AQ11" s="266">
        <f t="shared" si="20"/>
        <v>7058.75</v>
      </c>
      <c r="AR11" s="288"/>
      <c r="AS11" s="266">
        <f t="shared" si="21"/>
        <v>0</v>
      </c>
      <c r="AT11" s="287">
        <f t="shared" si="22"/>
        <v>170642.45</v>
      </c>
      <c r="AU11" s="248">
        <v>19.91</v>
      </c>
      <c r="AV11" s="285">
        <f t="shared" si="23"/>
        <v>125632.1</v>
      </c>
      <c r="AW11" s="241">
        <v>7.75</v>
      </c>
      <c r="AX11" s="285">
        <f t="shared" si="24"/>
        <v>48825</v>
      </c>
      <c r="AY11" s="241">
        <v>1.57</v>
      </c>
      <c r="AZ11" s="285">
        <f t="shared" si="25"/>
        <v>8430.9</v>
      </c>
      <c r="BA11" s="241">
        <v>0</v>
      </c>
      <c r="BB11" s="285">
        <f t="shared" si="26"/>
        <v>0</v>
      </c>
      <c r="BC11" s="241">
        <v>1.95</v>
      </c>
      <c r="BD11" s="285">
        <f t="shared" si="27"/>
        <v>12304.5</v>
      </c>
      <c r="BE11" s="241">
        <v>9.25</v>
      </c>
      <c r="BF11" s="285">
        <f t="shared" si="28"/>
        <v>62317.25</v>
      </c>
      <c r="BG11" s="241">
        <v>3.84</v>
      </c>
      <c r="BH11" s="285">
        <f t="shared" si="29"/>
        <v>25870.079999999998</v>
      </c>
      <c r="BI11" s="241">
        <v>2</v>
      </c>
      <c r="BJ11" s="285">
        <f t="shared" si="30"/>
        <v>26426</v>
      </c>
      <c r="BK11" s="241">
        <v>2.68</v>
      </c>
      <c r="BL11" s="266">
        <f t="shared" si="31"/>
        <v>15428.76</v>
      </c>
      <c r="BM11" s="288"/>
      <c r="BN11" s="92">
        <f t="shared" si="32"/>
        <v>0</v>
      </c>
      <c r="BO11" s="93">
        <f t="shared" si="33"/>
        <v>325234.59000000003</v>
      </c>
      <c r="BP11" s="223">
        <f t="shared" si="34"/>
        <v>495877.04000000004</v>
      </c>
      <c r="BQ11" s="280">
        <f t="shared" si="35"/>
        <v>478725.00000000006</v>
      </c>
      <c r="BR11" s="34">
        <f t="shared" si="36"/>
        <v>73.650000000000006</v>
      </c>
    </row>
    <row r="12" spans="1:82" ht="19.5" thickBot="1" x14ac:dyDescent="0.35">
      <c r="A12" s="705"/>
      <c r="B12" s="705"/>
      <c r="C12" s="133">
        <v>225</v>
      </c>
      <c r="D12" s="147">
        <v>6</v>
      </c>
      <c r="E12" s="95">
        <f t="shared" si="0"/>
        <v>0</v>
      </c>
      <c r="F12" s="103">
        <v>12</v>
      </c>
      <c r="G12" s="95">
        <f t="shared" si="1"/>
        <v>0</v>
      </c>
      <c r="H12" s="103">
        <v>2</v>
      </c>
      <c r="I12" s="95">
        <f t="shared" si="2"/>
        <v>0</v>
      </c>
      <c r="J12" s="84">
        <f t="shared" si="3"/>
        <v>0</v>
      </c>
      <c r="K12" s="334" t="str">
        <f t="shared" si="4"/>
        <v>225CNV1.1KV</v>
      </c>
      <c r="L12" s="248">
        <v>1</v>
      </c>
      <c r="M12" s="285">
        <f t="shared" si="5"/>
        <v>7078</v>
      </c>
      <c r="N12" s="241">
        <v>0.25</v>
      </c>
      <c r="O12" s="285">
        <f t="shared" si="6"/>
        <v>1769.5</v>
      </c>
      <c r="P12" s="241">
        <v>0.25</v>
      </c>
      <c r="Q12" s="285">
        <f t="shared" si="7"/>
        <v>1337</v>
      </c>
      <c r="R12" s="241">
        <v>0</v>
      </c>
      <c r="S12" s="285">
        <f t="shared" si="8"/>
        <v>0</v>
      </c>
      <c r="T12" s="241">
        <v>0</v>
      </c>
      <c r="U12" s="266">
        <f t="shared" si="9"/>
        <v>0</v>
      </c>
      <c r="V12" s="241">
        <v>0</v>
      </c>
      <c r="W12" s="266">
        <f t="shared" si="10"/>
        <v>0</v>
      </c>
      <c r="X12" s="241">
        <v>0</v>
      </c>
      <c r="Y12" s="266">
        <f t="shared" si="11"/>
        <v>0</v>
      </c>
      <c r="Z12" s="241">
        <v>0</v>
      </c>
      <c r="AA12" s="266">
        <f t="shared" si="12"/>
        <v>0</v>
      </c>
      <c r="AB12" s="241">
        <v>0</v>
      </c>
      <c r="AC12" s="266">
        <f t="shared" si="13"/>
        <v>0</v>
      </c>
      <c r="AD12" s="241">
        <v>1.5</v>
      </c>
      <c r="AE12" s="266">
        <f t="shared" si="14"/>
        <v>10617</v>
      </c>
      <c r="AF12" s="241">
        <v>0.5</v>
      </c>
      <c r="AG12" s="266">
        <f t="shared" si="15"/>
        <v>2674</v>
      </c>
      <c r="AH12" s="241">
        <v>15</v>
      </c>
      <c r="AI12" s="266">
        <f t="shared" si="16"/>
        <v>108390</v>
      </c>
      <c r="AJ12" s="241">
        <v>8.5</v>
      </c>
      <c r="AK12" s="266">
        <f t="shared" si="17"/>
        <v>61421</v>
      </c>
      <c r="AL12" s="241">
        <v>1.25</v>
      </c>
      <c r="AM12" s="266">
        <f t="shared" si="18"/>
        <v>7058.75</v>
      </c>
      <c r="AN12" s="241">
        <v>1.25</v>
      </c>
      <c r="AO12" s="266">
        <f t="shared" si="19"/>
        <v>8651.25</v>
      </c>
      <c r="AP12" s="241">
        <v>2</v>
      </c>
      <c r="AQ12" s="266">
        <f t="shared" si="20"/>
        <v>7058.75</v>
      </c>
      <c r="AR12" s="288"/>
      <c r="AS12" s="266">
        <f t="shared" si="21"/>
        <v>0</v>
      </c>
      <c r="AT12" s="287">
        <f t="shared" si="22"/>
        <v>216055.25</v>
      </c>
      <c r="AU12" s="248">
        <v>18.920000000000002</v>
      </c>
      <c r="AV12" s="285">
        <f t="shared" si="23"/>
        <v>119385.20000000001</v>
      </c>
      <c r="AW12" s="241">
        <v>7.98</v>
      </c>
      <c r="AX12" s="285">
        <f t="shared" si="24"/>
        <v>50274</v>
      </c>
      <c r="AY12" s="241">
        <v>1.77</v>
      </c>
      <c r="AZ12" s="285">
        <f t="shared" si="25"/>
        <v>9504.9</v>
      </c>
      <c r="BA12" s="241">
        <v>0</v>
      </c>
      <c r="BB12" s="285">
        <f t="shared" si="26"/>
        <v>0</v>
      </c>
      <c r="BC12" s="241">
        <v>1.95</v>
      </c>
      <c r="BD12" s="285">
        <f t="shared" si="27"/>
        <v>12304.5</v>
      </c>
      <c r="BE12" s="241">
        <v>9.25</v>
      </c>
      <c r="BF12" s="285">
        <f t="shared" si="28"/>
        <v>62317.25</v>
      </c>
      <c r="BG12" s="241">
        <v>3.97</v>
      </c>
      <c r="BH12" s="285">
        <f t="shared" si="29"/>
        <v>26745.890000000003</v>
      </c>
      <c r="BI12" s="241">
        <v>2</v>
      </c>
      <c r="BJ12" s="285">
        <f t="shared" si="30"/>
        <v>26426</v>
      </c>
      <c r="BK12" s="241">
        <v>2.71</v>
      </c>
      <c r="BL12" s="266">
        <f t="shared" si="31"/>
        <v>15601.47</v>
      </c>
      <c r="BM12" s="288"/>
      <c r="BN12" s="92">
        <f t="shared" si="32"/>
        <v>0</v>
      </c>
      <c r="BO12" s="93">
        <f t="shared" si="33"/>
        <v>322559.20999999996</v>
      </c>
      <c r="BP12" s="223">
        <f t="shared" si="34"/>
        <v>538614.46</v>
      </c>
      <c r="BQ12" s="280">
        <f t="shared" si="35"/>
        <v>520325</v>
      </c>
      <c r="BR12" s="34">
        <f>+L12+N12+P12+R12+T12+V12+X12+Z12+AB12+AD12+AF12+AH12+AJ12+AL12+AN12+AP12+AR12+AU12+AW12+AY12+BA12+BC12+BE12+BG12+BI12+BK12+BM12</f>
        <v>80.05</v>
      </c>
      <c r="CB12" s="277">
        <v>42745.522581018522</v>
      </c>
      <c r="CC12" s="276" t="s">
        <v>115</v>
      </c>
    </row>
    <row r="13" spans="1:82" ht="19.5" thickBot="1" x14ac:dyDescent="0.35">
      <c r="A13" s="705"/>
      <c r="B13" s="705"/>
      <c r="C13" s="133">
        <v>300</v>
      </c>
      <c r="D13" s="147">
        <v>6</v>
      </c>
      <c r="E13" s="95">
        <f t="shared" si="0"/>
        <v>0</v>
      </c>
      <c r="F13" s="103">
        <v>12</v>
      </c>
      <c r="G13" s="95">
        <f t="shared" si="1"/>
        <v>0</v>
      </c>
      <c r="H13" s="103">
        <v>2</v>
      </c>
      <c r="I13" s="95">
        <f t="shared" si="2"/>
        <v>0</v>
      </c>
      <c r="J13" s="84">
        <f t="shared" si="3"/>
        <v>0</v>
      </c>
      <c r="K13" s="334" t="str">
        <f t="shared" si="4"/>
        <v>300CNV1.1KV</v>
      </c>
      <c r="L13" s="248">
        <v>1</v>
      </c>
      <c r="M13" s="285">
        <f t="shared" si="5"/>
        <v>7078</v>
      </c>
      <c r="N13" s="241">
        <v>0.25</v>
      </c>
      <c r="O13" s="285">
        <f t="shared" si="6"/>
        <v>1769.5</v>
      </c>
      <c r="P13" s="241">
        <v>0.25</v>
      </c>
      <c r="Q13" s="285">
        <f t="shared" si="7"/>
        <v>1337</v>
      </c>
      <c r="R13" s="241">
        <v>0</v>
      </c>
      <c r="S13" s="285">
        <f t="shared" si="8"/>
        <v>0</v>
      </c>
      <c r="T13" s="241">
        <v>0</v>
      </c>
      <c r="U13" s="266">
        <f t="shared" si="9"/>
        <v>0</v>
      </c>
      <c r="V13" s="241">
        <v>0</v>
      </c>
      <c r="W13" s="266">
        <f t="shared" si="10"/>
        <v>0</v>
      </c>
      <c r="X13" s="241">
        <v>0</v>
      </c>
      <c r="Y13" s="266">
        <f t="shared" si="11"/>
        <v>0</v>
      </c>
      <c r="Z13" s="241">
        <v>0</v>
      </c>
      <c r="AA13" s="266">
        <f t="shared" si="12"/>
        <v>0</v>
      </c>
      <c r="AB13" s="241">
        <v>0</v>
      </c>
      <c r="AC13" s="266">
        <f t="shared" si="13"/>
        <v>0</v>
      </c>
      <c r="AD13" s="241">
        <v>1.5</v>
      </c>
      <c r="AE13" s="266">
        <f t="shared" si="14"/>
        <v>10617</v>
      </c>
      <c r="AF13" s="241">
        <v>0.5</v>
      </c>
      <c r="AG13" s="266">
        <f t="shared" si="15"/>
        <v>2674</v>
      </c>
      <c r="AH13" s="241">
        <v>16</v>
      </c>
      <c r="AI13" s="266">
        <f t="shared" si="16"/>
        <v>115616</v>
      </c>
      <c r="AJ13" s="241">
        <v>6.2</v>
      </c>
      <c r="AK13" s="266">
        <f t="shared" si="17"/>
        <v>44801.200000000004</v>
      </c>
      <c r="AL13" s="241">
        <v>1.5</v>
      </c>
      <c r="AM13" s="266">
        <f t="shared" si="18"/>
        <v>8470.5</v>
      </c>
      <c r="AN13" s="241">
        <v>1.5</v>
      </c>
      <c r="AO13" s="266">
        <f t="shared" si="19"/>
        <v>10381.5</v>
      </c>
      <c r="AP13" s="241">
        <v>2</v>
      </c>
      <c r="AQ13" s="266">
        <f t="shared" si="20"/>
        <v>8470.5</v>
      </c>
      <c r="AR13" s="288"/>
      <c r="AS13" s="266">
        <f t="shared" si="21"/>
        <v>0</v>
      </c>
      <c r="AT13" s="287">
        <f t="shared" si="22"/>
        <v>211215.2</v>
      </c>
      <c r="AU13" s="248">
        <v>22.98</v>
      </c>
      <c r="AV13" s="285">
        <f t="shared" si="23"/>
        <v>145003.79999999999</v>
      </c>
      <c r="AW13" s="241">
        <v>8.0500000000000007</v>
      </c>
      <c r="AX13" s="285">
        <f t="shared" si="24"/>
        <v>50715.000000000007</v>
      </c>
      <c r="AY13" s="241">
        <v>1.98</v>
      </c>
      <c r="AZ13" s="285">
        <f t="shared" si="25"/>
        <v>10632.6</v>
      </c>
      <c r="BA13" s="241">
        <v>0</v>
      </c>
      <c r="BB13" s="285">
        <f t="shared" si="26"/>
        <v>0</v>
      </c>
      <c r="BC13" s="241">
        <v>1.95</v>
      </c>
      <c r="BD13" s="285">
        <f t="shared" si="27"/>
        <v>12304.5</v>
      </c>
      <c r="BE13" s="241">
        <v>10.25</v>
      </c>
      <c r="BF13" s="285">
        <f t="shared" si="28"/>
        <v>69054.25</v>
      </c>
      <c r="BG13" s="241">
        <v>4.1399999999999997</v>
      </c>
      <c r="BH13" s="285">
        <f t="shared" si="29"/>
        <v>27891.179999999997</v>
      </c>
      <c r="BI13" s="241">
        <v>2</v>
      </c>
      <c r="BJ13" s="285">
        <f t="shared" si="30"/>
        <v>26426</v>
      </c>
      <c r="BK13" s="241">
        <v>3.15</v>
      </c>
      <c r="BL13" s="266">
        <f t="shared" si="31"/>
        <v>18134.55</v>
      </c>
      <c r="BM13" s="288"/>
      <c r="BN13" s="92">
        <f t="shared" si="32"/>
        <v>0</v>
      </c>
      <c r="BO13" s="93">
        <f t="shared" si="33"/>
        <v>360161.88</v>
      </c>
      <c r="BP13" s="223">
        <f t="shared" si="34"/>
        <v>571377.08000000007</v>
      </c>
      <c r="BQ13" s="280">
        <f t="shared" si="35"/>
        <v>553800</v>
      </c>
      <c r="BR13" s="34">
        <f>+L13+N13+P13+R13+T13+V13+X13+Z13+AB13+AD13+AF13+AH13+AJ13+AL13+AN13+AP13+AR13+AU13+AW13+AY13+BA13+BC13+BE13+BG13+BI13+BK13+BM13</f>
        <v>85.2</v>
      </c>
      <c r="CB13" s="277">
        <v>42745.523090277777</v>
      </c>
      <c r="CC13" s="276" t="s">
        <v>115</v>
      </c>
    </row>
    <row r="14" spans="1:82" ht="19.5" thickBot="1" x14ac:dyDescent="0.35">
      <c r="A14" s="705"/>
      <c r="B14" s="705"/>
      <c r="C14" s="134">
        <v>400</v>
      </c>
      <c r="D14" s="149">
        <v>6</v>
      </c>
      <c r="E14" s="95">
        <f t="shared" si="0"/>
        <v>0</v>
      </c>
      <c r="F14" s="104">
        <v>12</v>
      </c>
      <c r="G14" s="95">
        <f t="shared" si="1"/>
        <v>0</v>
      </c>
      <c r="H14" s="104">
        <v>2</v>
      </c>
      <c r="I14" s="95">
        <f t="shared" si="2"/>
        <v>0</v>
      </c>
      <c r="J14" s="84">
        <f t="shared" si="3"/>
        <v>0</v>
      </c>
      <c r="K14" s="334" t="str">
        <f t="shared" si="4"/>
        <v>400CNV1.1KV</v>
      </c>
      <c r="L14" s="248">
        <v>1</v>
      </c>
      <c r="M14" s="285">
        <f t="shared" si="5"/>
        <v>7078</v>
      </c>
      <c r="N14" s="241">
        <v>0.25</v>
      </c>
      <c r="O14" s="285">
        <f t="shared" si="6"/>
        <v>1769.5</v>
      </c>
      <c r="P14" s="241">
        <v>0.5</v>
      </c>
      <c r="Q14" s="285">
        <f t="shared" si="7"/>
        <v>2674</v>
      </c>
      <c r="R14" s="241">
        <v>0</v>
      </c>
      <c r="S14" s="285">
        <f t="shared" si="8"/>
        <v>0</v>
      </c>
      <c r="T14" s="241">
        <v>0</v>
      </c>
      <c r="U14" s="266">
        <f t="shared" si="9"/>
        <v>0</v>
      </c>
      <c r="V14" s="241">
        <v>0</v>
      </c>
      <c r="W14" s="266">
        <f t="shared" si="10"/>
        <v>0</v>
      </c>
      <c r="X14" s="241">
        <v>0</v>
      </c>
      <c r="Y14" s="266">
        <f t="shared" si="11"/>
        <v>0</v>
      </c>
      <c r="Z14" s="241">
        <v>0</v>
      </c>
      <c r="AA14" s="266">
        <f t="shared" si="12"/>
        <v>0</v>
      </c>
      <c r="AB14" s="241">
        <v>0</v>
      </c>
      <c r="AC14" s="266">
        <f t="shared" si="13"/>
        <v>0</v>
      </c>
      <c r="AD14" s="236">
        <v>1.5</v>
      </c>
      <c r="AE14" s="266">
        <f t="shared" si="14"/>
        <v>10617</v>
      </c>
      <c r="AF14" s="236">
        <v>0.75</v>
      </c>
      <c r="AG14" s="266">
        <f t="shared" si="15"/>
        <v>4011</v>
      </c>
      <c r="AH14" s="236">
        <v>16</v>
      </c>
      <c r="AI14" s="266">
        <f t="shared" si="16"/>
        <v>115616</v>
      </c>
      <c r="AJ14" s="236">
        <v>14.1</v>
      </c>
      <c r="AK14" s="266">
        <f t="shared" si="17"/>
        <v>101886.59999999999</v>
      </c>
      <c r="AL14" s="236">
        <v>1.5</v>
      </c>
      <c r="AM14" s="266">
        <f t="shared" si="18"/>
        <v>8470.5</v>
      </c>
      <c r="AN14" s="236">
        <v>1.5</v>
      </c>
      <c r="AO14" s="266">
        <f t="shared" si="19"/>
        <v>10381.5</v>
      </c>
      <c r="AP14" s="236">
        <v>2.25</v>
      </c>
      <c r="AQ14" s="266">
        <f t="shared" si="20"/>
        <v>8470.5</v>
      </c>
      <c r="AR14" s="288"/>
      <c r="AS14" s="266">
        <f t="shared" si="21"/>
        <v>0</v>
      </c>
      <c r="AT14" s="287">
        <f t="shared" si="22"/>
        <v>270974.59999999998</v>
      </c>
      <c r="AU14" s="244">
        <v>28.83</v>
      </c>
      <c r="AV14" s="285">
        <f t="shared" si="23"/>
        <v>181917.3</v>
      </c>
      <c r="AW14" s="236">
        <v>10.25</v>
      </c>
      <c r="AX14" s="285">
        <f t="shared" si="24"/>
        <v>64575</v>
      </c>
      <c r="AY14" s="236">
        <v>2.4500000000000002</v>
      </c>
      <c r="AZ14" s="285">
        <f t="shared" si="25"/>
        <v>13156.500000000002</v>
      </c>
      <c r="BA14" s="236">
        <v>0</v>
      </c>
      <c r="BB14" s="285">
        <f t="shared" si="26"/>
        <v>0</v>
      </c>
      <c r="BC14" s="236">
        <v>1.95</v>
      </c>
      <c r="BD14" s="285">
        <f t="shared" si="27"/>
        <v>12304.5</v>
      </c>
      <c r="BE14" s="236">
        <v>12.25</v>
      </c>
      <c r="BF14" s="285">
        <f t="shared" si="28"/>
        <v>82528.25</v>
      </c>
      <c r="BG14" s="236">
        <v>4.47</v>
      </c>
      <c r="BH14" s="285">
        <f t="shared" si="29"/>
        <v>30114.39</v>
      </c>
      <c r="BI14" s="236">
        <v>2</v>
      </c>
      <c r="BJ14" s="285">
        <f t="shared" si="30"/>
        <v>26426</v>
      </c>
      <c r="BK14" s="236">
        <v>3.18</v>
      </c>
      <c r="BL14" s="266">
        <f t="shared" si="31"/>
        <v>18307.260000000002</v>
      </c>
      <c r="BM14" s="288"/>
      <c r="BN14" s="92">
        <f t="shared" si="32"/>
        <v>0</v>
      </c>
      <c r="BO14" s="93">
        <f t="shared" si="33"/>
        <v>429329.2</v>
      </c>
      <c r="BP14" s="223">
        <f t="shared" si="34"/>
        <v>700303.8</v>
      </c>
      <c r="BQ14" s="280">
        <f t="shared" si="35"/>
        <v>680745.00000000012</v>
      </c>
      <c r="BR14" s="34">
        <f>+L14+N14+P14+R14+T14+V14+X14+Z14+AB14+AD14+AF14+AH14+AJ14+AL14+AN14+AP14+AR14+AU14+AW14+AY14+BA14+BC14+BE14+BG14+BI14+BK14+BM14</f>
        <v>104.73000000000002</v>
      </c>
      <c r="CB14" s="277">
        <v>42745.522847222222</v>
      </c>
      <c r="CC14" s="276" t="s">
        <v>115</v>
      </c>
    </row>
    <row r="15" spans="1:82" ht="19.5" thickBot="1" x14ac:dyDescent="0.35">
      <c r="A15" s="705"/>
      <c r="B15" s="705"/>
      <c r="C15" s="134">
        <v>500</v>
      </c>
      <c r="D15" s="149">
        <v>6</v>
      </c>
      <c r="E15" s="95">
        <f t="shared" si="0"/>
        <v>0</v>
      </c>
      <c r="F15" s="104">
        <v>16</v>
      </c>
      <c r="G15" s="95">
        <f t="shared" si="1"/>
        <v>0</v>
      </c>
      <c r="H15" s="104">
        <v>2</v>
      </c>
      <c r="I15" s="95">
        <f t="shared" si="2"/>
        <v>0</v>
      </c>
      <c r="J15" s="84">
        <f t="shared" si="3"/>
        <v>0</v>
      </c>
      <c r="K15" s="334" t="str">
        <f t="shared" si="4"/>
        <v>500CNV1.1KV</v>
      </c>
      <c r="L15" s="248">
        <v>1</v>
      </c>
      <c r="M15" s="285">
        <f t="shared" si="5"/>
        <v>7078</v>
      </c>
      <c r="N15" s="241">
        <v>0.25</v>
      </c>
      <c r="O15" s="285">
        <f t="shared" si="6"/>
        <v>1769.5</v>
      </c>
      <c r="P15" s="241">
        <v>0.5</v>
      </c>
      <c r="Q15" s="285">
        <f t="shared" si="7"/>
        <v>2674</v>
      </c>
      <c r="R15" s="241">
        <v>0</v>
      </c>
      <c r="S15" s="285">
        <f t="shared" si="8"/>
        <v>0</v>
      </c>
      <c r="T15" s="241">
        <v>0</v>
      </c>
      <c r="U15" s="266">
        <f t="shared" si="9"/>
        <v>0</v>
      </c>
      <c r="V15" s="241">
        <v>0</v>
      </c>
      <c r="W15" s="266">
        <f t="shared" si="10"/>
        <v>0</v>
      </c>
      <c r="X15" s="241">
        <v>0</v>
      </c>
      <c r="Y15" s="266">
        <f t="shared" si="11"/>
        <v>0</v>
      </c>
      <c r="Z15" s="241">
        <v>0</v>
      </c>
      <c r="AA15" s="266">
        <f t="shared" si="12"/>
        <v>0</v>
      </c>
      <c r="AB15" s="241">
        <v>0</v>
      </c>
      <c r="AC15" s="266">
        <f t="shared" si="13"/>
        <v>0</v>
      </c>
      <c r="AD15" s="236">
        <v>1.5</v>
      </c>
      <c r="AE15" s="266">
        <f t="shared" si="14"/>
        <v>10617</v>
      </c>
      <c r="AF15" s="236">
        <v>0.75</v>
      </c>
      <c r="AG15" s="266">
        <f t="shared" si="15"/>
        <v>4011</v>
      </c>
      <c r="AH15" s="236">
        <v>16</v>
      </c>
      <c r="AI15" s="266">
        <f t="shared" si="16"/>
        <v>115616</v>
      </c>
      <c r="AJ15" s="236">
        <v>17.7</v>
      </c>
      <c r="AK15" s="266">
        <f t="shared" si="17"/>
        <v>127900.2</v>
      </c>
      <c r="AL15" s="236">
        <v>1.5</v>
      </c>
      <c r="AM15" s="266">
        <f t="shared" si="18"/>
        <v>8470.5</v>
      </c>
      <c r="AN15" s="236">
        <v>1.5</v>
      </c>
      <c r="AO15" s="266">
        <f t="shared" si="19"/>
        <v>10381.5</v>
      </c>
      <c r="AP15" s="236">
        <v>2.25</v>
      </c>
      <c r="AQ15" s="266">
        <f t="shared" si="20"/>
        <v>8470.5</v>
      </c>
      <c r="AR15" s="288"/>
      <c r="AS15" s="266">
        <f t="shared" si="21"/>
        <v>0</v>
      </c>
      <c r="AT15" s="287">
        <f t="shared" si="22"/>
        <v>296988.2</v>
      </c>
      <c r="AU15" s="244">
        <v>32.799999999999997</v>
      </c>
      <c r="AV15" s="285">
        <f t="shared" si="23"/>
        <v>206967.99999999997</v>
      </c>
      <c r="AW15" s="236">
        <v>10.75</v>
      </c>
      <c r="AX15" s="285">
        <f t="shared" si="24"/>
        <v>67725</v>
      </c>
      <c r="AY15" s="236">
        <v>2.48</v>
      </c>
      <c r="AZ15" s="285">
        <f t="shared" si="25"/>
        <v>13317.6</v>
      </c>
      <c r="BA15" s="236">
        <v>0</v>
      </c>
      <c r="BB15" s="285">
        <f t="shared" si="26"/>
        <v>0</v>
      </c>
      <c r="BC15" s="236">
        <v>1.95</v>
      </c>
      <c r="BD15" s="285">
        <f t="shared" si="27"/>
        <v>12304.5</v>
      </c>
      <c r="BE15" s="236">
        <v>12.25</v>
      </c>
      <c r="BF15" s="285">
        <f t="shared" si="28"/>
        <v>82528.25</v>
      </c>
      <c r="BG15" s="236">
        <v>4.75</v>
      </c>
      <c r="BH15" s="285">
        <f t="shared" si="29"/>
        <v>32000.75</v>
      </c>
      <c r="BI15" s="236">
        <v>2</v>
      </c>
      <c r="BJ15" s="285">
        <f t="shared" si="30"/>
        <v>26426</v>
      </c>
      <c r="BK15" s="236">
        <v>3.34</v>
      </c>
      <c r="BL15" s="266">
        <f t="shared" si="31"/>
        <v>19228.379999999997</v>
      </c>
      <c r="BM15" s="288"/>
      <c r="BN15" s="92">
        <f t="shared" si="32"/>
        <v>0</v>
      </c>
      <c r="BO15" s="93">
        <f t="shared" si="33"/>
        <v>460498.48</v>
      </c>
      <c r="BP15" s="223">
        <f t="shared" si="34"/>
        <v>757486.67999999993</v>
      </c>
      <c r="BQ15" s="280">
        <f t="shared" si="35"/>
        <v>736255.00000000012</v>
      </c>
      <c r="BR15" s="34">
        <f>+L15+N15+P15+R15+T15+V15+X15+Z15+AB15+AD15+AF15+AH15+AJ15+AL15+AN15+AP15+AR15+AU15+AW15+AY15+BA15+BC15+BE15+BG15+BI15+BK15+BM15</f>
        <v>113.27000000000001</v>
      </c>
      <c r="CB15" s="277">
        <v>42745.522847222222</v>
      </c>
      <c r="CC15" s="276" t="s">
        <v>115</v>
      </c>
    </row>
    <row r="16" spans="1:82" ht="19.5" thickBot="1" x14ac:dyDescent="0.35">
      <c r="A16" s="705"/>
      <c r="B16" s="705"/>
      <c r="C16" s="134">
        <v>630</v>
      </c>
      <c r="D16" s="149">
        <v>8</v>
      </c>
      <c r="E16" s="95">
        <f t="shared" si="0"/>
        <v>0</v>
      </c>
      <c r="F16" s="104">
        <v>16</v>
      </c>
      <c r="G16" s="95">
        <f t="shared" si="1"/>
        <v>0</v>
      </c>
      <c r="H16" s="104">
        <v>2</v>
      </c>
      <c r="I16" s="95">
        <f t="shared" si="2"/>
        <v>0</v>
      </c>
      <c r="J16" s="84">
        <f t="shared" si="3"/>
        <v>0</v>
      </c>
      <c r="K16" s="334" t="str">
        <f t="shared" si="4"/>
        <v>630CNV1.1KV</v>
      </c>
      <c r="L16" s="248">
        <v>1</v>
      </c>
      <c r="M16" s="285">
        <f t="shared" si="5"/>
        <v>7078</v>
      </c>
      <c r="N16" s="241">
        <v>0.25</v>
      </c>
      <c r="O16" s="285">
        <f t="shared" si="6"/>
        <v>1769.5</v>
      </c>
      <c r="P16" s="241">
        <v>0.5</v>
      </c>
      <c r="Q16" s="285">
        <f t="shared" si="7"/>
        <v>2674</v>
      </c>
      <c r="R16" s="241">
        <v>1.5</v>
      </c>
      <c r="S16" s="285">
        <f t="shared" si="8"/>
        <v>10839</v>
      </c>
      <c r="T16" s="241">
        <v>0</v>
      </c>
      <c r="U16" s="266">
        <f t="shared" si="9"/>
        <v>0</v>
      </c>
      <c r="V16" s="241">
        <v>0</v>
      </c>
      <c r="W16" s="266">
        <f t="shared" si="10"/>
        <v>0</v>
      </c>
      <c r="X16" s="241">
        <v>0</v>
      </c>
      <c r="Y16" s="266">
        <f t="shared" si="11"/>
        <v>0</v>
      </c>
      <c r="Z16" s="241">
        <v>0</v>
      </c>
      <c r="AA16" s="266">
        <f t="shared" si="12"/>
        <v>0</v>
      </c>
      <c r="AB16" s="241">
        <v>0</v>
      </c>
      <c r="AC16" s="266">
        <f t="shared" si="13"/>
        <v>0</v>
      </c>
      <c r="AD16" s="236">
        <v>2</v>
      </c>
      <c r="AE16" s="266">
        <f t="shared" si="14"/>
        <v>14156</v>
      </c>
      <c r="AF16" s="236">
        <v>0.75</v>
      </c>
      <c r="AG16" s="266">
        <f t="shared" si="15"/>
        <v>4011</v>
      </c>
      <c r="AH16" s="236">
        <v>18</v>
      </c>
      <c r="AI16" s="266">
        <f t="shared" si="16"/>
        <v>130068</v>
      </c>
      <c r="AJ16" s="236">
        <v>24.3</v>
      </c>
      <c r="AK16" s="266">
        <f t="shared" si="17"/>
        <v>175591.80000000002</v>
      </c>
      <c r="AL16" s="236">
        <v>1.75</v>
      </c>
      <c r="AM16" s="266">
        <f t="shared" si="18"/>
        <v>9882.25</v>
      </c>
      <c r="AN16" s="236">
        <v>2</v>
      </c>
      <c r="AO16" s="266">
        <f t="shared" si="19"/>
        <v>13842</v>
      </c>
      <c r="AP16" s="236">
        <v>2.5</v>
      </c>
      <c r="AQ16" s="266">
        <f t="shared" si="20"/>
        <v>11294</v>
      </c>
      <c r="AR16" s="288"/>
      <c r="AS16" s="266">
        <f t="shared" si="21"/>
        <v>0</v>
      </c>
      <c r="AT16" s="287">
        <f t="shared" si="22"/>
        <v>381205.55000000005</v>
      </c>
      <c r="AU16" s="244">
        <v>34.93</v>
      </c>
      <c r="AV16" s="285">
        <f t="shared" si="23"/>
        <v>220408.3</v>
      </c>
      <c r="AW16" s="236">
        <v>11.73</v>
      </c>
      <c r="AX16" s="285">
        <f t="shared" si="24"/>
        <v>73899</v>
      </c>
      <c r="AY16" s="236">
        <v>2.72</v>
      </c>
      <c r="AZ16" s="285">
        <f t="shared" si="25"/>
        <v>14606.400000000001</v>
      </c>
      <c r="BA16" s="236">
        <v>0</v>
      </c>
      <c r="BB16" s="285">
        <f t="shared" si="26"/>
        <v>0</v>
      </c>
      <c r="BC16" s="236">
        <v>1.95</v>
      </c>
      <c r="BD16" s="285">
        <f t="shared" si="27"/>
        <v>12304.5</v>
      </c>
      <c r="BE16" s="236">
        <v>14</v>
      </c>
      <c r="BF16" s="285">
        <f t="shared" si="28"/>
        <v>94318</v>
      </c>
      <c r="BG16" s="236">
        <v>5.05</v>
      </c>
      <c r="BH16" s="285">
        <f t="shared" si="29"/>
        <v>34021.85</v>
      </c>
      <c r="BI16" s="236">
        <v>2</v>
      </c>
      <c r="BJ16" s="285">
        <f t="shared" si="30"/>
        <v>26426</v>
      </c>
      <c r="BK16" s="236">
        <v>3.38</v>
      </c>
      <c r="BL16" s="266">
        <f t="shared" si="31"/>
        <v>19458.66</v>
      </c>
      <c r="BM16" s="288"/>
      <c r="BN16" s="92">
        <f t="shared" si="32"/>
        <v>0</v>
      </c>
      <c r="BO16" s="93">
        <f t="shared" si="33"/>
        <v>495442.70999999996</v>
      </c>
      <c r="BP16" s="223">
        <f t="shared" si="34"/>
        <v>876648.26</v>
      </c>
      <c r="BQ16" s="280">
        <f t="shared" si="35"/>
        <v>847015</v>
      </c>
      <c r="BR16" s="34">
        <f>+L16+N16+P16+R16+T16+V16+X16+Z16+AB16+AD16+AF16+AH16+AJ16+AL16+AN16+AP16+AR16+AU16+AW16+AY16+BA16+BC16+BE16+BG16+BI16+BK16+BM16</f>
        <v>130.31</v>
      </c>
      <c r="CB16" s="277">
        <v>42745.522858796299</v>
      </c>
      <c r="CC16" s="276" t="s">
        <v>115</v>
      </c>
    </row>
    <row r="17" spans="1:81" ht="19.5" thickBot="1" x14ac:dyDescent="0.35">
      <c r="A17" s="705"/>
      <c r="B17" s="705"/>
      <c r="C17" s="134">
        <v>800</v>
      </c>
      <c r="D17" s="149">
        <v>8</v>
      </c>
      <c r="E17" s="95">
        <f t="shared" si="0"/>
        <v>0</v>
      </c>
      <c r="F17" s="104">
        <v>16</v>
      </c>
      <c r="G17" s="95">
        <f t="shared" si="1"/>
        <v>0</v>
      </c>
      <c r="H17" s="104">
        <v>2</v>
      </c>
      <c r="I17" s="95">
        <f t="shared" si="2"/>
        <v>0</v>
      </c>
      <c r="J17" s="84">
        <f t="shared" si="3"/>
        <v>0</v>
      </c>
      <c r="K17" s="334" t="str">
        <f t="shared" si="4"/>
        <v>800CNV1.1KV</v>
      </c>
      <c r="L17" s="248">
        <v>1</v>
      </c>
      <c r="M17" s="285">
        <f t="shared" si="5"/>
        <v>7078</v>
      </c>
      <c r="N17" s="241">
        <v>0.25</v>
      </c>
      <c r="O17" s="285">
        <f t="shared" si="6"/>
        <v>1769.5</v>
      </c>
      <c r="P17" s="241">
        <v>0.5</v>
      </c>
      <c r="Q17" s="285">
        <f t="shared" si="7"/>
        <v>2674</v>
      </c>
      <c r="R17" s="241">
        <v>1.5</v>
      </c>
      <c r="S17" s="285">
        <f t="shared" si="8"/>
        <v>10839</v>
      </c>
      <c r="T17" s="241">
        <v>0</v>
      </c>
      <c r="U17" s="266">
        <f t="shared" si="9"/>
        <v>0</v>
      </c>
      <c r="V17" s="241">
        <v>0</v>
      </c>
      <c r="W17" s="266">
        <f t="shared" si="10"/>
        <v>0</v>
      </c>
      <c r="X17" s="241">
        <v>0</v>
      </c>
      <c r="Y17" s="266">
        <f t="shared" si="11"/>
        <v>0</v>
      </c>
      <c r="Z17" s="241">
        <v>0</v>
      </c>
      <c r="AA17" s="266">
        <f t="shared" si="12"/>
        <v>0</v>
      </c>
      <c r="AB17" s="241">
        <v>0</v>
      </c>
      <c r="AC17" s="266">
        <f t="shared" si="13"/>
        <v>0</v>
      </c>
      <c r="AD17" s="236">
        <v>2</v>
      </c>
      <c r="AE17" s="266">
        <f t="shared" si="14"/>
        <v>14156</v>
      </c>
      <c r="AF17" s="236">
        <v>0.75</v>
      </c>
      <c r="AG17" s="266">
        <f t="shared" si="15"/>
        <v>4011</v>
      </c>
      <c r="AH17" s="236">
        <v>18</v>
      </c>
      <c r="AI17" s="266">
        <f t="shared" si="16"/>
        <v>130068</v>
      </c>
      <c r="AJ17" s="236">
        <v>24.2</v>
      </c>
      <c r="AK17" s="266">
        <f t="shared" si="17"/>
        <v>174869.19999999998</v>
      </c>
      <c r="AL17" s="236">
        <v>1.75</v>
      </c>
      <c r="AM17" s="266">
        <f t="shared" si="18"/>
        <v>9882.25</v>
      </c>
      <c r="AN17" s="236">
        <v>2</v>
      </c>
      <c r="AO17" s="266">
        <f t="shared" si="19"/>
        <v>13842</v>
      </c>
      <c r="AP17" s="236">
        <v>2.5</v>
      </c>
      <c r="AQ17" s="266">
        <f t="shared" si="20"/>
        <v>11294</v>
      </c>
      <c r="AR17" s="288"/>
      <c r="AS17" s="266">
        <f t="shared" si="21"/>
        <v>0</v>
      </c>
      <c r="AT17" s="287">
        <f t="shared" si="22"/>
        <v>380482.94999999995</v>
      </c>
      <c r="AU17" s="244">
        <v>46.5</v>
      </c>
      <c r="AV17" s="285">
        <f t="shared" si="23"/>
        <v>293415</v>
      </c>
      <c r="AW17" s="236">
        <v>13.45</v>
      </c>
      <c r="AX17" s="285">
        <f t="shared" si="24"/>
        <v>84735</v>
      </c>
      <c r="AY17" s="236">
        <v>2.93</v>
      </c>
      <c r="AZ17" s="285">
        <f t="shared" si="25"/>
        <v>15734.1</v>
      </c>
      <c r="BA17" s="236">
        <v>0</v>
      </c>
      <c r="BB17" s="285">
        <f t="shared" si="26"/>
        <v>0</v>
      </c>
      <c r="BC17" s="236">
        <v>2.95</v>
      </c>
      <c r="BD17" s="285">
        <f t="shared" si="27"/>
        <v>18614.5</v>
      </c>
      <c r="BE17" s="236">
        <v>14</v>
      </c>
      <c r="BF17" s="285">
        <f t="shared" si="28"/>
        <v>94318</v>
      </c>
      <c r="BG17" s="236">
        <v>5.98</v>
      </c>
      <c r="BH17" s="285">
        <f t="shared" si="29"/>
        <v>40287.26</v>
      </c>
      <c r="BI17" s="236">
        <v>2.75</v>
      </c>
      <c r="BJ17" s="285">
        <f t="shared" si="30"/>
        <v>36335.75</v>
      </c>
      <c r="BK17" s="236">
        <v>3.55</v>
      </c>
      <c r="BL17" s="266">
        <f t="shared" si="31"/>
        <v>20437.349999999999</v>
      </c>
      <c r="BM17" s="288"/>
      <c r="BN17" s="92">
        <f t="shared" si="32"/>
        <v>0</v>
      </c>
      <c r="BO17" s="93">
        <f t="shared" si="33"/>
        <v>603876.96</v>
      </c>
      <c r="BP17" s="223">
        <f t="shared" si="34"/>
        <v>984359.90999999992</v>
      </c>
      <c r="BQ17" s="280">
        <f t="shared" si="35"/>
        <v>952640.00000000023</v>
      </c>
      <c r="BR17" s="34">
        <f t="shared" si="36"/>
        <v>146.56000000000003</v>
      </c>
      <c r="CB17" s="277">
        <v>42745.522858796299</v>
      </c>
      <c r="CC17" s="276" t="s">
        <v>115</v>
      </c>
    </row>
    <row r="18" spans="1:81" ht="19.5" thickBot="1" x14ac:dyDescent="0.35">
      <c r="A18" s="705"/>
      <c r="B18" s="705"/>
      <c r="C18" s="134">
        <v>1000</v>
      </c>
      <c r="D18" s="149">
        <v>8</v>
      </c>
      <c r="E18" s="95">
        <f t="shared" si="0"/>
        <v>0</v>
      </c>
      <c r="F18" s="104">
        <v>16</v>
      </c>
      <c r="G18" s="95">
        <f t="shared" si="1"/>
        <v>0</v>
      </c>
      <c r="H18" s="104">
        <v>2</v>
      </c>
      <c r="I18" s="95">
        <f t="shared" si="2"/>
        <v>0</v>
      </c>
      <c r="J18" s="84">
        <f t="shared" si="3"/>
        <v>0</v>
      </c>
      <c r="K18" s="334" t="str">
        <f t="shared" si="4"/>
        <v>1000CNV1.1KV</v>
      </c>
      <c r="L18" s="248">
        <v>1</v>
      </c>
      <c r="M18" s="285">
        <f t="shared" si="5"/>
        <v>7078</v>
      </c>
      <c r="N18" s="241">
        <v>0.25</v>
      </c>
      <c r="O18" s="285">
        <f t="shared" si="6"/>
        <v>1769.5</v>
      </c>
      <c r="P18" s="241">
        <v>0.5</v>
      </c>
      <c r="Q18" s="285">
        <f t="shared" si="7"/>
        <v>2674</v>
      </c>
      <c r="R18" s="241">
        <v>1.5</v>
      </c>
      <c r="S18" s="285">
        <f t="shared" si="8"/>
        <v>10839</v>
      </c>
      <c r="T18" s="241">
        <v>0</v>
      </c>
      <c r="U18" s="266">
        <f t="shared" si="9"/>
        <v>0</v>
      </c>
      <c r="V18" s="241">
        <v>0</v>
      </c>
      <c r="W18" s="266">
        <f t="shared" si="10"/>
        <v>0</v>
      </c>
      <c r="X18" s="241">
        <v>0</v>
      </c>
      <c r="Y18" s="266">
        <f t="shared" si="11"/>
        <v>0</v>
      </c>
      <c r="Z18" s="241">
        <v>0</v>
      </c>
      <c r="AA18" s="266">
        <f t="shared" si="12"/>
        <v>0</v>
      </c>
      <c r="AB18" s="241">
        <v>0</v>
      </c>
      <c r="AC18" s="266">
        <f t="shared" si="13"/>
        <v>0</v>
      </c>
      <c r="AD18" s="236">
        <v>4</v>
      </c>
      <c r="AE18" s="266">
        <f t="shared" si="14"/>
        <v>28312</v>
      </c>
      <c r="AF18" s="236">
        <v>1.25</v>
      </c>
      <c r="AG18" s="266">
        <f t="shared" si="15"/>
        <v>6685</v>
      </c>
      <c r="AH18" s="236">
        <v>24</v>
      </c>
      <c r="AI18" s="266">
        <f t="shared" si="16"/>
        <v>173424</v>
      </c>
      <c r="AJ18" s="236">
        <v>30.5</v>
      </c>
      <c r="AK18" s="266">
        <f t="shared" si="17"/>
        <v>220393</v>
      </c>
      <c r="AL18" s="236">
        <v>2</v>
      </c>
      <c r="AM18" s="266">
        <f t="shared" si="18"/>
        <v>11294</v>
      </c>
      <c r="AN18" s="236">
        <v>2.25</v>
      </c>
      <c r="AO18" s="266">
        <f t="shared" si="19"/>
        <v>15572.25</v>
      </c>
      <c r="AP18" s="236">
        <v>3</v>
      </c>
      <c r="AQ18" s="266">
        <f t="shared" si="20"/>
        <v>12705.75</v>
      </c>
      <c r="AR18" s="288"/>
      <c r="AS18" s="266">
        <f t="shared" si="21"/>
        <v>0</v>
      </c>
      <c r="AT18" s="287">
        <f t="shared" si="22"/>
        <v>490746.5</v>
      </c>
      <c r="AU18" s="244">
        <v>52.5</v>
      </c>
      <c r="AV18" s="285">
        <f t="shared" si="23"/>
        <v>331275</v>
      </c>
      <c r="AW18" s="236">
        <v>14.35</v>
      </c>
      <c r="AX18" s="285">
        <f t="shared" si="24"/>
        <v>90405</v>
      </c>
      <c r="AY18" s="236">
        <v>3.18</v>
      </c>
      <c r="AZ18" s="285">
        <f t="shared" si="25"/>
        <v>17076.600000000002</v>
      </c>
      <c r="BA18" s="236">
        <v>0</v>
      </c>
      <c r="BB18" s="285">
        <f t="shared" si="26"/>
        <v>0</v>
      </c>
      <c r="BC18" s="236">
        <v>2.95</v>
      </c>
      <c r="BD18" s="285">
        <f t="shared" si="27"/>
        <v>18614.5</v>
      </c>
      <c r="BE18" s="236">
        <v>19</v>
      </c>
      <c r="BF18" s="285">
        <f t="shared" si="28"/>
        <v>128003</v>
      </c>
      <c r="BG18" s="236">
        <v>6.25</v>
      </c>
      <c r="BH18" s="285">
        <f t="shared" si="29"/>
        <v>42106.25</v>
      </c>
      <c r="BI18" s="236">
        <v>2.75</v>
      </c>
      <c r="BJ18" s="285">
        <f t="shared" si="30"/>
        <v>36335.75</v>
      </c>
      <c r="BK18" s="236">
        <v>3.62</v>
      </c>
      <c r="BL18" s="266">
        <f t="shared" si="31"/>
        <v>20840.34</v>
      </c>
      <c r="BM18" s="288"/>
      <c r="BN18" s="92">
        <f t="shared" si="32"/>
        <v>0</v>
      </c>
      <c r="BO18" s="93">
        <f t="shared" si="33"/>
        <v>684656.44</v>
      </c>
      <c r="BP18" s="223">
        <f t="shared" si="34"/>
        <v>1175402.94</v>
      </c>
      <c r="BQ18" s="280">
        <f t="shared" si="35"/>
        <v>1136525</v>
      </c>
      <c r="BR18" s="34">
        <f t="shared" si="36"/>
        <v>174.85</v>
      </c>
      <c r="CB18" s="277">
        <v>42745.522858796299</v>
      </c>
      <c r="CC18" s="276" t="s">
        <v>115</v>
      </c>
    </row>
    <row r="19" spans="1:81" ht="19.5" thickBot="1" x14ac:dyDescent="0.35">
      <c r="A19" s="705"/>
      <c r="B19" s="705"/>
      <c r="C19" s="134">
        <v>1250</v>
      </c>
      <c r="D19" s="149">
        <v>8</v>
      </c>
      <c r="E19" s="95">
        <f t="shared" si="0"/>
        <v>0</v>
      </c>
      <c r="F19" s="104">
        <v>16</v>
      </c>
      <c r="G19" s="95">
        <f t="shared" si="1"/>
        <v>0</v>
      </c>
      <c r="H19" s="104">
        <v>2</v>
      </c>
      <c r="I19" s="95">
        <f t="shared" si="2"/>
        <v>0</v>
      </c>
      <c r="J19" s="84">
        <f t="shared" si="3"/>
        <v>0</v>
      </c>
      <c r="K19" s="334" t="str">
        <f t="shared" si="4"/>
        <v>1250CNV1.1KV</v>
      </c>
      <c r="L19" s="248">
        <v>1</v>
      </c>
      <c r="M19" s="285">
        <f t="shared" si="5"/>
        <v>7078</v>
      </c>
      <c r="N19" s="241">
        <v>0.25</v>
      </c>
      <c r="O19" s="285">
        <f t="shared" si="6"/>
        <v>1769.5</v>
      </c>
      <c r="P19" s="241">
        <v>0.5</v>
      </c>
      <c r="Q19" s="285">
        <f t="shared" si="7"/>
        <v>2674</v>
      </c>
      <c r="R19" s="241">
        <v>1.5</v>
      </c>
      <c r="S19" s="285">
        <f t="shared" si="8"/>
        <v>10839</v>
      </c>
      <c r="T19" s="241">
        <v>0</v>
      </c>
      <c r="U19" s="266">
        <f t="shared" si="9"/>
        <v>0</v>
      </c>
      <c r="V19" s="241">
        <v>0</v>
      </c>
      <c r="W19" s="266">
        <f t="shared" si="10"/>
        <v>0</v>
      </c>
      <c r="X19" s="241">
        <v>0</v>
      </c>
      <c r="Y19" s="266">
        <f t="shared" si="11"/>
        <v>0</v>
      </c>
      <c r="Z19" s="241">
        <v>0</v>
      </c>
      <c r="AA19" s="266">
        <f t="shared" si="12"/>
        <v>0</v>
      </c>
      <c r="AB19" s="241">
        <v>0</v>
      </c>
      <c r="AC19" s="266">
        <f t="shared" si="13"/>
        <v>0</v>
      </c>
      <c r="AD19" s="236">
        <v>5</v>
      </c>
      <c r="AE19" s="266">
        <f t="shared" si="14"/>
        <v>35390</v>
      </c>
      <c r="AF19" s="236">
        <v>2.5</v>
      </c>
      <c r="AG19" s="266">
        <f t="shared" si="15"/>
        <v>13370</v>
      </c>
      <c r="AH19" s="236">
        <v>36</v>
      </c>
      <c r="AI19" s="266">
        <f t="shared" si="16"/>
        <v>260136</v>
      </c>
      <c r="AJ19" s="236">
        <v>40.6</v>
      </c>
      <c r="AK19" s="266">
        <f t="shared" si="17"/>
        <v>293375.60000000003</v>
      </c>
      <c r="AL19" s="236">
        <v>2</v>
      </c>
      <c r="AM19" s="266">
        <f t="shared" si="18"/>
        <v>11294</v>
      </c>
      <c r="AN19" s="236">
        <v>2.25</v>
      </c>
      <c r="AO19" s="266">
        <f t="shared" si="19"/>
        <v>15572.25</v>
      </c>
      <c r="AP19" s="236">
        <v>3</v>
      </c>
      <c r="AQ19" s="266">
        <f t="shared" si="20"/>
        <v>12705.75</v>
      </c>
      <c r="AR19" s="288"/>
      <c r="AS19" s="266">
        <f t="shared" si="21"/>
        <v>0</v>
      </c>
      <c r="AT19" s="287">
        <f t="shared" si="22"/>
        <v>664204.10000000009</v>
      </c>
      <c r="AU19" s="244">
        <v>60.5</v>
      </c>
      <c r="AV19" s="285">
        <f t="shared" si="23"/>
        <v>381755</v>
      </c>
      <c r="AW19" s="236">
        <v>15.85</v>
      </c>
      <c r="AX19" s="285">
        <f t="shared" si="24"/>
        <v>99855</v>
      </c>
      <c r="AY19" s="236">
        <v>3.55</v>
      </c>
      <c r="AZ19" s="285">
        <f t="shared" si="25"/>
        <v>19063.5</v>
      </c>
      <c r="BA19" s="236">
        <v>0</v>
      </c>
      <c r="BB19" s="285">
        <f t="shared" si="26"/>
        <v>0</v>
      </c>
      <c r="BC19" s="236">
        <v>2.95</v>
      </c>
      <c r="BD19" s="285">
        <f t="shared" si="27"/>
        <v>18614.5</v>
      </c>
      <c r="BE19" s="236">
        <v>19</v>
      </c>
      <c r="BF19" s="285">
        <f t="shared" si="28"/>
        <v>128003</v>
      </c>
      <c r="BG19" s="236">
        <v>6.63</v>
      </c>
      <c r="BH19" s="285">
        <f t="shared" si="29"/>
        <v>44666.31</v>
      </c>
      <c r="BI19" s="236">
        <v>2.75</v>
      </c>
      <c r="BJ19" s="285">
        <f t="shared" si="30"/>
        <v>36335.75</v>
      </c>
      <c r="BK19" s="236">
        <v>3.85</v>
      </c>
      <c r="BL19" s="266">
        <f t="shared" si="31"/>
        <v>22164.45</v>
      </c>
      <c r="BM19" s="288"/>
      <c r="BN19" s="92">
        <f t="shared" si="32"/>
        <v>0</v>
      </c>
      <c r="BO19" s="93">
        <f t="shared" si="33"/>
        <v>750457.51</v>
      </c>
      <c r="BP19" s="223">
        <f t="shared" si="34"/>
        <v>1414661.61</v>
      </c>
      <c r="BQ19" s="280">
        <f t="shared" si="35"/>
        <v>1362919.9999999998</v>
      </c>
      <c r="BR19" s="34">
        <f t="shared" si="36"/>
        <v>209.67999999999998</v>
      </c>
      <c r="CB19" s="277">
        <v>42745.522881944446</v>
      </c>
      <c r="CC19" s="276" t="s">
        <v>115</v>
      </c>
    </row>
    <row r="20" spans="1:81" ht="19.5" thickBot="1" x14ac:dyDescent="0.35">
      <c r="A20" s="705"/>
      <c r="B20" s="705"/>
      <c r="C20" s="134">
        <v>1600</v>
      </c>
      <c r="D20" s="149">
        <v>12</v>
      </c>
      <c r="E20" s="95">
        <f t="shared" si="0"/>
        <v>0</v>
      </c>
      <c r="F20" s="104">
        <v>20</v>
      </c>
      <c r="G20" s="95">
        <f t="shared" si="1"/>
        <v>0</v>
      </c>
      <c r="H20" s="104">
        <v>4</v>
      </c>
      <c r="I20" s="95">
        <f t="shared" si="2"/>
        <v>0</v>
      </c>
      <c r="J20" s="84">
        <f t="shared" si="3"/>
        <v>0</v>
      </c>
      <c r="K20" s="334" t="str">
        <f t="shared" si="4"/>
        <v>1600CNV1.1KV</v>
      </c>
      <c r="L20" s="248">
        <v>1</v>
      </c>
      <c r="M20" s="285">
        <f t="shared" si="5"/>
        <v>7078</v>
      </c>
      <c r="N20" s="241">
        <v>0.25</v>
      </c>
      <c r="O20" s="285">
        <f t="shared" si="6"/>
        <v>1769.5</v>
      </c>
      <c r="P20" s="241">
        <v>0.5</v>
      </c>
      <c r="Q20" s="285">
        <f t="shared" si="7"/>
        <v>2674</v>
      </c>
      <c r="R20" s="241">
        <v>1.5</v>
      </c>
      <c r="S20" s="285">
        <f t="shared" si="8"/>
        <v>10839</v>
      </c>
      <c r="T20" s="241">
        <v>0</v>
      </c>
      <c r="U20" s="266">
        <f t="shared" si="9"/>
        <v>0</v>
      </c>
      <c r="V20" s="241">
        <v>0</v>
      </c>
      <c r="W20" s="266">
        <f t="shared" si="10"/>
        <v>0</v>
      </c>
      <c r="X20" s="241">
        <v>0</v>
      </c>
      <c r="Y20" s="266">
        <f t="shared" si="11"/>
        <v>0</v>
      </c>
      <c r="Z20" s="241">
        <v>0</v>
      </c>
      <c r="AA20" s="266">
        <f t="shared" si="12"/>
        <v>0</v>
      </c>
      <c r="AB20" s="241">
        <v>0</v>
      </c>
      <c r="AC20" s="266">
        <f t="shared" si="13"/>
        <v>0</v>
      </c>
      <c r="AD20" s="236">
        <v>7</v>
      </c>
      <c r="AE20" s="266">
        <f t="shared" si="14"/>
        <v>49546</v>
      </c>
      <c r="AF20" s="236">
        <v>2.5</v>
      </c>
      <c r="AG20" s="266">
        <f t="shared" si="15"/>
        <v>13370</v>
      </c>
      <c r="AH20" s="236">
        <v>45</v>
      </c>
      <c r="AI20" s="266">
        <f t="shared" si="16"/>
        <v>325170</v>
      </c>
      <c r="AJ20" s="236">
        <v>40.950000000000003</v>
      </c>
      <c r="AK20" s="266">
        <f t="shared" si="17"/>
        <v>295904.7</v>
      </c>
      <c r="AL20" s="236">
        <v>2.5</v>
      </c>
      <c r="AM20" s="266">
        <f t="shared" si="18"/>
        <v>14117.5</v>
      </c>
      <c r="AN20" s="236">
        <v>2.5</v>
      </c>
      <c r="AO20" s="266">
        <f t="shared" si="19"/>
        <v>17302.5</v>
      </c>
      <c r="AP20" s="236">
        <v>3.5</v>
      </c>
      <c r="AQ20" s="266">
        <f t="shared" si="20"/>
        <v>14117.5</v>
      </c>
      <c r="AR20" s="288"/>
      <c r="AS20" s="266">
        <f t="shared" si="21"/>
        <v>0</v>
      </c>
      <c r="AT20" s="287">
        <f t="shared" si="22"/>
        <v>751888.7</v>
      </c>
      <c r="AU20" s="244">
        <v>80.5</v>
      </c>
      <c r="AV20" s="285">
        <f t="shared" si="23"/>
        <v>507955</v>
      </c>
      <c r="AW20" s="236">
        <v>17</v>
      </c>
      <c r="AX20" s="285">
        <f t="shared" si="24"/>
        <v>107100</v>
      </c>
      <c r="AY20" s="236">
        <v>62.5</v>
      </c>
      <c r="AZ20" s="285">
        <f t="shared" si="25"/>
        <v>335625</v>
      </c>
      <c r="BA20" s="236">
        <v>23</v>
      </c>
      <c r="BB20" s="285">
        <f t="shared" si="26"/>
        <v>123510</v>
      </c>
      <c r="BC20" s="236">
        <v>4</v>
      </c>
      <c r="BD20" s="285">
        <f t="shared" si="27"/>
        <v>25240</v>
      </c>
      <c r="BE20" s="236">
        <v>19</v>
      </c>
      <c r="BF20" s="285">
        <f t="shared" si="28"/>
        <v>128003</v>
      </c>
      <c r="BG20" s="236">
        <v>9.5</v>
      </c>
      <c r="BH20" s="285">
        <f t="shared" si="29"/>
        <v>64001.5</v>
      </c>
      <c r="BI20" s="236">
        <v>3</v>
      </c>
      <c r="BJ20" s="285">
        <f t="shared" si="30"/>
        <v>39639</v>
      </c>
      <c r="BK20" s="236">
        <v>5</v>
      </c>
      <c r="BL20" s="266">
        <f t="shared" si="31"/>
        <v>28785</v>
      </c>
      <c r="BM20" s="288"/>
      <c r="BN20" s="92">
        <f t="shared" si="32"/>
        <v>0</v>
      </c>
      <c r="BO20" s="93">
        <f t="shared" si="33"/>
        <v>1359858.5</v>
      </c>
      <c r="BP20" s="223">
        <f t="shared" si="34"/>
        <v>2111747.2000000002</v>
      </c>
      <c r="BQ20" s="280">
        <f t="shared" si="35"/>
        <v>2149550</v>
      </c>
      <c r="BR20" s="34">
        <f t="shared" si="36"/>
        <v>330.7</v>
      </c>
    </row>
    <row r="21" spans="1:81" ht="19.5" thickBot="1" x14ac:dyDescent="0.35">
      <c r="A21" s="706"/>
      <c r="B21" s="706"/>
      <c r="C21" s="135">
        <v>2000</v>
      </c>
      <c r="D21" s="150">
        <v>12</v>
      </c>
      <c r="E21" s="96">
        <f t="shared" si="0"/>
        <v>0</v>
      </c>
      <c r="F21" s="106">
        <v>20</v>
      </c>
      <c r="G21" s="96">
        <f t="shared" si="1"/>
        <v>0</v>
      </c>
      <c r="H21" s="106">
        <v>4</v>
      </c>
      <c r="I21" s="96">
        <f t="shared" si="2"/>
        <v>0</v>
      </c>
      <c r="J21" s="99">
        <f t="shared" si="3"/>
        <v>0</v>
      </c>
      <c r="K21" s="334" t="str">
        <f t="shared" si="4"/>
        <v>2000CNV1.1KV</v>
      </c>
      <c r="L21" s="290">
        <v>1</v>
      </c>
      <c r="M21" s="285">
        <f t="shared" si="5"/>
        <v>7078</v>
      </c>
      <c r="N21" s="291">
        <v>0.25</v>
      </c>
      <c r="O21" s="285">
        <f t="shared" si="6"/>
        <v>1769.5</v>
      </c>
      <c r="P21" s="291">
        <v>0.5</v>
      </c>
      <c r="Q21" s="285">
        <f t="shared" si="7"/>
        <v>2674</v>
      </c>
      <c r="R21" s="291">
        <v>1.5</v>
      </c>
      <c r="S21" s="285">
        <f t="shared" si="8"/>
        <v>10839</v>
      </c>
      <c r="T21" s="291">
        <v>0</v>
      </c>
      <c r="U21" s="266">
        <f t="shared" si="9"/>
        <v>0</v>
      </c>
      <c r="V21" s="291">
        <v>0</v>
      </c>
      <c r="W21" s="266">
        <f t="shared" si="10"/>
        <v>0</v>
      </c>
      <c r="X21" s="291">
        <v>0</v>
      </c>
      <c r="Y21" s="266">
        <f t="shared" si="11"/>
        <v>0</v>
      </c>
      <c r="Z21" s="291">
        <v>0</v>
      </c>
      <c r="AA21" s="266">
        <f t="shared" si="12"/>
        <v>0</v>
      </c>
      <c r="AB21" s="291">
        <v>0</v>
      </c>
      <c r="AC21" s="266">
        <f t="shared" si="13"/>
        <v>0</v>
      </c>
      <c r="AD21" s="292">
        <v>9</v>
      </c>
      <c r="AE21" s="266">
        <f t="shared" si="14"/>
        <v>63702</v>
      </c>
      <c r="AF21" s="292">
        <v>4</v>
      </c>
      <c r="AG21" s="266">
        <f t="shared" si="15"/>
        <v>21392</v>
      </c>
      <c r="AH21" s="292">
        <v>45</v>
      </c>
      <c r="AI21" s="266">
        <f t="shared" si="16"/>
        <v>325170</v>
      </c>
      <c r="AJ21" s="292">
        <v>50.05</v>
      </c>
      <c r="AK21" s="266">
        <f t="shared" si="17"/>
        <v>361661.3</v>
      </c>
      <c r="AL21" s="292">
        <v>2.5</v>
      </c>
      <c r="AM21" s="266">
        <f t="shared" si="18"/>
        <v>14117.5</v>
      </c>
      <c r="AN21" s="292">
        <v>3</v>
      </c>
      <c r="AO21" s="266">
        <f t="shared" si="19"/>
        <v>20763</v>
      </c>
      <c r="AP21" s="292">
        <v>3.5</v>
      </c>
      <c r="AQ21" s="266">
        <f t="shared" si="20"/>
        <v>16941</v>
      </c>
      <c r="AR21" s="293"/>
      <c r="AS21" s="266">
        <f t="shared" si="21"/>
        <v>0</v>
      </c>
      <c r="AT21" s="287">
        <f t="shared" si="22"/>
        <v>846107.3</v>
      </c>
      <c r="AU21" s="294">
        <v>80.5</v>
      </c>
      <c r="AV21" s="285">
        <f t="shared" si="23"/>
        <v>507955</v>
      </c>
      <c r="AW21" s="292">
        <v>17</v>
      </c>
      <c r="AX21" s="285">
        <f t="shared" si="24"/>
        <v>107100</v>
      </c>
      <c r="AY21" s="292">
        <v>65.5</v>
      </c>
      <c r="AZ21" s="285">
        <f t="shared" si="25"/>
        <v>351735</v>
      </c>
      <c r="BA21" s="292">
        <v>23</v>
      </c>
      <c r="BB21" s="285">
        <f t="shared" si="26"/>
        <v>123510</v>
      </c>
      <c r="BC21" s="292">
        <v>4</v>
      </c>
      <c r="BD21" s="285">
        <f t="shared" si="27"/>
        <v>25240</v>
      </c>
      <c r="BE21" s="292">
        <v>19</v>
      </c>
      <c r="BF21" s="285">
        <f t="shared" si="28"/>
        <v>128003</v>
      </c>
      <c r="BG21" s="292">
        <v>9.5</v>
      </c>
      <c r="BH21" s="285">
        <f t="shared" si="29"/>
        <v>64001.5</v>
      </c>
      <c r="BI21" s="292">
        <v>3</v>
      </c>
      <c r="BJ21" s="285">
        <f t="shared" si="30"/>
        <v>39639</v>
      </c>
      <c r="BK21" s="292">
        <v>5</v>
      </c>
      <c r="BL21" s="266">
        <f t="shared" si="31"/>
        <v>28785</v>
      </c>
      <c r="BM21" s="293"/>
      <c r="BN21" s="92">
        <f t="shared" si="32"/>
        <v>0</v>
      </c>
      <c r="BO21" s="93">
        <f t="shared" si="33"/>
        <v>1375968.5</v>
      </c>
      <c r="BP21" s="223">
        <f t="shared" si="34"/>
        <v>2222075.7999999998</v>
      </c>
      <c r="BQ21" s="281">
        <f t="shared" si="35"/>
        <v>2254200</v>
      </c>
      <c r="BR21" s="34">
        <f t="shared" si="36"/>
        <v>346.8</v>
      </c>
    </row>
    <row r="22" spans="1:81" ht="19.5" thickBot="1" x14ac:dyDescent="0.35">
      <c r="A22" s="707" t="s">
        <v>21</v>
      </c>
      <c r="B22" s="707" t="s">
        <v>31</v>
      </c>
      <c r="C22" s="132">
        <v>15</v>
      </c>
      <c r="D22" s="146">
        <v>4</v>
      </c>
      <c r="E22" s="92">
        <f t="shared" si="0"/>
        <v>0</v>
      </c>
      <c r="F22" s="105">
        <v>6</v>
      </c>
      <c r="G22" s="92">
        <f t="shared" si="1"/>
        <v>0</v>
      </c>
      <c r="H22" s="105">
        <v>2</v>
      </c>
      <c r="I22" s="92">
        <f t="shared" si="2"/>
        <v>0</v>
      </c>
      <c r="J22" s="98">
        <f t="shared" si="3"/>
        <v>0</v>
      </c>
      <c r="K22" s="334" t="str">
        <f>C22&amp;$B$22&amp;$A$22</f>
        <v>15CNV15KV</v>
      </c>
      <c r="L22" s="269">
        <v>1</v>
      </c>
      <c r="M22" s="285">
        <f t="shared" si="5"/>
        <v>7078</v>
      </c>
      <c r="N22" s="264">
        <v>0.25</v>
      </c>
      <c r="O22" s="285">
        <f t="shared" si="6"/>
        <v>1769.5</v>
      </c>
      <c r="P22" s="264">
        <v>0.25</v>
      </c>
      <c r="Q22" s="285">
        <f t="shared" si="7"/>
        <v>1337</v>
      </c>
      <c r="R22" s="241">
        <v>0</v>
      </c>
      <c r="S22" s="285">
        <f t="shared" si="8"/>
        <v>0</v>
      </c>
      <c r="T22" s="264">
        <v>0</v>
      </c>
      <c r="U22" s="266">
        <f t="shared" si="9"/>
        <v>0</v>
      </c>
      <c r="V22" s="264">
        <v>0</v>
      </c>
      <c r="W22" s="266">
        <f t="shared" si="10"/>
        <v>0</v>
      </c>
      <c r="X22" s="254">
        <v>0</v>
      </c>
      <c r="Y22" s="266">
        <f t="shared" si="11"/>
        <v>0</v>
      </c>
      <c r="Z22" s="264">
        <v>0</v>
      </c>
      <c r="AA22" s="266">
        <f t="shared" si="12"/>
        <v>0</v>
      </c>
      <c r="AB22" s="264">
        <v>0</v>
      </c>
      <c r="AC22" s="266">
        <f t="shared" si="13"/>
        <v>0</v>
      </c>
      <c r="AD22" s="295">
        <v>1.5</v>
      </c>
      <c r="AE22" s="266">
        <f t="shared" si="14"/>
        <v>10617</v>
      </c>
      <c r="AF22" s="295">
        <v>0.5</v>
      </c>
      <c r="AG22" s="266">
        <f t="shared" si="15"/>
        <v>2674</v>
      </c>
      <c r="AH22" s="295">
        <v>12</v>
      </c>
      <c r="AI22" s="266">
        <f t="shared" si="16"/>
        <v>86712</v>
      </c>
      <c r="AJ22" s="295"/>
      <c r="AK22" s="266">
        <f t="shared" si="17"/>
        <v>0</v>
      </c>
      <c r="AL22" s="264">
        <v>1</v>
      </c>
      <c r="AM22" s="266">
        <f t="shared" si="18"/>
        <v>5647</v>
      </c>
      <c r="AN22" s="264">
        <v>1.25</v>
      </c>
      <c r="AO22" s="266">
        <f t="shared" si="19"/>
        <v>8651.25</v>
      </c>
      <c r="AP22" s="264">
        <v>1.5</v>
      </c>
      <c r="AQ22" s="266">
        <f t="shared" si="20"/>
        <v>7058.75</v>
      </c>
      <c r="AR22" s="286"/>
      <c r="AS22" s="266">
        <f t="shared" si="21"/>
        <v>0</v>
      </c>
      <c r="AT22" s="287">
        <f t="shared" si="22"/>
        <v>131544.5</v>
      </c>
      <c r="AU22" s="296">
        <v>25</v>
      </c>
      <c r="AV22" s="285">
        <f t="shared" si="23"/>
        <v>157750</v>
      </c>
      <c r="AW22" s="242">
        <v>6.85</v>
      </c>
      <c r="AX22" s="285">
        <f t="shared" si="24"/>
        <v>43155</v>
      </c>
      <c r="AY22" s="242">
        <v>1.2</v>
      </c>
      <c r="AZ22" s="285">
        <f t="shared" si="25"/>
        <v>6444</v>
      </c>
      <c r="BA22" s="264">
        <v>0</v>
      </c>
      <c r="BB22" s="285">
        <f t="shared" si="26"/>
        <v>0</v>
      </c>
      <c r="BC22" s="242">
        <v>1.95</v>
      </c>
      <c r="BD22" s="285">
        <f t="shared" si="27"/>
        <v>12304.5</v>
      </c>
      <c r="BE22" s="264">
        <v>9.25</v>
      </c>
      <c r="BF22" s="285">
        <f t="shared" si="28"/>
        <v>62317.25</v>
      </c>
      <c r="BG22" s="242">
        <v>3.45</v>
      </c>
      <c r="BH22" s="285">
        <f t="shared" si="29"/>
        <v>23242.65</v>
      </c>
      <c r="BI22" s="242">
        <v>1.5</v>
      </c>
      <c r="BJ22" s="285">
        <f t="shared" si="30"/>
        <v>19819.5</v>
      </c>
      <c r="BK22" s="264">
        <v>2</v>
      </c>
      <c r="BL22" s="266">
        <f t="shared" si="31"/>
        <v>11514</v>
      </c>
      <c r="BM22" s="286"/>
      <c r="BN22" s="92">
        <f t="shared" si="32"/>
        <v>0</v>
      </c>
      <c r="BO22" s="93">
        <f t="shared" si="33"/>
        <v>336546.9</v>
      </c>
      <c r="BP22" s="223">
        <f t="shared" si="34"/>
        <v>468091.4</v>
      </c>
      <c r="BQ22" s="282">
        <f>+$BQ$1*BR22</f>
        <v>457925</v>
      </c>
      <c r="BR22" s="34">
        <f t="shared" si="36"/>
        <v>70.45</v>
      </c>
      <c r="CB22" s="277">
        <v>42902.267534722225</v>
      </c>
      <c r="CC22" s="276" t="s">
        <v>162</v>
      </c>
    </row>
    <row r="23" spans="1:81" ht="19.5" thickBot="1" x14ac:dyDescent="0.35">
      <c r="A23" s="708"/>
      <c r="B23" s="708"/>
      <c r="C23" s="133">
        <v>30</v>
      </c>
      <c r="D23" s="147">
        <v>4</v>
      </c>
      <c r="E23" s="95">
        <f t="shared" si="0"/>
        <v>0</v>
      </c>
      <c r="F23" s="103">
        <v>6</v>
      </c>
      <c r="G23" s="95">
        <f t="shared" si="1"/>
        <v>0</v>
      </c>
      <c r="H23" s="103">
        <v>2</v>
      </c>
      <c r="I23" s="95">
        <f t="shared" si="2"/>
        <v>0</v>
      </c>
      <c r="J23" s="84">
        <f t="shared" si="3"/>
        <v>0</v>
      </c>
      <c r="K23" s="334" t="str">
        <f t="shared" ref="K23:K38" si="37">C23&amp;$B$22&amp;$A$22</f>
        <v>30CNV15KV</v>
      </c>
      <c r="L23" s="248">
        <v>1</v>
      </c>
      <c r="M23" s="285">
        <f t="shared" si="5"/>
        <v>7078</v>
      </c>
      <c r="N23" s="241">
        <v>0.25</v>
      </c>
      <c r="O23" s="285">
        <f t="shared" si="6"/>
        <v>1769.5</v>
      </c>
      <c r="P23" s="241">
        <v>0.25</v>
      </c>
      <c r="Q23" s="285">
        <f t="shared" si="7"/>
        <v>1337</v>
      </c>
      <c r="R23" s="241">
        <v>0</v>
      </c>
      <c r="S23" s="285">
        <f t="shared" si="8"/>
        <v>0</v>
      </c>
      <c r="T23" s="241">
        <v>0</v>
      </c>
      <c r="U23" s="266">
        <f t="shared" si="9"/>
        <v>0</v>
      </c>
      <c r="V23" s="241">
        <v>0</v>
      </c>
      <c r="W23" s="266">
        <f t="shared" si="10"/>
        <v>0</v>
      </c>
      <c r="X23" s="255">
        <v>0</v>
      </c>
      <c r="Y23" s="266">
        <f t="shared" si="11"/>
        <v>0</v>
      </c>
      <c r="Z23" s="241">
        <v>0</v>
      </c>
      <c r="AA23" s="266">
        <f t="shared" si="12"/>
        <v>0</v>
      </c>
      <c r="AB23" s="241">
        <v>0</v>
      </c>
      <c r="AC23" s="266">
        <f t="shared" si="13"/>
        <v>0</v>
      </c>
      <c r="AD23" s="297">
        <v>1.5</v>
      </c>
      <c r="AE23" s="266">
        <f t="shared" si="14"/>
        <v>10617</v>
      </c>
      <c r="AF23" s="297">
        <v>0.5</v>
      </c>
      <c r="AG23" s="266">
        <f t="shared" si="15"/>
        <v>2674</v>
      </c>
      <c r="AH23" s="297">
        <v>12</v>
      </c>
      <c r="AI23" s="266">
        <f t="shared" si="16"/>
        <v>86712</v>
      </c>
      <c r="AJ23" s="297"/>
      <c r="AK23" s="266">
        <f t="shared" si="17"/>
        <v>0</v>
      </c>
      <c r="AL23" s="241">
        <v>1</v>
      </c>
      <c r="AM23" s="266">
        <f t="shared" si="18"/>
        <v>5647</v>
      </c>
      <c r="AN23" s="241">
        <v>1.25</v>
      </c>
      <c r="AO23" s="266">
        <f t="shared" si="19"/>
        <v>8651.25</v>
      </c>
      <c r="AP23" s="241">
        <v>1.5</v>
      </c>
      <c r="AQ23" s="266">
        <f t="shared" si="20"/>
        <v>7058.75</v>
      </c>
      <c r="AR23" s="288"/>
      <c r="AS23" s="266">
        <f t="shared" si="21"/>
        <v>0</v>
      </c>
      <c r="AT23" s="287">
        <f t="shared" si="22"/>
        <v>131544.5</v>
      </c>
      <c r="AU23" s="244">
        <v>27.25</v>
      </c>
      <c r="AV23" s="285">
        <f t="shared" si="23"/>
        <v>171947.5</v>
      </c>
      <c r="AW23" s="236">
        <v>6.85</v>
      </c>
      <c r="AX23" s="285">
        <f t="shared" si="24"/>
        <v>43155</v>
      </c>
      <c r="AY23" s="236">
        <v>1.2</v>
      </c>
      <c r="AZ23" s="285">
        <f t="shared" si="25"/>
        <v>6444</v>
      </c>
      <c r="BA23" s="241">
        <v>0</v>
      </c>
      <c r="BB23" s="285">
        <f t="shared" si="26"/>
        <v>0</v>
      </c>
      <c r="BC23" s="236">
        <v>1.95</v>
      </c>
      <c r="BD23" s="285">
        <f t="shared" si="27"/>
        <v>12304.5</v>
      </c>
      <c r="BE23" s="241">
        <v>9.8699999999999992</v>
      </c>
      <c r="BF23" s="285">
        <f t="shared" si="28"/>
        <v>66494.189999999988</v>
      </c>
      <c r="BG23" s="236">
        <v>3.45</v>
      </c>
      <c r="BH23" s="285">
        <f t="shared" si="29"/>
        <v>23242.65</v>
      </c>
      <c r="BI23" s="236">
        <v>1.5</v>
      </c>
      <c r="BJ23" s="285">
        <f t="shared" si="30"/>
        <v>19819.5</v>
      </c>
      <c r="BK23" s="241">
        <v>2</v>
      </c>
      <c r="BL23" s="266">
        <f t="shared" si="31"/>
        <v>11514</v>
      </c>
      <c r="BM23" s="288"/>
      <c r="BN23" s="92">
        <f t="shared" si="32"/>
        <v>0</v>
      </c>
      <c r="BO23" s="93">
        <f t="shared" si="33"/>
        <v>354921.34</v>
      </c>
      <c r="BP23" s="223">
        <f t="shared" si="34"/>
        <v>486465.84</v>
      </c>
      <c r="BQ23" s="282">
        <f t="shared" si="35"/>
        <v>476580.00000000006</v>
      </c>
      <c r="BR23" s="34">
        <f t="shared" si="36"/>
        <v>73.320000000000007</v>
      </c>
      <c r="CB23" s="277">
        <v>42745.424398148149</v>
      </c>
      <c r="CC23" s="276" t="s">
        <v>115</v>
      </c>
    </row>
    <row r="24" spans="1:81" ht="19.5" thickBot="1" x14ac:dyDescent="0.35">
      <c r="A24" s="708"/>
      <c r="B24" s="708"/>
      <c r="C24" s="133">
        <v>45</v>
      </c>
      <c r="D24" s="147">
        <v>4</v>
      </c>
      <c r="E24" s="95">
        <f t="shared" si="0"/>
        <v>0</v>
      </c>
      <c r="F24" s="103">
        <v>6</v>
      </c>
      <c r="G24" s="95">
        <f t="shared" si="1"/>
        <v>0</v>
      </c>
      <c r="H24" s="103">
        <v>2</v>
      </c>
      <c r="I24" s="95">
        <f t="shared" si="2"/>
        <v>0</v>
      </c>
      <c r="J24" s="84">
        <f t="shared" si="3"/>
        <v>0</v>
      </c>
      <c r="K24" s="334" t="str">
        <f t="shared" si="37"/>
        <v>45CNV15KV</v>
      </c>
      <c r="L24" s="248">
        <v>1</v>
      </c>
      <c r="M24" s="285">
        <f t="shared" si="5"/>
        <v>7078</v>
      </c>
      <c r="N24" s="241">
        <v>0.25</v>
      </c>
      <c r="O24" s="285">
        <f t="shared" si="6"/>
        <v>1769.5</v>
      </c>
      <c r="P24" s="241">
        <v>0.25</v>
      </c>
      <c r="Q24" s="285">
        <f t="shared" si="7"/>
        <v>1337</v>
      </c>
      <c r="R24" s="241">
        <v>0</v>
      </c>
      <c r="S24" s="285">
        <f t="shared" si="8"/>
        <v>0</v>
      </c>
      <c r="T24" s="241">
        <v>0</v>
      </c>
      <c r="U24" s="266">
        <f t="shared" si="9"/>
        <v>0</v>
      </c>
      <c r="V24" s="241">
        <v>0</v>
      </c>
      <c r="W24" s="266">
        <f t="shared" si="10"/>
        <v>0</v>
      </c>
      <c r="X24" s="255">
        <v>0</v>
      </c>
      <c r="Y24" s="266">
        <f t="shared" si="11"/>
        <v>0</v>
      </c>
      <c r="Z24" s="241">
        <v>0</v>
      </c>
      <c r="AA24" s="266">
        <f t="shared" si="12"/>
        <v>0</v>
      </c>
      <c r="AB24" s="241">
        <v>0</v>
      </c>
      <c r="AC24" s="266">
        <f t="shared" si="13"/>
        <v>0</v>
      </c>
      <c r="AD24" s="297">
        <v>1.5</v>
      </c>
      <c r="AE24" s="266">
        <f t="shared" si="14"/>
        <v>10617</v>
      </c>
      <c r="AF24" s="297">
        <v>0.5</v>
      </c>
      <c r="AG24" s="266">
        <f t="shared" si="15"/>
        <v>2674</v>
      </c>
      <c r="AH24" s="297">
        <v>12</v>
      </c>
      <c r="AI24" s="266">
        <f t="shared" si="16"/>
        <v>86712</v>
      </c>
      <c r="AJ24" s="297"/>
      <c r="AK24" s="266">
        <f t="shared" si="17"/>
        <v>0</v>
      </c>
      <c r="AL24" s="241">
        <v>1</v>
      </c>
      <c r="AM24" s="266">
        <f t="shared" si="18"/>
        <v>5647</v>
      </c>
      <c r="AN24" s="241">
        <v>1.25</v>
      </c>
      <c r="AO24" s="266">
        <f t="shared" si="19"/>
        <v>8651.25</v>
      </c>
      <c r="AP24" s="241">
        <v>1.5</v>
      </c>
      <c r="AQ24" s="266">
        <f t="shared" si="20"/>
        <v>7058.75</v>
      </c>
      <c r="AR24" s="288"/>
      <c r="AS24" s="266">
        <f t="shared" si="21"/>
        <v>0</v>
      </c>
      <c r="AT24" s="287">
        <f t="shared" si="22"/>
        <v>131544.5</v>
      </c>
      <c r="AU24" s="244">
        <v>28.5</v>
      </c>
      <c r="AV24" s="285">
        <f t="shared" si="23"/>
        <v>179835</v>
      </c>
      <c r="AW24" s="236">
        <v>6.85</v>
      </c>
      <c r="AX24" s="285">
        <f t="shared" si="24"/>
        <v>43155</v>
      </c>
      <c r="AY24" s="236">
        <v>1.2</v>
      </c>
      <c r="AZ24" s="285">
        <f t="shared" si="25"/>
        <v>6444</v>
      </c>
      <c r="BA24" s="241">
        <v>0</v>
      </c>
      <c r="BB24" s="285">
        <f t="shared" si="26"/>
        <v>0</v>
      </c>
      <c r="BC24" s="236">
        <v>1.95</v>
      </c>
      <c r="BD24" s="285">
        <f t="shared" si="27"/>
        <v>12304.5</v>
      </c>
      <c r="BE24" s="241">
        <v>10.75</v>
      </c>
      <c r="BF24" s="285">
        <f t="shared" si="28"/>
        <v>72422.75</v>
      </c>
      <c r="BG24" s="236">
        <v>3.45</v>
      </c>
      <c r="BH24" s="285">
        <f t="shared" si="29"/>
        <v>23242.65</v>
      </c>
      <c r="BI24" s="236">
        <v>1.5</v>
      </c>
      <c r="BJ24" s="285">
        <f t="shared" si="30"/>
        <v>19819.5</v>
      </c>
      <c r="BK24" s="241">
        <v>2</v>
      </c>
      <c r="BL24" s="266">
        <f t="shared" si="31"/>
        <v>11514</v>
      </c>
      <c r="BM24" s="288"/>
      <c r="BN24" s="92">
        <f t="shared" si="32"/>
        <v>0</v>
      </c>
      <c r="BO24" s="93">
        <f t="shared" si="33"/>
        <v>368737.4</v>
      </c>
      <c r="BP24" s="223">
        <f t="shared" si="34"/>
        <v>500281.9</v>
      </c>
      <c r="BQ24" s="280">
        <f t="shared" si="35"/>
        <v>490425</v>
      </c>
      <c r="BR24" s="34">
        <f t="shared" si="36"/>
        <v>75.45</v>
      </c>
    </row>
    <row r="25" spans="1:81" ht="19.5" thickBot="1" x14ac:dyDescent="0.35">
      <c r="A25" s="708"/>
      <c r="B25" s="708"/>
      <c r="C25" s="133">
        <v>75</v>
      </c>
      <c r="D25" s="147">
        <v>4</v>
      </c>
      <c r="E25" s="95">
        <f t="shared" si="0"/>
        <v>0</v>
      </c>
      <c r="F25" s="103">
        <v>6</v>
      </c>
      <c r="G25" s="95">
        <f t="shared" si="1"/>
        <v>0</v>
      </c>
      <c r="H25" s="103">
        <v>2</v>
      </c>
      <c r="I25" s="95">
        <f t="shared" si="2"/>
        <v>0</v>
      </c>
      <c r="J25" s="84">
        <f t="shared" si="3"/>
        <v>0</v>
      </c>
      <c r="K25" s="334" t="str">
        <f t="shared" si="37"/>
        <v>75CNV15KV</v>
      </c>
      <c r="L25" s="248">
        <v>1</v>
      </c>
      <c r="M25" s="285">
        <f t="shared" si="5"/>
        <v>7078</v>
      </c>
      <c r="N25" s="241">
        <v>0.25</v>
      </c>
      <c r="O25" s="285">
        <f t="shared" si="6"/>
        <v>1769.5</v>
      </c>
      <c r="P25" s="241">
        <v>0.25</v>
      </c>
      <c r="Q25" s="285">
        <f t="shared" si="7"/>
        <v>1337</v>
      </c>
      <c r="R25" s="241">
        <v>0</v>
      </c>
      <c r="S25" s="285">
        <f t="shared" si="8"/>
        <v>0</v>
      </c>
      <c r="T25" s="241">
        <v>0</v>
      </c>
      <c r="U25" s="266">
        <f t="shared" si="9"/>
        <v>0</v>
      </c>
      <c r="V25" s="241">
        <v>0</v>
      </c>
      <c r="W25" s="266">
        <f t="shared" si="10"/>
        <v>0</v>
      </c>
      <c r="X25" s="255">
        <v>0</v>
      </c>
      <c r="Y25" s="266">
        <f t="shared" si="11"/>
        <v>0</v>
      </c>
      <c r="Z25" s="241">
        <v>0</v>
      </c>
      <c r="AA25" s="266">
        <f t="shared" si="12"/>
        <v>0</v>
      </c>
      <c r="AB25" s="241">
        <v>0</v>
      </c>
      <c r="AC25" s="266">
        <f t="shared" si="13"/>
        <v>0</v>
      </c>
      <c r="AD25" s="297">
        <v>1.5</v>
      </c>
      <c r="AE25" s="266">
        <f t="shared" si="14"/>
        <v>10617</v>
      </c>
      <c r="AF25" s="297">
        <v>0.5</v>
      </c>
      <c r="AG25" s="266">
        <f t="shared" si="15"/>
        <v>2674</v>
      </c>
      <c r="AH25" s="297">
        <v>15</v>
      </c>
      <c r="AI25" s="266">
        <f t="shared" si="16"/>
        <v>108390</v>
      </c>
      <c r="AJ25" s="297"/>
      <c r="AK25" s="266">
        <f t="shared" si="17"/>
        <v>0</v>
      </c>
      <c r="AL25" s="241">
        <v>1</v>
      </c>
      <c r="AM25" s="266">
        <f t="shared" si="18"/>
        <v>5647</v>
      </c>
      <c r="AN25" s="241">
        <v>1.25</v>
      </c>
      <c r="AO25" s="266">
        <f t="shared" si="19"/>
        <v>8651.25</v>
      </c>
      <c r="AP25" s="241">
        <v>1.5</v>
      </c>
      <c r="AQ25" s="266">
        <f t="shared" si="20"/>
        <v>7058.75</v>
      </c>
      <c r="AR25" s="288"/>
      <c r="AS25" s="266">
        <f t="shared" si="21"/>
        <v>0</v>
      </c>
      <c r="AT25" s="287">
        <f t="shared" si="22"/>
        <v>153222.5</v>
      </c>
      <c r="AU25" s="244">
        <v>24.25</v>
      </c>
      <c r="AV25" s="285">
        <f t="shared" si="23"/>
        <v>153017.5</v>
      </c>
      <c r="AW25" s="236">
        <v>6.96</v>
      </c>
      <c r="AX25" s="285">
        <f t="shared" si="24"/>
        <v>43848</v>
      </c>
      <c r="AY25" s="236">
        <v>1.45</v>
      </c>
      <c r="AZ25" s="285">
        <f t="shared" si="25"/>
        <v>7786.5</v>
      </c>
      <c r="BA25" s="241">
        <v>0</v>
      </c>
      <c r="BB25" s="285">
        <f t="shared" si="26"/>
        <v>0</v>
      </c>
      <c r="BC25" s="236">
        <v>1.95</v>
      </c>
      <c r="BD25" s="285">
        <f t="shared" si="27"/>
        <v>12304.5</v>
      </c>
      <c r="BE25" s="241">
        <v>10.92</v>
      </c>
      <c r="BF25" s="285">
        <f t="shared" si="28"/>
        <v>73568.039999999994</v>
      </c>
      <c r="BG25" s="236">
        <v>3.65</v>
      </c>
      <c r="BH25" s="285">
        <f t="shared" si="29"/>
        <v>24590.05</v>
      </c>
      <c r="BI25" s="236">
        <v>1.5</v>
      </c>
      <c r="BJ25" s="285">
        <f t="shared" si="30"/>
        <v>19819.5</v>
      </c>
      <c r="BK25" s="241">
        <v>2</v>
      </c>
      <c r="BL25" s="266">
        <f t="shared" si="31"/>
        <v>11514</v>
      </c>
      <c r="BM25" s="288"/>
      <c r="BN25" s="92">
        <f t="shared" si="32"/>
        <v>0</v>
      </c>
      <c r="BO25" s="93">
        <f t="shared" si="33"/>
        <v>346448.08999999997</v>
      </c>
      <c r="BP25" s="223">
        <f t="shared" si="34"/>
        <v>499670.58999999997</v>
      </c>
      <c r="BQ25" s="280">
        <f t="shared" si="35"/>
        <v>487045.00000000006</v>
      </c>
      <c r="BR25" s="34">
        <f t="shared" si="36"/>
        <v>74.930000000000007</v>
      </c>
    </row>
    <row r="26" spans="1:81" ht="19.5" thickBot="1" x14ac:dyDescent="0.35">
      <c r="A26" s="708"/>
      <c r="B26" s="708"/>
      <c r="C26" s="133">
        <v>112.5</v>
      </c>
      <c r="D26" s="147">
        <v>4</v>
      </c>
      <c r="E26" s="95">
        <f t="shared" si="0"/>
        <v>0</v>
      </c>
      <c r="F26" s="103">
        <v>6</v>
      </c>
      <c r="G26" s="95">
        <f t="shared" si="1"/>
        <v>0</v>
      </c>
      <c r="H26" s="103">
        <v>2</v>
      </c>
      <c r="I26" s="95">
        <f t="shared" si="2"/>
        <v>0</v>
      </c>
      <c r="J26" s="84">
        <f>D26*E26+F26*G26+H26*I26</f>
        <v>0</v>
      </c>
      <c r="K26" s="334" t="str">
        <f t="shared" si="37"/>
        <v>112.5CNV15KV</v>
      </c>
      <c r="L26" s="248">
        <v>1</v>
      </c>
      <c r="M26" s="285">
        <f t="shared" si="5"/>
        <v>7078</v>
      </c>
      <c r="N26" s="241">
        <v>0.25</v>
      </c>
      <c r="O26" s="285">
        <f t="shared" si="6"/>
        <v>1769.5</v>
      </c>
      <c r="P26" s="241">
        <v>0.25</v>
      </c>
      <c r="Q26" s="285">
        <f t="shared" si="7"/>
        <v>1337</v>
      </c>
      <c r="R26" s="241">
        <v>0</v>
      </c>
      <c r="S26" s="285">
        <f t="shared" si="8"/>
        <v>0</v>
      </c>
      <c r="T26" s="241">
        <v>0</v>
      </c>
      <c r="U26" s="266">
        <f t="shared" si="9"/>
        <v>0</v>
      </c>
      <c r="V26" s="241">
        <v>0</v>
      </c>
      <c r="W26" s="266">
        <f t="shared" si="10"/>
        <v>0</v>
      </c>
      <c r="X26" s="255">
        <v>0</v>
      </c>
      <c r="Y26" s="266">
        <f t="shared" si="11"/>
        <v>0</v>
      </c>
      <c r="Z26" s="241">
        <v>0</v>
      </c>
      <c r="AA26" s="266">
        <f t="shared" si="12"/>
        <v>0</v>
      </c>
      <c r="AB26" s="241">
        <v>0</v>
      </c>
      <c r="AC26" s="266">
        <f t="shared" si="13"/>
        <v>0</v>
      </c>
      <c r="AD26" s="297">
        <v>1.5</v>
      </c>
      <c r="AE26" s="266">
        <f t="shared" si="14"/>
        <v>10617</v>
      </c>
      <c r="AF26" s="297">
        <v>0.5</v>
      </c>
      <c r="AG26" s="266">
        <f t="shared" si="15"/>
        <v>2674</v>
      </c>
      <c r="AH26" s="297">
        <v>12</v>
      </c>
      <c r="AI26" s="266">
        <f t="shared" si="16"/>
        <v>86712</v>
      </c>
      <c r="AJ26" s="297"/>
      <c r="AK26" s="266">
        <f t="shared" si="17"/>
        <v>0</v>
      </c>
      <c r="AL26" s="241">
        <v>1.25</v>
      </c>
      <c r="AM26" s="266">
        <f t="shared" si="18"/>
        <v>7058.75</v>
      </c>
      <c r="AN26" s="241">
        <v>1.25</v>
      </c>
      <c r="AO26" s="266">
        <f t="shared" si="19"/>
        <v>8651.25</v>
      </c>
      <c r="AP26" s="241">
        <v>1.5</v>
      </c>
      <c r="AQ26" s="266">
        <f t="shared" si="20"/>
        <v>7058.75</v>
      </c>
      <c r="AR26" s="288"/>
      <c r="AS26" s="266">
        <f t="shared" si="21"/>
        <v>0</v>
      </c>
      <c r="AT26" s="287">
        <f t="shared" si="22"/>
        <v>132956.25</v>
      </c>
      <c r="AU26" s="244">
        <v>25</v>
      </c>
      <c r="AV26" s="285">
        <f t="shared" si="23"/>
        <v>157750</v>
      </c>
      <c r="AW26" s="236">
        <v>7.75</v>
      </c>
      <c r="AX26" s="285">
        <f t="shared" si="24"/>
        <v>48825</v>
      </c>
      <c r="AY26" s="236">
        <v>1.57</v>
      </c>
      <c r="AZ26" s="285">
        <f t="shared" si="25"/>
        <v>8430.9</v>
      </c>
      <c r="BA26" s="241">
        <v>0</v>
      </c>
      <c r="BB26" s="285">
        <f t="shared" si="26"/>
        <v>0</v>
      </c>
      <c r="BC26" s="236">
        <v>1.95</v>
      </c>
      <c r="BD26" s="285">
        <f t="shared" si="27"/>
        <v>12304.5</v>
      </c>
      <c r="BE26" s="241">
        <v>11.05</v>
      </c>
      <c r="BF26" s="285">
        <f t="shared" si="28"/>
        <v>74443.850000000006</v>
      </c>
      <c r="BG26" s="236">
        <v>3.71</v>
      </c>
      <c r="BH26" s="285">
        <f t="shared" si="29"/>
        <v>24994.27</v>
      </c>
      <c r="BI26" s="236">
        <v>2</v>
      </c>
      <c r="BJ26" s="285">
        <f t="shared" si="30"/>
        <v>26426</v>
      </c>
      <c r="BK26" s="241">
        <v>2.25</v>
      </c>
      <c r="BL26" s="266">
        <f t="shared" si="31"/>
        <v>12953.25</v>
      </c>
      <c r="BM26" s="288"/>
      <c r="BN26" s="92">
        <f t="shared" si="32"/>
        <v>0</v>
      </c>
      <c r="BO26" s="93">
        <f t="shared" si="33"/>
        <v>366127.77</v>
      </c>
      <c r="BP26" s="223">
        <f t="shared" si="34"/>
        <v>499084.02</v>
      </c>
      <c r="BQ26" s="280">
        <f t="shared" si="35"/>
        <v>486070</v>
      </c>
      <c r="BR26" s="34">
        <f t="shared" si="36"/>
        <v>74.78</v>
      </c>
    </row>
    <row r="27" spans="1:81" ht="19.5" thickBot="1" x14ac:dyDescent="0.35">
      <c r="A27" s="708"/>
      <c r="B27" s="708"/>
      <c r="C27" s="133">
        <v>150</v>
      </c>
      <c r="D27" s="147">
        <v>4</v>
      </c>
      <c r="E27" s="95">
        <f t="shared" si="0"/>
        <v>0</v>
      </c>
      <c r="F27" s="103">
        <v>6</v>
      </c>
      <c r="G27" s="95">
        <f t="shared" si="1"/>
        <v>0</v>
      </c>
      <c r="H27" s="103">
        <v>2</v>
      </c>
      <c r="I27" s="95">
        <f t="shared" si="2"/>
        <v>0</v>
      </c>
      <c r="J27" s="84">
        <f>D27*E27+F27*G27+H27*I27</f>
        <v>0</v>
      </c>
      <c r="K27" s="334" t="str">
        <f t="shared" si="37"/>
        <v>150CNV15KV</v>
      </c>
      <c r="L27" s="248">
        <v>1</v>
      </c>
      <c r="M27" s="285">
        <f t="shared" si="5"/>
        <v>7078</v>
      </c>
      <c r="N27" s="241">
        <v>0.25</v>
      </c>
      <c r="O27" s="285">
        <f t="shared" si="6"/>
        <v>1769.5</v>
      </c>
      <c r="P27" s="241">
        <v>0.25</v>
      </c>
      <c r="Q27" s="285">
        <f t="shared" si="7"/>
        <v>1337</v>
      </c>
      <c r="R27" s="241">
        <v>0</v>
      </c>
      <c r="S27" s="285">
        <f t="shared" si="8"/>
        <v>0</v>
      </c>
      <c r="T27" s="241">
        <v>0</v>
      </c>
      <c r="U27" s="266">
        <f t="shared" si="9"/>
        <v>0</v>
      </c>
      <c r="V27" s="241">
        <v>0</v>
      </c>
      <c r="W27" s="266">
        <f t="shared" si="10"/>
        <v>0</v>
      </c>
      <c r="X27" s="255">
        <v>0</v>
      </c>
      <c r="Y27" s="266">
        <f t="shared" si="11"/>
        <v>0</v>
      </c>
      <c r="Z27" s="241">
        <v>0</v>
      </c>
      <c r="AA27" s="266">
        <f t="shared" si="12"/>
        <v>0</v>
      </c>
      <c r="AB27" s="241">
        <v>0</v>
      </c>
      <c r="AC27" s="266">
        <f t="shared" si="13"/>
        <v>0</v>
      </c>
      <c r="AD27" s="297">
        <v>2</v>
      </c>
      <c r="AE27" s="266">
        <f t="shared" si="14"/>
        <v>14156</v>
      </c>
      <c r="AF27" s="297">
        <v>0.5</v>
      </c>
      <c r="AG27" s="266">
        <f t="shared" si="15"/>
        <v>2674</v>
      </c>
      <c r="AH27" s="297">
        <v>14</v>
      </c>
      <c r="AI27" s="266">
        <f t="shared" si="16"/>
        <v>101164</v>
      </c>
      <c r="AJ27" s="297"/>
      <c r="AK27" s="266">
        <f t="shared" si="17"/>
        <v>0</v>
      </c>
      <c r="AL27" s="241">
        <v>1.25</v>
      </c>
      <c r="AM27" s="266">
        <f t="shared" si="18"/>
        <v>7058.75</v>
      </c>
      <c r="AN27" s="241">
        <v>1.25</v>
      </c>
      <c r="AO27" s="266">
        <f t="shared" si="19"/>
        <v>8651.25</v>
      </c>
      <c r="AP27" s="241">
        <v>1.5</v>
      </c>
      <c r="AQ27" s="266">
        <f t="shared" si="20"/>
        <v>7058.75</v>
      </c>
      <c r="AR27" s="288"/>
      <c r="AS27" s="266">
        <f t="shared" si="21"/>
        <v>0</v>
      </c>
      <c r="AT27" s="287">
        <f t="shared" si="22"/>
        <v>150947.25</v>
      </c>
      <c r="AU27" s="244">
        <v>25.6</v>
      </c>
      <c r="AV27" s="285">
        <f t="shared" si="23"/>
        <v>161536</v>
      </c>
      <c r="AW27" s="236">
        <v>7.98</v>
      </c>
      <c r="AX27" s="285">
        <f t="shared" si="24"/>
        <v>50274</v>
      </c>
      <c r="AY27" s="236">
        <v>1.77</v>
      </c>
      <c r="AZ27" s="285">
        <f t="shared" si="25"/>
        <v>9504.9</v>
      </c>
      <c r="BA27" s="241">
        <v>0</v>
      </c>
      <c r="BB27" s="285">
        <f t="shared" si="26"/>
        <v>0</v>
      </c>
      <c r="BC27" s="236">
        <v>1.95</v>
      </c>
      <c r="BD27" s="285">
        <f t="shared" si="27"/>
        <v>12304.5</v>
      </c>
      <c r="BE27" s="241">
        <v>11.25</v>
      </c>
      <c r="BF27" s="285">
        <f t="shared" si="28"/>
        <v>75791.25</v>
      </c>
      <c r="BG27" s="236">
        <v>3.97</v>
      </c>
      <c r="BH27" s="285">
        <f t="shared" si="29"/>
        <v>26745.890000000003</v>
      </c>
      <c r="BI27" s="236">
        <v>2</v>
      </c>
      <c r="BJ27" s="285">
        <f t="shared" si="30"/>
        <v>26426</v>
      </c>
      <c r="BK27" s="241">
        <v>2.75</v>
      </c>
      <c r="BL27" s="266">
        <f t="shared" si="31"/>
        <v>15831.75</v>
      </c>
      <c r="BM27" s="288"/>
      <c r="BN27" s="92">
        <f t="shared" si="32"/>
        <v>0</v>
      </c>
      <c r="BO27" s="93">
        <f t="shared" si="33"/>
        <v>378414.29000000004</v>
      </c>
      <c r="BP27" s="223">
        <f t="shared" si="34"/>
        <v>529361.54</v>
      </c>
      <c r="BQ27" s="280">
        <f t="shared" si="35"/>
        <v>515255.00000000006</v>
      </c>
      <c r="BR27" s="34">
        <f t="shared" si="36"/>
        <v>79.27000000000001</v>
      </c>
    </row>
    <row r="28" spans="1:81" ht="19.5" thickBot="1" x14ac:dyDescent="0.35">
      <c r="A28" s="708"/>
      <c r="B28" s="708"/>
      <c r="C28" s="133">
        <v>225</v>
      </c>
      <c r="D28" s="147">
        <v>4</v>
      </c>
      <c r="E28" s="95">
        <f t="shared" si="0"/>
        <v>0</v>
      </c>
      <c r="F28" s="103">
        <v>8</v>
      </c>
      <c r="G28" s="95">
        <f t="shared" si="1"/>
        <v>0</v>
      </c>
      <c r="H28" s="103">
        <v>2</v>
      </c>
      <c r="I28" s="95">
        <f t="shared" si="2"/>
        <v>0</v>
      </c>
      <c r="J28" s="84">
        <f>D28*E28+F28*G28+H28*I28</f>
        <v>0</v>
      </c>
      <c r="K28" s="334" t="str">
        <f t="shared" si="37"/>
        <v>225CNV15KV</v>
      </c>
      <c r="L28" s="248">
        <v>1</v>
      </c>
      <c r="M28" s="285">
        <f t="shared" si="5"/>
        <v>7078</v>
      </c>
      <c r="N28" s="241">
        <v>0.25</v>
      </c>
      <c r="O28" s="285">
        <f t="shared" si="6"/>
        <v>1769.5</v>
      </c>
      <c r="P28" s="241">
        <v>0.25</v>
      </c>
      <c r="Q28" s="285">
        <f t="shared" si="7"/>
        <v>1337</v>
      </c>
      <c r="R28" s="241">
        <v>0</v>
      </c>
      <c r="S28" s="285">
        <f t="shared" si="8"/>
        <v>0</v>
      </c>
      <c r="T28" s="241">
        <v>0</v>
      </c>
      <c r="U28" s="266">
        <f t="shared" si="9"/>
        <v>0</v>
      </c>
      <c r="V28" s="241">
        <v>0</v>
      </c>
      <c r="W28" s="266">
        <f t="shared" si="10"/>
        <v>0</v>
      </c>
      <c r="X28" s="255">
        <v>0</v>
      </c>
      <c r="Y28" s="266">
        <f t="shared" si="11"/>
        <v>0</v>
      </c>
      <c r="Z28" s="241">
        <v>0</v>
      </c>
      <c r="AA28" s="266">
        <f t="shared" si="12"/>
        <v>0</v>
      </c>
      <c r="AB28" s="241">
        <v>0</v>
      </c>
      <c r="AC28" s="266">
        <f t="shared" si="13"/>
        <v>0</v>
      </c>
      <c r="AD28" s="297">
        <v>2</v>
      </c>
      <c r="AE28" s="266">
        <f t="shared" si="14"/>
        <v>14156</v>
      </c>
      <c r="AF28" s="297">
        <v>0.5</v>
      </c>
      <c r="AG28" s="266">
        <f t="shared" si="15"/>
        <v>2674</v>
      </c>
      <c r="AH28" s="297">
        <v>16</v>
      </c>
      <c r="AI28" s="266">
        <f t="shared" si="16"/>
        <v>115616</v>
      </c>
      <c r="AJ28" s="297"/>
      <c r="AK28" s="266">
        <f t="shared" si="17"/>
        <v>0</v>
      </c>
      <c r="AL28" s="241">
        <v>1.25</v>
      </c>
      <c r="AM28" s="266">
        <f t="shared" si="18"/>
        <v>7058.75</v>
      </c>
      <c r="AN28" s="241">
        <v>1.25</v>
      </c>
      <c r="AO28" s="266">
        <f t="shared" si="19"/>
        <v>8651.25</v>
      </c>
      <c r="AP28" s="241">
        <v>2</v>
      </c>
      <c r="AQ28" s="266">
        <f t="shared" si="20"/>
        <v>7058.75</v>
      </c>
      <c r="AR28" s="288"/>
      <c r="AS28" s="266">
        <f t="shared" si="21"/>
        <v>0</v>
      </c>
      <c r="AT28" s="287">
        <f t="shared" si="22"/>
        <v>165399.25</v>
      </c>
      <c r="AU28" s="244">
        <v>26.25</v>
      </c>
      <c r="AV28" s="285">
        <f t="shared" si="23"/>
        <v>165637.5</v>
      </c>
      <c r="AW28" s="236">
        <v>8.0500000000000007</v>
      </c>
      <c r="AX28" s="285">
        <f t="shared" si="24"/>
        <v>50715.000000000007</v>
      </c>
      <c r="AY28" s="236">
        <v>1.98</v>
      </c>
      <c r="AZ28" s="285">
        <f t="shared" si="25"/>
        <v>10632.6</v>
      </c>
      <c r="BA28" s="241">
        <v>0</v>
      </c>
      <c r="BB28" s="285">
        <f t="shared" si="26"/>
        <v>0</v>
      </c>
      <c r="BC28" s="236">
        <v>1.95</v>
      </c>
      <c r="BD28" s="285">
        <f t="shared" si="27"/>
        <v>12304.5</v>
      </c>
      <c r="BE28" s="241">
        <v>11.75</v>
      </c>
      <c r="BF28" s="285">
        <f t="shared" si="28"/>
        <v>79159.75</v>
      </c>
      <c r="BG28" s="236">
        <v>4.1399999999999997</v>
      </c>
      <c r="BH28" s="285">
        <f t="shared" si="29"/>
        <v>27891.179999999997</v>
      </c>
      <c r="BI28" s="236">
        <v>2</v>
      </c>
      <c r="BJ28" s="285">
        <f t="shared" si="30"/>
        <v>26426</v>
      </c>
      <c r="BK28" s="241">
        <v>3</v>
      </c>
      <c r="BL28" s="266">
        <f t="shared" si="31"/>
        <v>17271</v>
      </c>
      <c r="BM28" s="288"/>
      <c r="BN28" s="92">
        <f t="shared" si="32"/>
        <v>0</v>
      </c>
      <c r="BO28" s="93">
        <f t="shared" si="33"/>
        <v>390037.52999999997</v>
      </c>
      <c r="BP28" s="223">
        <f t="shared" si="34"/>
        <v>555436.78</v>
      </c>
      <c r="BQ28" s="280">
        <f t="shared" si="35"/>
        <v>543529.99999999988</v>
      </c>
      <c r="BR28" s="34">
        <f t="shared" si="36"/>
        <v>83.61999999999999</v>
      </c>
    </row>
    <row r="29" spans="1:81" ht="19.5" thickBot="1" x14ac:dyDescent="0.35">
      <c r="A29" s="708"/>
      <c r="B29" s="708"/>
      <c r="C29" s="133">
        <v>300</v>
      </c>
      <c r="D29" s="147">
        <v>4</v>
      </c>
      <c r="E29" s="95">
        <f t="shared" si="0"/>
        <v>0</v>
      </c>
      <c r="F29" s="103">
        <v>8</v>
      </c>
      <c r="G29" s="95">
        <f t="shared" si="1"/>
        <v>0</v>
      </c>
      <c r="H29" s="103">
        <v>2</v>
      </c>
      <c r="I29" s="95">
        <f t="shared" si="2"/>
        <v>0</v>
      </c>
      <c r="J29" s="84">
        <f>D29*E29+F29*G29+H29*I29</f>
        <v>0</v>
      </c>
      <c r="K29" s="334" t="str">
        <f t="shared" si="37"/>
        <v>300CNV15KV</v>
      </c>
      <c r="L29" s="248">
        <v>1</v>
      </c>
      <c r="M29" s="285">
        <f t="shared" si="5"/>
        <v>7078</v>
      </c>
      <c r="N29" s="241">
        <v>0.25</v>
      </c>
      <c r="O29" s="285">
        <f t="shared" si="6"/>
        <v>1769.5</v>
      </c>
      <c r="P29" s="241">
        <v>0.25</v>
      </c>
      <c r="Q29" s="285">
        <f t="shared" si="7"/>
        <v>1337</v>
      </c>
      <c r="R29" s="241">
        <v>0</v>
      </c>
      <c r="S29" s="285">
        <f t="shared" si="8"/>
        <v>0</v>
      </c>
      <c r="T29" s="241">
        <v>0</v>
      </c>
      <c r="U29" s="266">
        <f t="shared" si="9"/>
        <v>0</v>
      </c>
      <c r="V29" s="241">
        <v>0</v>
      </c>
      <c r="W29" s="266">
        <f t="shared" si="10"/>
        <v>0</v>
      </c>
      <c r="X29" s="255">
        <v>0</v>
      </c>
      <c r="Y29" s="266">
        <f t="shared" si="11"/>
        <v>0</v>
      </c>
      <c r="Z29" s="241">
        <v>0</v>
      </c>
      <c r="AA29" s="266">
        <f t="shared" si="12"/>
        <v>0</v>
      </c>
      <c r="AB29" s="241">
        <v>0</v>
      </c>
      <c r="AC29" s="266">
        <f t="shared" si="13"/>
        <v>0</v>
      </c>
      <c r="AD29" s="297">
        <v>2</v>
      </c>
      <c r="AE29" s="266">
        <f t="shared" si="14"/>
        <v>14156</v>
      </c>
      <c r="AF29" s="297">
        <v>0.75</v>
      </c>
      <c r="AG29" s="266">
        <f t="shared" si="15"/>
        <v>4011</v>
      </c>
      <c r="AH29" s="297">
        <v>16</v>
      </c>
      <c r="AI29" s="266">
        <f t="shared" si="16"/>
        <v>115616</v>
      </c>
      <c r="AJ29" s="297"/>
      <c r="AK29" s="266">
        <f t="shared" si="17"/>
        <v>0</v>
      </c>
      <c r="AL29" s="241">
        <v>1.5</v>
      </c>
      <c r="AM29" s="266">
        <f t="shared" si="18"/>
        <v>8470.5</v>
      </c>
      <c r="AN29" s="241">
        <v>1.5</v>
      </c>
      <c r="AO29" s="266">
        <f t="shared" si="19"/>
        <v>10381.5</v>
      </c>
      <c r="AP29" s="241">
        <v>2</v>
      </c>
      <c r="AQ29" s="266">
        <f t="shared" si="20"/>
        <v>8470.5</v>
      </c>
      <c r="AR29" s="288"/>
      <c r="AS29" s="266">
        <f t="shared" si="21"/>
        <v>0</v>
      </c>
      <c r="AT29" s="287">
        <f t="shared" si="22"/>
        <v>171290</v>
      </c>
      <c r="AU29" s="244">
        <v>27.5</v>
      </c>
      <c r="AV29" s="285">
        <f t="shared" si="23"/>
        <v>173525</v>
      </c>
      <c r="AW29" s="236">
        <v>10.25</v>
      </c>
      <c r="AX29" s="285">
        <f t="shared" si="24"/>
        <v>64575</v>
      </c>
      <c r="AY29" s="236">
        <v>2.4500000000000002</v>
      </c>
      <c r="AZ29" s="285">
        <f t="shared" si="25"/>
        <v>13156.500000000002</v>
      </c>
      <c r="BA29" s="236">
        <v>0</v>
      </c>
      <c r="BB29" s="285">
        <f t="shared" si="26"/>
        <v>0</v>
      </c>
      <c r="BC29" s="236">
        <v>1.95</v>
      </c>
      <c r="BD29" s="285">
        <f t="shared" si="27"/>
        <v>12304.5</v>
      </c>
      <c r="BE29" s="241">
        <v>12</v>
      </c>
      <c r="BF29" s="285">
        <f t="shared" si="28"/>
        <v>80844</v>
      </c>
      <c r="BG29" s="236">
        <v>4.47</v>
      </c>
      <c r="BH29" s="285">
        <f t="shared" si="29"/>
        <v>30114.39</v>
      </c>
      <c r="BI29" s="236">
        <v>2</v>
      </c>
      <c r="BJ29" s="285">
        <f t="shared" si="30"/>
        <v>26426</v>
      </c>
      <c r="BK29" s="241">
        <v>3</v>
      </c>
      <c r="BL29" s="266">
        <f t="shared" si="31"/>
        <v>17271</v>
      </c>
      <c r="BM29" s="288"/>
      <c r="BN29" s="92">
        <f t="shared" si="32"/>
        <v>0</v>
      </c>
      <c r="BO29" s="93">
        <f t="shared" si="33"/>
        <v>418216.39</v>
      </c>
      <c r="BP29" s="223">
        <f t="shared" si="34"/>
        <v>589506.39</v>
      </c>
      <c r="BQ29" s="280">
        <f t="shared" si="35"/>
        <v>577655</v>
      </c>
      <c r="BR29" s="34">
        <f t="shared" si="36"/>
        <v>88.87</v>
      </c>
    </row>
    <row r="30" spans="1:81" ht="19.5" thickBot="1" x14ac:dyDescent="0.35">
      <c r="A30" s="708"/>
      <c r="B30" s="708"/>
      <c r="C30" s="133">
        <v>400</v>
      </c>
      <c r="D30" s="147">
        <v>4</v>
      </c>
      <c r="E30" s="95">
        <f t="shared" si="0"/>
        <v>0</v>
      </c>
      <c r="F30" s="103">
        <v>8</v>
      </c>
      <c r="G30" s="95">
        <f t="shared" si="1"/>
        <v>0</v>
      </c>
      <c r="H30" s="104">
        <v>2</v>
      </c>
      <c r="I30" s="95">
        <f t="shared" si="2"/>
        <v>0</v>
      </c>
      <c r="J30" s="84">
        <f t="shared" si="3"/>
        <v>0</v>
      </c>
      <c r="K30" s="334" t="str">
        <f t="shared" si="37"/>
        <v>400CNV15KV</v>
      </c>
      <c r="L30" s="248">
        <v>1</v>
      </c>
      <c r="M30" s="285">
        <f t="shared" si="5"/>
        <v>7078</v>
      </c>
      <c r="N30" s="241">
        <v>0.25</v>
      </c>
      <c r="O30" s="285">
        <f t="shared" si="6"/>
        <v>1769.5</v>
      </c>
      <c r="P30" s="241">
        <v>0.5</v>
      </c>
      <c r="Q30" s="285">
        <f t="shared" si="7"/>
        <v>2674</v>
      </c>
      <c r="R30" s="241">
        <v>0</v>
      </c>
      <c r="S30" s="285">
        <f t="shared" si="8"/>
        <v>0</v>
      </c>
      <c r="T30" s="241">
        <v>0</v>
      </c>
      <c r="U30" s="266">
        <f t="shared" si="9"/>
        <v>0</v>
      </c>
      <c r="V30" s="241">
        <v>0</v>
      </c>
      <c r="W30" s="266">
        <f t="shared" si="10"/>
        <v>0</v>
      </c>
      <c r="X30" s="255">
        <v>0</v>
      </c>
      <c r="Y30" s="266">
        <f t="shared" si="11"/>
        <v>0</v>
      </c>
      <c r="Z30" s="241">
        <v>0</v>
      </c>
      <c r="AA30" s="266">
        <f t="shared" si="12"/>
        <v>0</v>
      </c>
      <c r="AB30" s="241">
        <v>0</v>
      </c>
      <c r="AC30" s="266">
        <f t="shared" si="13"/>
        <v>0</v>
      </c>
      <c r="AD30" s="297">
        <v>2</v>
      </c>
      <c r="AE30" s="266">
        <f t="shared" si="14"/>
        <v>14156</v>
      </c>
      <c r="AF30" s="297">
        <v>0.75</v>
      </c>
      <c r="AG30" s="266">
        <f t="shared" si="15"/>
        <v>4011</v>
      </c>
      <c r="AH30" s="297">
        <v>18</v>
      </c>
      <c r="AI30" s="266">
        <f t="shared" si="16"/>
        <v>130068</v>
      </c>
      <c r="AJ30" s="297"/>
      <c r="AK30" s="266">
        <f t="shared" si="17"/>
        <v>0</v>
      </c>
      <c r="AL30" s="236">
        <v>1.5</v>
      </c>
      <c r="AM30" s="266">
        <f t="shared" si="18"/>
        <v>8470.5</v>
      </c>
      <c r="AN30" s="236">
        <v>1.5</v>
      </c>
      <c r="AO30" s="266">
        <f t="shared" si="19"/>
        <v>10381.5</v>
      </c>
      <c r="AP30" s="236">
        <v>2.25</v>
      </c>
      <c r="AQ30" s="266">
        <f t="shared" si="20"/>
        <v>8470.5</v>
      </c>
      <c r="AR30" s="288"/>
      <c r="AS30" s="266">
        <f t="shared" si="21"/>
        <v>0</v>
      </c>
      <c r="AT30" s="287">
        <f t="shared" si="22"/>
        <v>187079</v>
      </c>
      <c r="AU30" s="244">
        <v>32.450000000000003</v>
      </c>
      <c r="AV30" s="285">
        <f t="shared" si="23"/>
        <v>204759.50000000003</v>
      </c>
      <c r="AW30" s="236">
        <v>10.75</v>
      </c>
      <c r="AX30" s="285">
        <f t="shared" si="24"/>
        <v>67725</v>
      </c>
      <c r="AY30" s="236">
        <v>2.48</v>
      </c>
      <c r="AZ30" s="285">
        <f t="shared" si="25"/>
        <v>13317.6</v>
      </c>
      <c r="BA30" s="236">
        <v>0</v>
      </c>
      <c r="BB30" s="285">
        <f t="shared" si="26"/>
        <v>0</v>
      </c>
      <c r="BC30" s="236">
        <v>1.95</v>
      </c>
      <c r="BD30" s="285">
        <f t="shared" si="27"/>
        <v>12304.5</v>
      </c>
      <c r="BE30" s="236">
        <v>12.25</v>
      </c>
      <c r="BF30" s="285">
        <f t="shared" si="28"/>
        <v>82528.25</v>
      </c>
      <c r="BG30" s="236">
        <v>4.75</v>
      </c>
      <c r="BH30" s="285">
        <f t="shared" si="29"/>
        <v>32000.75</v>
      </c>
      <c r="BI30" s="236">
        <v>2</v>
      </c>
      <c r="BJ30" s="285">
        <f t="shared" si="30"/>
        <v>26426</v>
      </c>
      <c r="BK30" s="236">
        <v>3.5</v>
      </c>
      <c r="BL30" s="266">
        <f t="shared" si="31"/>
        <v>20149.5</v>
      </c>
      <c r="BM30" s="288"/>
      <c r="BN30" s="92">
        <f t="shared" si="32"/>
        <v>0</v>
      </c>
      <c r="BO30" s="93">
        <f t="shared" si="33"/>
        <v>459211.1</v>
      </c>
      <c r="BP30" s="223">
        <f t="shared" si="34"/>
        <v>646290.1</v>
      </c>
      <c r="BQ30" s="280">
        <f t="shared" si="35"/>
        <v>636220.00000000012</v>
      </c>
      <c r="BR30" s="34">
        <f t="shared" si="36"/>
        <v>97.88000000000001</v>
      </c>
    </row>
    <row r="31" spans="1:81" ht="19.5" thickBot="1" x14ac:dyDescent="0.35">
      <c r="A31" s="708"/>
      <c r="B31" s="708"/>
      <c r="C31" s="133">
        <v>500</v>
      </c>
      <c r="D31" s="147">
        <v>4</v>
      </c>
      <c r="E31" s="95">
        <f t="shared" si="0"/>
        <v>0</v>
      </c>
      <c r="F31" s="103">
        <v>8</v>
      </c>
      <c r="G31" s="95">
        <f t="shared" si="1"/>
        <v>0</v>
      </c>
      <c r="H31" s="104">
        <v>2</v>
      </c>
      <c r="I31" s="95">
        <f t="shared" si="2"/>
        <v>0</v>
      </c>
      <c r="J31" s="84">
        <f t="shared" si="3"/>
        <v>0</v>
      </c>
      <c r="K31" s="334" t="str">
        <f t="shared" si="37"/>
        <v>500CNV15KV</v>
      </c>
      <c r="L31" s="248">
        <v>1</v>
      </c>
      <c r="M31" s="285">
        <f t="shared" si="5"/>
        <v>7078</v>
      </c>
      <c r="N31" s="241">
        <v>0.25</v>
      </c>
      <c r="O31" s="285">
        <f t="shared" si="6"/>
        <v>1769.5</v>
      </c>
      <c r="P31" s="241">
        <v>0.5</v>
      </c>
      <c r="Q31" s="285">
        <f t="shared" si="7"/>
        <v>2674</v>
      </c>
      <c r="R31" s="241">
        <v>0</v>
      </c>
      <c r="S31" s="285">
        <f t="shared" si="8"/>
        <v>0</v>
      </c>
      <c r="T31" s="241">
        <v>0</v>
      </c>
      <c r="U31" s="266">
        <f t="shared" si="9"/>
        <v>0</v>
      </c>
      <c r="V31" s="241">
        <v>0</v>
      </c>
      <c r="W31" s="266">
        <f t="shared" si="10"/>
        <v>0</v>
      </c>
      <c r="X31" s="255">
        <v>0</v>
      </c>
      <c r="Y31" s="266">
        <f t="shared" si="11"/>
        <v>0</v>
      </c>
      <c r="Z31" s="241">
        <v>0</v>
      </c>
      <c r="AA31" s="266">
        <f t="shared" si="12"/>
        <v>0</v>
      </c>
      <c r="AB31" s="241">
        <v>0</v>
      </c>
      <c r="AC31" s="266">
        <f t="shared" si="13"/>
        <v>0</v>
      </c>
      <c r="AD31" s="297">
        <v>3</v>
      </c>
      <c r="AE31" s="266">
        <f t="shared" si="14"/>
        <v>21234</v>
      </c>
      <c r="AF31" s="297">
        <v>0.75</v>
      </c>
      <c r="AG31" s="266">
        <f t="shared" si="15"/>
        <v>4011</v>
      </c>
      <c r="AH31" s="297">
        <v>23</v>
      </c>
      <c r="AI31" s="266">
        <f t="shared" si="16"/>
        <v>166198</v>
      </c>
      <c r="AJ31" s="297"/>
      <c r="AK31" s="266">
        <f t="shared" si="17"/>
        <v>0</v>
      </c>
      <c r="AL31" s="236">
        <v>1.5</v>
      </c>
      <c r="AM31" s="266">
        <f t="shared" si="18"/>
        <v>8470.5</v>
      </c>
      <c r="AN31" s="236">
        <v>1.5</v>
      </c>
      <c r="AO31" s="266">
        <f t="shared" si="19"/>
        <v>10381.5</v>
      </c>
      <c r="AP31" s="236">
        <v>2.25</v>
      </c>
      <c r="AQ31" s="266">
        <f t="shared" si="20"/>
        <v>8470.5</v>
      </c>
      <c r="AR31" s="288"/>
      <c r="AS31" s="266">
        <f t="shared" si="21"/>
        <v>0</v>
      </c>
      <c r="AT31" s="287">
        <f t="shared" si="22"/>
        <v>230287</v>
      </c>
      <c r="AU31" s="244">
        <v>35.75</v>
      </c>
      <c r="AV31" s="285">
        <f t="shared" si="23"/>
        <v>225582.5</v>
      </c>
      <c r="AW31" s="236">
        <v>11.73</v>
      </c>
      <c r="AX31" s="285">
        <f t="shared" si="24"/>
        <v>73899</v>
      </c>
      <c r="AY31" s="236">
        <v>2.72</v>
      </c>
      <c r="AZ31" s="285">
        <f t="shared" si="25"/>
        <v>14606.400000000001</v>
      </c>
      <c r="BA31" s="236">
        <v>0</v>
      </c>
      <c r="BB31" s="285">
        <f t="shared" si="26"/>
        <v>0</v>
      </c>
      <c r="BC31" s="236">
        <v>1.95</v>
      </c>
      <c r="BD31" s="285">
        <f t="shared" si="27"/>
        <v>12304.5</v>
      </c>
      <c r="BE31" s="236">
        <v>12.75</v>
      </c>
      <c r="BF31" s="285">
        <f t="shared" si="28"/>
        <v>85896.75</v>
      </c>
      <c r="BG31" s="236">
        <v>5.05</v>
      </c>
      <c r="BH31" s="285">
        <f t="shared" si="29"/>
        <v>34021.85</v>
      </c>
      <c r="BI31" s="236">
        <v>2</v>
      </c>
      <c r="BJ31" s="285">
        <f t="shared" si="30"/>
        <v>26426</v>
      </c>
      <c r="BK31" s="236">
        <v>3.5</v>
      </c>
      <c r="BL31" s="266">
        <f t="shared" si="31"/>
        <v>20149.5</v>
      </c>
      <c r="BM31" s="288"/>
      <c r="BN31" s="92">
        <f t="shared" si="32"/>
        <v>0</v>
      </c>
      <c r="BO31" s="93">
        <f t="shared" si="33"/>
        <v>492886.5</v>
      </c>
      <c r="BP31" s="223">
        <f t="shared" si="34"/>
        <v>723173.5</v>
      </c>
      <c r="BQ31" s="280">
        <f t="shared" si="35"/>
        <v>709800</v>
      </c>
      <c r="BR31" s="34">
        <f t="shared" si="36"/>
        <v>109.2</v>
      </c>
    </row>
    <row r="32" spans="1:81" ht="19.5" thickBot="1" x14ac:dyDescent="0.35">
      <c r="A32" s="708"/>
      <c r="B32" s="708"/>
      <c r="C32" s="133">
        <v>630</v>
      </c>
      <c r="D32" s="147">
        <v>6</v>
      </c>
      <c r="E32" s="95">
        <f t="shared" si="0"/>
        <v>0</v>
      </c>
      <c r="F32" s="103">
        <v>8</v>
      </c>
      <c r="G32" s="95">
        <f t="shared" si="1"/>
        <v>0</v>
      </c>
      <c r="H32" s="104">
        <v>2</v>
      </c>
      <c r="I32" s="95">
        <f t="shared" si="2"/>
        <v>0</v>
      </c>
      <c r="J32" s="84">
        <f t="shared" si="3"/>
        <v>0</v>
      </c>
      <c r="K32" s="334" t="str">
        <f t="shared" si="37"/>
        <v>630CNV15KV</v>
      </c>
      <c r="L32" s="248">
        <v>1</v>
      </c>
      <c r="M32" s="285">
        <f t="shared" si="5"/>
        <v>7078</v>
      </c>
      <c r="N32" s="241">
        <v>0.25</v>
      </c>
      <c r="O32" s="285">
        <f t="shared" si="6"/>
        <v>1769.5</v>
      </c>
      <c r="P32" s="241">
        <v>0.5</v>
      </c>
      <c r="Q32" s="285">
        <f t="shared" si="7"/>
        <v>2674</v>
      </c>
      <c r="R32" s="241">
        <v>1.5</v>
      </c>
      <c r="S32" s="285">
        <f t="shared" si="8"/>
        <v>10839</v>
      </c>
      <c r="T32" s="241">
        <v>0</v>
      </c>
      <c r="U32" s="266">
        <f t="shared" si="9"/>
        <v>0</v>
      </c>
      <c r="V32" s="241">
        <v>0</v>
      </c>
      <c r="W32" s="266">
        <f t="shared" si="10"/>
        <v>0</v>
      </c>
      <c r="X32" s="255">
        <v>0</v>
      </c>
      <c r="Y32" s="266">
        <f t="shared" si="11"/>
        <v>0</v>
      </c>
      <c r="Z32" s="241">
        <v>0</v>
      </c>
      <c r="AA32" s="266">
        <f t="shared" si="12"/>
        <v>0</v>
      </c>
      <c r="AB32" s="241">
        <v>0</v>
      </c>
      <c r="AC32" s="266">
        <f t="shared" si="13"/>
        <v>0</v>
      </c>
      <c r="AD32" s="297">
        <v>3</v>
      </c>
      <c r="AE32" s="266">
        <f t="shared" si="14"/>
        <v>21234</v>
      </c>
      <c r="AF32" s="297">
        <v>0.75</v>
      </c>
      <c r="AG32" s="266">
        <f t="shared" si="15"/>
        <v>4011</v>
      </c>
      <c r="AH32" s="297">
        <v>18</v>
      </c>
      <c r="AI32" s="266">
        <f t="shared" si="16"/>
        <v>130068</v>
      </c>
      <c r="AJ32" s="297"/>
      <c r="AK32" s="266">
        <f t="shared" si="17"/>
        <v>0</v>
      </c>
      <c r="AL32" s="236">
        <v>1.75</v>
      </c>
      <c r="AM32" s="266">
        <f t="shared" si="18"/>
        <v>9882.25</v>
      </c>
      <c r="AN32" s="236">
        <v>2</v>
      </c>
      <c r="AO32" s="266">
        <f t="shared" si="19"/>
        <v>13842</v>
      </c>
      <c r="AP32" s="236">
        <v>2.5</v>
      </c>
      <c r="AQ32" s="266">
        <f t="shared" si="20"/>
        <v>11294</v>
      </c>
      <c r="AR32" s="288"/>
      <c r="AS32" s="266">
        <f t="shared" si="21"/>
        <v>0</v>
      </c>
      <c r="AT32" s="287">
        <f t="shared" si="22"/>
        <v>212691.75</v>
      </c>
      <c r="AU32" s="244">
        <v>42.8</v>
      </c>
      <c r="AV32" s="285">
        <f t="shared" si="23"/>
        <v>270068</v>
      </c>
      <c r="AW32" s="236">
        <v>13.45</v>
      </c>
      <c r="AX32" s="285">
        <f t="shared" si="24"/>
        <v>84735</v>
      </c>
      <c r="AY32" s="236">
        <v>2.93</v>
      </c>
      <c r="AZ32" s="285">
        <f t="shared" si="25"/>
        <v>15734.1</v>
      </c>
      <c r="BA32" s="236">
        <v>0</v>
      </c>
      <c r="BB32" s="285">
        <f t="shared" si="26"/>
        <v>0</v>
      </c>
      <c r="BC32" s="236">
        <v>1.95</v>
      </c>
      <c r="BD32" s="285">
        <f t="shared" si="27"/>
        <v>12304.5</v>
      </c>
      <c r="BE32" s="236">
        <v>13.75</v>
      </c>
      <c r="BF32" s="285">
        <f t="shared" si="28"/>
        <v>92633.75</v>
      </c>
      <c r="BG32" s="236">
        <v>5.98</v>
      </c>
      <c r="BH32" s="285">
        <f t="shared" si="29"/>
        <v>40287.26</v>
      </c>
      <c r="BI32" s="236">
        <v>2.75</v>
      </c>
      <c r="BJ32" s="285">
        <f t="shared" si="30"/>
        <v>36335.75</v>
      </c>
      <c r="BK32" s="236">
        <v>3.75</v>
      </c>
      <c r="BL32" s="266">
        <f t="shared" si="31"/>
        <v>21588.75</v>
      </c>
      <c r="BM32" s="288"/>
      <c r="BN32" s="92">
        <f t="shared" si="32"/>
        <v>0</v>
      </c>
      <c r="BO32" s="93">
        <f t="shared" si="33"/>
        <v>573687.11</v>
      </c>
      <c r="BP32" s="223">
        <f t="shared" si="34"/>
        <v>786378.86</v>
      </c>
      <c r="BQ32" s="280">
        <f t="shared" si="35"/>
        <v>770965.00000000012</v>
      </c>
      <c r="BR32" s="34">
        <f t="shared" si="36"/>
        <v>118.61000000000001</v>
      </c>
    </row>
    <row r="33" spans="1:81" ht="19.5" thickBot="1" x14ac:dyDescent="0.35">
      <c r="A33" s="708"/>
      <c r="B33" s="708"/>
      <c r="C33" s="350">
        <v>750</v>
      </c>
      <c r="D33" s="147">
        <v>6</v>
      </c>
      <c r="E33" s="95">
        <f t="shared" si="0"/>
        <v>0</v>
      </c>
      <c r="F33" s="103">
        <v>8</v>
      </c>
      <c r="G33" s="95">
        <f t="shared" si="1"/>
        <v>0</v>
      </c>
      <c r="H33" s="104">
        <v>2</v>
      </c>
      <c r="I33" s="95">
        <f t="shared" si="2"/>
        <v>0</v>
      </c>
      <c r="J33" s="84">
        <f t="shared" ref="J33" si="38">D33*E33+F33*G33+H33*I33</f>
        <v>0</v>
      </c>
      <c r="K33" s="334" t="str">
        <f t="shared" ref="K33" si="39">C33&amp;$B$22&amp;$A$22</f>
        <v>750CNV15KV</v>
      </c>
      <c r="L33" s="248"/>
      <c r="M33" s="285">
        <f t="shared" ref="M33" si="40">$M$5*L33</f>
        <v>0</v>
      </c>
      <c r="N33" s="241"/>
      <c r="O33" s="285">
        <f t="shared" ref="O33" si="41">$O$5*N33</f>
        <v>0</v>
      </c>
      <c r="P33" s="241"/>
      <c r="Q33" s="285">
        <f t="shared" ref="Q33" si="42">$Q$5*P33</f>
        <v>0</v>
      </c>
      <c r="R33" s="241"/>
      <c r="S33" s="285">
        <f t="shared" ref="S33" si="43">$S$5*R33</f>
        <v>0</v>
      </c>
      <c r="T33" s="241"/>
      <c r="U33" s="266">
        <f t="shared" ref="U33" si="44">$U$5*T33</f>
        <v>0</v>
      </c>
      <c r="V33" s="241"/>
      <c r="W33" s="266">
        <f t="shared" ref="W33" si="45">$W$5*V33</f>
        <v>0</v>
      </c>
      <c r="X33" s="255"/>
      <c r="Y33" s="266">
        <f t="shared" ref="Y33" si="46">$Y$5*X33</f>
        <v>0</v>
      </c>
      <c r="Z33" s="241"/>
      <c r="AA33" s="266">
        <f t="shared" ref="AA33" si="47">$AA$5*Z33</f>
        <v>0</v>
      </c>
      <c r="AB33" s="241"/>
      <c r="AC33" s="266">
        <f t="shared" ref="AC33" si="48">$AC$5*AB33</f>
        <v>0</v>
      </c>
      <c r="AD33" s="297"/>
      <c r="AE33" s="266">
        <f t="shared" ref="AE33" si="49">$AE$5*AD33</f>
        <v>0</v>
      </c>
      <c r="AF33" s="297"/>
      <c r="AG33" s="266">
        <f t="shared" ref="AG33" si="50">$AG$5*AF33</f>
        <v>0</v>
      </c>
      <c r="AH33" s="297"/>
      <c r="AI33" s="266">
        <f t="shared" ref="AI33" si="51">$AI$5*AH33</f>
        <v>0</v>
      </c>
      <c r="AJ33" s="297"/>
      <c r="AK33" s="266">
        <f t="shared" ref="AK33" si="52">$AK$5*AJ33</f>
        <v>0</v>
      </c>
      <c r="AL33" s="236"/>
      <c r="AM33" s="266">
        <f t="shared" ref="AM33" si="53">$AM$5*AL33</f>
        <v>0</v>
      </c>
      <c r="AN33" s="236"/>
      <c r="AO33" s="266">
        <f t="shared" ref="AO33" si="54">$AO$5*AN33</f>
        <v>0</v>
      </c>
      <c r="AP33" s="236"/>
      <c r="AQ33" s="266">
        <f t="shared" ref="AQ33" si="55">$AQ$5*AN33</f>
        <v>0</v>
      </c>
      <c r="AR33" s="288"/>
      <c r="AS33" s="266">
        <f t="shared" ref="AS33" si="56">$AS$5*AR33</f>
        <v>0</v>
      </c>
      <c r="AT33" s="287">
        <f t="shared" ref="AT33" si="57">+M33+O33+Q33+S33+U33+W33+Y33+AA33+AC33+AE33+AG33+AI33+AK33+AM33+AO33+AQ33+AS33</f>
        <v>0</v>
      </c>
      <c r="AU33" s="244"/>
      <c r="AV33" s="285">
        <f t="shared" ref="AV33" si="58">$AV$5*AU33</f>
        <v>0</v>
      </c>
      <c r="AW33" s="236"/>
      <c r="AX33" s="285">
        <f t="shared" ref="AX33" si="59">$AX$5*AW33</f>
        <v>0</v>
      </c>
      <c r="AY33" s="236"/>
      <c r="AZ33" s="285">
        <f t="shared" ref="AZ33" si="60">$AZ$5*AY33</f>
        <v>0</v>
      </c>
      <c r="BA33" s="236"/>
      <c r="BB33" s="285">
        <f t="shared" ref="BB33" si="61">$BB$5*BA33</f>
        <v>0</v>
      </c>
      <c r="BC33" s="236"/>
      <c r="BD33" s="285">
        <f t="shared" ref="BD33" si="62">$BD$5*BC33</f>
        <v>0</v>
      </c>
      <c r="BE33" s="236"/>
      <c r="BF33" s="285">
        <f t="shared" ref="BF33" si="63">$BF$5*BE33</f>
        <v>0</v>
      </c>
      <c r="BG33" s="236"/>
      <c r="BH33" s="285">
        <f t="shared" ref="BH33" si="64">$BH$5*BG33</f>
        <v>0</v>
      </c>
      <c r="BI33" s="236"/>
      <c r="BJ33" s="285">
        <f t="shared" ref="BJ33" si="65">$BJ$5*BI33</f>
        <v>0</v>
      </c>
      <c r="BK33" s="236"/>
      <c r="BL33" s="266">
        <f t="shared" ref="BL33" si="66">$BL$5*BK33</f>
        <v>0</v>
      </c>
      <c r="BM33" s="288"/>
      <c r="BN33" s="92">
        <f t="shared" ref="BN33" si="67">+$BN$5*BM33</f>
        <v>0</v>
      </c>
      <c r="BO33" s="93">
        <f t="shared" ref="BO33" si="68">+AV33+AX33+AZ33+BB33+BD33+BF33+BH33+BJ33+BL33+BN33</f>
        <v>0</v>
      </c>
      <c r="BP33" s="223">
        <f t="shared" ref="BP33" si="69">AT33+BO33</f>
        <v>0</v>
      </c>
      <c r="BQ33" s="280">
        <f t="shared" ref="BQ33" si="70">+$BQ$1*BR33</f>
        <v>0</v>
      </c>
      <c r="BR33" s="34">
        <f t="shared" ref="BR33" si="71">+L33+N33+P33+R33+T33+V33+X33+Z33+AB33+AD33+AF33+AH33+AJ33+AL33+AN33+AP33+AR33+AU33+AW33+AY33+BA33+BC33+BE33+BG33+BI33+BK33+BM33</f>
        <v>0</v>
      </c>
      <c r="CB33" s="277">
        <v>42745.506006944444</v>
      </c>
      <c r="CC33" s="276" t="s">
        <v>115</v>
      </c>
    </row>
    <row r="34" spans="1:81" ht="19.5" thickBot="1" x14ac:dyDescent="0.35">
      <c r="A34" s="708"/>
      <c r="B34" s="708"/>
      <c r="C34" s="133">
        <v>800</v>
      </c>
      <c r="D34" s="147">
        <v>6</v>
      </c>
      <c r="E34" s="95">
        <f t="shared" si="0"/>
        <v>0</v>
      </c>
      <c r="F34" s="103">
        <v>8</v>
      </c>
      <c r="G34" s="95">
        <f t="shared" si="1"/>
        <v>0</v>
      </c>
      <c r="H34" s="104">
        <v>2</v>
      </c>
      <c r="I34" s="95">
        <f t="shared" si="2"/>
        <v>0</v>
      </c>
      <c r="J34" s="84">
        <f t="shared" si="3"/>
        <v>0</v>
      </c>
      <c r="K34" s="334" t="str">
        <f t="shared" si="37"/>
        <v>800CNV15KV</v>
      </c>
      <c r="L34" s="248">
        <v>1</v>
      </c>
      <c r="M34" s="285">
        <f t="shared" si="5"/>
        <v>7078</v>
      </c>
      <c r="N34" s="241">
        <v>0.25</v>
      </c>
      <c r="O34" s="285">
        <f t="shared" si="6"/>
        <v>1769.5</v>
      </c>
      <c r="P34" s="241">
        <v>0.5</v>
      </c>
      <c r="Q34" s="285">
        <f t="shared" si="7"/>
        <v>2674</v>
      </c>
      <c r="R34" s="241">
        <v>1.5</v>
      </c>
      <c r="S34" s="285">
        <f t="shared" si="8"/>
        <v>10839</v>
      </c>
      <c r="T34" s="241">
        <v>0</v>
      </c>
      <c r="U34" s="266">
        <f t="shared" si="9"/>
        <v>0</v>
      </c>
      <c r="V34" s="241">
        <v>0</v>
      </c>
      <c r="W34" s="266">
        <f t="shared" si="10"/>
        <v>0</v>
      </c>
      <c r="X34" s="255">
        <v>0</v>
      </c>
      <c r="Y34" s="266">
        <f t="shared" si="11"/>
        <v>0</v>
      </c>
      <c r="Z34" s="241">
        <v>0</v>
      </c>
      <c r="AA34" s="266">
        <f t="shared" si="12"/>
        <v>0</v>
      </c>
      <c r="AB34" s="241">
        <v>0</v>
      </c>
      <c r="AC34" s="266">
        <f t="shared" si="13"/>
        <v>0</v>
      </c>
      <c r="AD34" s="297">
        <v>4</v>
      </c>
      <c r="AE34" s="266">
        <f t="shared" si="14"/>
        <v>28312</v>
      </c>
      <c r="AF34" s="297">
        <v>1.25</v>
      </c>
      <c r="AG34" s="266">
        <f t="shared" si="15"/>
        <v>6685</v>
      </c>
      <c r="AH34" s="297">
        <v>24</v>
      </c>
      <c r="AI34" s="266">
        <f t="shared" si="16"/>
        <v>173424</v>
      </c>
      <c r="AJ34" s="297"/>
      <c r="AK34" s="266">
        <f t="shared" si="17"/>
        <v>0</v>
      </c>
      <c r="AL34" s="236">
        <v>1.75</v>
      </c>
      <c r="AM34" s="266">
        <f t="shared" si="18"/>
        <v>9882.25</v>
      </c>
      <c r="AN34" s="236">
        <v>2</v>
      </c>
      <c r="AO34" s="266">
        <f t="shared" si="19"/>
        <v>13842</v>
      </c>
      <c r="AP34" s="236">
        <v>2.5</v>
      </c>
      <c r="AQ34" s="266">
        <f t="shared" si="20"/>
        <v>11294</v>
      </c>
      <c r="AR34" s="288"/>
      <c r="AS34" s="266">
        <f t="shared" si="21"/>
        <v>0</v>
      </c>
      <c r="AT34" s="287">
        <f t="shared" si="22"/>
        <v>265799.75</v>
      </c>
      <c r="AU34" s="244">
        <v>54.25</v>
      </c>
      <c r="AV34" s="285">
        <f t="shared" si="23"/>
        <v>342317.5</v>
      </c>
      <c r="AW34" s="236">
        <v>14.35</v>
      </c>
      <c r="AX34" s="285">
        <f t="shared" si="24"/>
        <v>90405</v>
      </c>
      <c r="AY34" s="236">
        <v>3.18</v>
      </c>
      <c r="AZ34" s="285">
        <f t="shared" si="25"/>
        <v>17076.600000000002</v>
      </c>
      <c r="BA34" s="236">
        <v>0</v>
      </c>
      <c r="BB34" s="285">
        <f t="shared" si="26"/>
        <v>0</v>
      </c>
      <c r="BC34" s="236">
        <v>1.95</v>
      </c>
      <c r="BD34" s="285">
        <f t="shared" si="27"/>
        <v>12304.5</v>
      </c>
      <c r="BE34" s="236">
        <v>14.5</v>
      </c>
      <c r="BF34" s="285">
        <f t="shared" si="28"/>
        <v>97686.5</v>
      </c>
      <c r="BG34" s="236">
        <v>6.25</v>
      </c>
      <c r="BH34" s="285">
        <f t="shared" si="29"/>
        <v>42106.25</v>
      </c>
      <c r="BI34" s="236">
        <v>2.75</v>
      </c>
      <c r="BJ34" s="285">
        <f t="shared" si="30"/>
        <v>36335.75</v>
      </c>
      <c r="BK34" s="236">
        <v>4</v>
      </c>
      <c r="BL34" s="266">
        <f t="shared" si="31"/>
        <v>23028</v>
      </c>
      <c r="BM34" s="288"/>
      <c r="BN34" s="92">
        <f t="shared" si="32"/>
        <v>0</v>
      </c>
      <c r="BO34" s="93">
        <f t="shared" si="33"/>
        <v>661260.1</v>
      </c>
      <c r="BP34" s="223">
        <f t="shared" si="34"/>
        <v>927059.85</v>
      </c>
      <c r="BQ34" s="280">
        <f t="shared" si="35"/>
        <v>909870.00000000012</v>
      </c>
      <c r="BR34" s="34">
        <f t="shared" si="36"/>
        <v>139.98000000000002</v>
      </c>
      <c r="CB34" s="277">
        <v>42745.505902777775</v>
      </c>
      <c r="CC34" s="276" t="s">
        <v>115</v>
      </c>
    </row>
    <row r="35" spans="1:81" ht="19.5" thickBot="1" x14ac:dyDescent="0.35">
      <c r="A35" s="708"/>
      <c r="B35" s="708"/>
      <c r="C35" s="143">
        <v>1000</v>
      </c>
      <c r="D35" s="147">
        <v>8</v>
      </c>
      <c r="E35" s="95">
        <f t="shared" si="0"/>
        <v>0</v>
      </c>
      <c r="F35" s="103">
        <v>8</v>
      </c>
      <c r="G35" s="95">
        <f t="shared" si="1"/>
        <v>0</v>
      </c>
      <c r="H35" s="104">
        <v>2</v>
      </c>
      <c r="I35" s="95">
        <f t="shared" si="2"/>
        <v>0</v>
      </c>
      <c r="J35" s="84">
        <f t="shared" si="3"/>
        <v>0</v>
      </c>
      <c r="K35" s="334" t="str">
        <f t="shared" si="37"/>
        <v>1000CNV15KV</v>
      </c>
      <c r="L35" s="248">
        <v>1</v>
      </c>
      <c r="M35" s="285">
        <f t="shared" si="5"/>
        <v>7078</v>
      </c>
      <c r="N35" s="241">
        <v>0.35</v>
      </c>
      <c r="O35" s="285">
        <f t="shared" si="6"/>
        <v>2477.2999999999997</v>
      </c>
      <c r="P35" s="241">
        <v>0.5</v>
      </c>
      <c r="Q35" s="285">
        <f t="shared" si="7"/>
        <v>2674</v>
      </c>
      <c r="R35" s="241">
        <v>1.5</v>
      </c>
      <c r="S35" s="285">
        <f t="shared" si="8"/>
        <v>10839</v>
      </c>
      <c r="T35" s="241">
        <v>0</v>
      </c>
      <c r="U35" s="266">
        <f t="shared" si="9"/>
        <v>0</v>
      </c>
      <c r="V35" s="241">
        <v>0</v>
      </c>
      <c r="W35" s="266">
        <f t="shared" si="10"/>
        <v>0</v>
      </c>
      <c r="X35" s="255">
        <v>0</v>
      </c>
      <c r="Y35" s="266">
        <f t="shared" si="11"/>
        <v>0</v>
      </c>
      <c r="Z35" s="241">
        <v>0</v>
      </c>
      <c r="AA35" s="266">
        <f t="shared" si="12"/>
        <v>0</v>
      </c>
      <c r="AB35" s="241">
        <v>0</v>
      </c>
      <c r="AC35" s="266">
        <f t="shared" si="13"/>
        <v>0</v>
      </c>
      <c r="AD35" s="297">
        <v>5</v>
      </c>
      <c r="AE35" s="266">
        <f t="shared" si="14"/>
        <v>35390</v>
      </c>
      <c r="AF35" s="297">
        <v>2.5</v>
      </c>
      <c r="AG35" s="266">
        <f t="shared" si="15"/>
        <v>13370</v>
      </c>
      <c r="AH35" s="297">
        <v>36</v>
      </c>
      <c r="AI35" s="266">
        <f t="shared" si="16"/>
        <v>260136</v>
      </c>
      <c r="AJ35" s="297"/>
      <c r="AK35" s="266">
        <f t="shared" si="17"/>
        <v>0</v>
      </c>
      <c r="AL35" s="236">
        <v>2</v>
      </c>
      <c r="AM35" s="266">
        <f t="shared" si="18"/>
        <v>11294</v>
      </c>
      <c r="AN35" s="236">
        <v>2.25</v>
      </c>
      <c r="AO35" s="266">
        <f t="shared" si="19"/>
        <v>15572.25</v>
      </c>
      <c r="AP35" s="236">
        <v>3</v>
      </c>
      <c r="AQ35" s="266">
        <f t="shared" si="20"/>
        <v>12705.75</v>
      </c>
      <c r="AR35" s="288"/>
      <c r="AS35" s="266">
        <f t="shared" si="21"/>
        <v>0</v>
      </c>
      <c r="AT35" s="287">
        <f t="shared" si="22"/>
        <v>371536.3</v>
      </c>
      <c r="AU35" s="244">
        <v>68</v>
      </c>
      <c r="AV35" s="285">
        <f t="shared" si="23"/>
        <v>429080</v>
      </c>
      <c r="AW35" s="236">
        <v>15.85</v>
      </c>
      <c r="AX35" s="285">
        <f t="shared" si="24"/>
        <v>99855</v>
      </c>
      <c r="AY35" s="236">
        <v>3.55</v>
      </c>
      <c r="AZ35" s="285">
        <f t="shared" si="25"/>
        <v>19063.5</v>
      </c>
      <c r="BA35" s="236">
        <v>0</v>
      </c>
      <c r="BB35" s="285">
        <f t="shared" si="26"/>
        <v>0</v>
      </c>
      <c r="BC35" s="236">
        <v>2.95</v>
      </c>
      <c r="BD35" s="285">
        <f t="shared" si="27"/>
        <v>18614.5</v>
      </c>
      <c r="BE35" s="236">
        <v>15.75</v>
      </c>
      <c r="BF35" s="285">
        <f t="shared" si="28"/>
        <v>106107.75</v>
      </c>
      <c r="BG35" s="236">
        <v>6.63</v>
      </c>
      <c r="BH35" s="285">
        <f t="shared" si="29"/>
        <v>44666.31</v>
      </c>
      <c r="BI35" s="236">
        <v>2.75</v>
      </c>
      <c r="BJ35" s="285">
        <f t="shared" si="30"/>
        <v>36335.75</v>
      </c>
      <c r="BK35" s="236">
        <v>10</v>
      </c>
      <c r="BL35" s="266">
        <f t="shared" si="31"/>
        <v>57570</v>
      </c>
      <c r="BM35" s="288"/>
      <c r="BN35" s="92">
        <f t="shared" si="32"/>
        <v>0</v>
      </c>
      <c r="BO35" s="93">
        <f t="shared" si="33"/>
        <v>811292.81</v>
      </c>
      <c r="BP35" s="223">
        <f t="shared" si="34"/>
        <v>1182829.1100000001</v>
      </c>
      <c r="BQ35" s="280">
        <f t="shared" si="35"/>
        <v>1167270</v>
      </c>
      <c r="BR35" s="34">
        <f t="shared" si="36"/>
        <v>179.57999999999998</v>
      </c>
      <c r="CB35" s="277">
        <v>42902.499837962961</v>
      </c>
      <c r="CC35" s="276" t="s">
        <v>167</v>
      </c>
    </row>
    <row r="36" spans="1:81" ht="19.5" thickBot="1" x14ac:dyDescent="0.35">
      <c r="A36" s="708"/>
      <c r="B36" s="708"/>
      <c r="C36" s="144">
        <v>1250</v>
      </c>
      <c r="D36" s="147">
        <v>8</v>
      </c>
      <c r="E36" s="95">
        <f t="shared" si="0"/>
        <v>0</v>
      </c>
      <c r="F36" s="103">
        <v>12</v>
      </c>
      <c r="G36" s="95">
        <f t="shared" si="1"/>
        <v>0</v>
      </c>
      <c r="H36" s="104">
        <v>2</v>
      </c>
      <c r="I36" s="95">
        <f t="shared" si="2"/>
        <v>0</v>
      </c>
      <c r="J36" s="84">
        <f t="shared" si="3"/>
        <v>0</v>
      </c>
      <c r="K36" s="334" t="str">
        <f t="shared" si="37"/>
        <v>1250CNV15KV</v>
      </c>
      <c r="L36" s="248">
        <v>1</v>
      </c>
      <c r="M36" s="285">
        <f t="shared" si="5"/>
        <v>7078</v>
      </c>
      <c r="N36" s="241">
        <v>0.35</v>
      </c>
      <c r="O36" s="285">
        <f t="shared" si="6"/>
        <v>2477.2999999999997</v>
      </c>
      <c r="P36" s="241">
        <v>0.5</v>
      </c>
      <c r="Q36" s="285">
        <f t="shared" si="7"/>
        <v>2674</v>
      </c>
      <c r="R36" s="241">
        <v>1.5</v>
      </c>
      <c r="S36" s="285">
        <f t="shared" si="8"/>
        <v>10839</v>
      </c>
      <c r="T36" s="241">
        <v>0</v>
      </c>
      <c r="U36" s="266">
        <f t="shared" si="9"/>
        <v>0</v>
      </c>
      <c r="V36" s="241">
        <v>0</v>
      </c>
      <c r="W36" s="266">
        <f t="shared" si="10"/>
        <v>0</v>
      </c>
      <c r="X36" s="255">
        <v>0</v>
      </c>
      <c r="Y36" s="266">
        <f t="shared" si="11"/>
        <v>0</v>
      </c>
      <c r="Z36" s="241">
        <v>0</v>
      </c>
      <c r="AA36" s="266">
        <f t="shared" si="12"/>
        <v>0</v>
      </c>
      <c r="AB36" s="241">
        <v>0</v>
      </c>
      <c r="AC36" s="266">
        <f t="shared" si="13"/>
        <v>0</v>
      </c>
      <c r="AD36" s="297">
        <v>8</v>
      </c>
      <c r="AE36" s="266">
        <f t="shared" si="14"/>
        <v>56624</v>
      </c>
      <c r="AF36" s="297">
        <v>5</v>
      </c>
      <c r="AG36" s="266">
        <f t="shared" si="15"/>
        <v>26740</v>
      </c>
      <c r="AH36" s="297">
        <v>45</v>
      </c>
      <c r="AI36" s="266">
        <f t="shared" si="16"/>
        <v>325170</v>
      </c>
      <c r="AJ36" s="297"/>
      <c r="AK36" s="266">
        <f t="shared" si="17"/>
        <v>0</v>
      </c>
      <c r="AL36" s="236">
        <v>2</v>
      </c>
      <c r="AM36" s="266">
        <f t="shared" si="18"/>
        <v>11294</v>
      </c>
      <c r="AN36" s="236">
        <v>2.25</v>
      </c>
      <c r="AO36" s="266">
        <f t="shared" si="19"/>
        <v>15572.25</v>
      </c>
      <c r="AP36" s="236">
        <v>3</v>
      </c>
      <c r="AQ36" s="266">
        <f t="shared" si="20"/>
        <v>12705.75</v>
      </c>
      <c r="AR36" s="288"/>
      <c r="AS36" s="266">
        <f t="shared" si="21"/>
        <v>0</v>
      </c>
      <c r="AT36" s="287">
        <f t="shared" si="22"/>
        <v>471174.3</v>
      </c>
      <c r="AU36" s="244">
        <v>61.9</v>
      </c>
      <c r="AV36" s="285">
        <f t="shared" si="23"/>
        <v>390589</v>
      </c>
      <c r="AW36" s="236">
        <v>15.85</v>
      </c>
      <c r="AX36" s="285">
        <f t="shared" si="24"/>
        <v>99855</v>
      </c>
      <c r="AY36" s="236">
        <v>3.55</v>
      </c>
      <c r="AZ36" s="285">
        <f t="shared" si="25"/>
        <v>19063.5</v>
      </c>
      <c r="BA36" s="236">
        <v>0</v>
      </c>
      <c r="BB36" s="285">
        <f t="shared" si="26"/>
        <v>0</v>
      </c>
      <c r="BC36" s="236">
        <v>2.95</v>
      </c>
      <c r="BD36" s="285">
        <f t="shared" si="27"/>
        <v>18614.5</v>
      </c>
      <c r="BE36" s="236">
        <v>16.25</v>
      </c>
      <c r="BF36" s="285">
        <f t="shared" si="28"/>
        <v>109476.25</v>
      </c>
      <c r="BG36" s="236">
        <v>9.5</v>
      </c>
      <c r="BH36" s="285">
        <f t="shared" si="29"/>
        <v>64001.5</v>
      </c>
      <c r="BI36" s="236">
        <v>3</v>
      </c>
      <c r="BJ36" s="285">
        <f t="shared" si="30"/>
        <v>39639</v>
      </c>
      <c r="BK36" s="236">
        <v>10</v>
      </c>
      <c r="BL36" s="266">
        <f t="shared" si="31"/>
        <v>57570</v>
      </c>
      <c r="BM36" s="288"/>
      <c r="BN36" s="92">
        <f t="shared" si="32"/>
        <v>0</v>
      </c>
      <c r="BO36" s="93">
        <f t="shared" si="33"/>
        <v>798808.75</v>
      </c>
      <c r="BP36" s="223">
        <f t="shared" si="34"/>
        <v>1269983.05</v>
      </c>
      <c r="BQ36" s="280">
        <f t="shared" si="35"/>
        <v>1245400</v>
      </c>
      <c r="BR36" s="34">
        <f t="shared" si="36"/>
        <v>191.6</v>
      </c>
      <c r="CB36" s="277">
        <v>42745.505983796298</v>
      </c>
      <c r="CC36" s="276" t="s">
        <v>115</v>
      </c>
    </row>
    <row r="37" spans="1:81" ht="19.5" thickBot="1" x14ac:dyDescent="0.35">
      <c r="A37" s="708"/>
      <c r="B37" s="708"/>
      <c r="C37" s="144">
        <v>1600</v>
      </c>
      <c r="D37" s="147">
        <v>12</v>
      </c>
      <c r="E37" s="95">
        <f t="shared" si="0"/>
        <v>0</v>
      </c>
      <c r="F37" s="103">
        <v>12</v>
      </c>
      <c r="G37" s="95">
        <f t="shared" si="1"/>
        <v>0</v>
      </c>
      <c r="H37" s="104">
        <v>4</v>
      </c>
      <c r="I37" s="95">
        <f t="shared" si="2"/>
        <v>0</v>
      </c>
      <c r="J37" s="84">
        <f t="shared" si="3"/>
        <v>0</v>
      </c>
      <c r="K37" s="334" t="str">
        <f t="shared" si="37"/>
        <v>1600CNV15KV</v>
      </c>
      <c r="L37" s="248">
        <v>1</v>
      </c>
      <c r="M37" s="285">
        <f t="shared" si="5"/>
        <v>7078</v>
      </c>
      <c r="N37" s="241">
        <v>0.35</v>
      </c>
      <c r="O37" s="285">
        <f t="shared" si="6"/>
        <v>2477.2999999999997</v>
      </c>
      <c r="P37" s="241">
        <v>0.5</v>
      </c>
      <c r="Q37" s="285">
        <f t="shared" si="7"/>
        <v>2674</v>
      </c>
      <c r="R37" s="241">
        <v>1.5</v>
      </c>
      <c r="S37" s="285">
        <f t="shared" si="8"/>
        <v>10839</v>
      </c>
      <c r="T37" s="241">
        <v>0</v>
      </c>
      <c r="U37" s="266">
        <f t="shared" si="9"/>
        <v>0</v>
      </c>
      <c r="V37" s="241">
        <v>0</v>
      </c>
      <c r="W37" s="266">
        <f t="shared" si="10"/>
        <v>0</v>
      </c>
      <c r="X37" s="255">
        <v>0</v>
      </c>
      <c r="Y37" s="266">
        <f t="shared" si="11"/>
        <v>0</v>
      </c>
      <c r="Z37" s="241">
        <v>0</v>
      </c>
      <c r="AA37" s="266">
        <f t="shared" si="12"/>
        <v>0</v>
      </c>
      <c r="AB37" s="241">
        <v>0</v>
      </c>
      <c r="AC37" s="266">
        <f t="shared" si="13"/>
        <v>0</v>
      </c>
      <c r="AD37" s="297">
        <v>9</v>
      </c>
      <c r="AE37" s="266">
        <f t="shared" si="14"/>
        <v>63702</v>
      </c>
      <c r="AF37" s="297">
        <v>4</v>
      </c>
      <c r="AG37" s="266">
        <f t="shared" si="15"/>
        <v>21392</v>
      </c>
      <c r="AH37" s="236">
        <v>45</v>
      </c>
      <c r="AI37" s="266">
        <f t="shared" si="16"/>
        <v>325170</v>
      </c>
      <c r="AJ37" s="236"/>
      <c r="AK37" s="266">
        <f t="shared" si="17"/>
        <v>0</v>
      </c>
      <c r="AL37" s="236">
        <v>2.5</v>
      </c>
      <c r="AM37" s="266">
        <f t="shared" si="18"/>
        <v>14117.5</v>
      </c>
      <c r="AN37" s="236">
        <v>2.5</v>
      </c>
      <c r="AO37" s="266">
        <f t="shared" si="19"/>
        <v>17302.5</v>
      </c>
      <c r="AP37" s="236">
        <v>3.5</v>
      </c>
      <c r="AQ37" s="266">
        <f t="shared" si="20"/>
        <v>14117.5</v>
      </c>
      <c r="AR37" s="288"/>
      <c r="AS37" s="266">
        <f t="shared" si="21"/>
        <v>0</v>
      </c>
      <c r="AT37" s="287">
        <f t="shared" si="22"/>
        <v>478869.8</v>
      </c>
      <c r="AU37" s="244">
        <v>72.8</v>
      </c>
      <c r="AV37" s="285">
        <f t="shared" si="23"/>
        <v>459368</v>
      </c>
      <c r="AW37" s="236">
        <v>17</v>
      </c>
      <c r="AX37" s="285">
        <f t="shared" si="24"/>
        <v>107100</v>
      </c>
      <c r="AY37" s="236">
        <v>62.5</v>
      </c>
      <c r="AZ37" s="285">
        <f t="shared" si="25"/>
        <v>335625</v>
      </c>
      <c r="BA37" s="236">
        <v>23</v>
      </c>
      <c r="BB37" s="285">
        <f t="shared" si="26"/>
        <v>123510</v>
      </c>
      <c r="BC37" s="236">
        <v>4</v>
      </c>
      <c r="BD37" s="285">
        <f t="shared" si="27"/>
        <v>25240</v>
      </c>
      <c r="BE37" s="236">
        <v>17.5</v>
      </c>
      <c r="BF37" s="285">
        <f t="shared" si="28"/>
        <v>117897.5</v>
      </c>
      <c r="BG37" s="236">
        <v>9.5</v>
      </c>
      <c r="BH37" s="285">
        <f t="shared" si="29"/>
        <v>64001.5</v>
      </c>
      <c r="BI37" s="236">
        <v>3</v>
      </c>
      <c r="BJ37" s="285">
        <f t="shared" si="30"/>
        <v>39639</v>
      </c>
      <c r="BK37" s="236">
        <v>10</v>
      </c>
      <c r="BL37" s="266">
        <f t="shared" si="31"/>
        <v>57570</v>
      </c>
      <c r="BM37" s="288"/>
      <c r="BN37" s="92">
        <f t="shared" si="32"/>
        <v>0</v>
      </c>
      <c r="BO37" s="93">
        <f t="shared" si="33"/>
        <v>1329951</v>
      </c>
      <c r="BP37" s="223">
        <f t="shared" si="34"/>
        <v>1808820.8</v>
      </c>
      <c r="BQ37" s="280">
        <f t="shared" si="35"/>
        <v>1879474.9999999998</v>
      </c>
      <c r="BR37" s="34">
        <f t="shared" si="36"/>
        <v>289.14999999999998</v>
      </c>
    </row>
    <row r="38" spans="1:81" ht="19.5" thickBot="1" x14ac:dyDescent="0.35">
      <c r="A38" s="708"/>
      <c r="B38" s="708"/>
      <c r="C38" s="144">
        <v>2000</v>
      </c>
      <c r="D38" s="148">
        <v>12</v>
      </c>
      <c r="E38" s="96">
        <f t="shared" si="0"/>
        <v>0</v>
      </c>
      <c r="F38" s="107">
        <v>16</v>
      </c>
      <c r="G38" s="96">
        <f t="shared" si="1"/>
        <v>0</v>
      </c>
      <c r="H38" s="106">
        <v>4</v>
      </c>
      <c r="I38" s="96">
        <f t="shared" si="2"/>
        <v>0</v>
      </c>
      <c r="J38" s="99">
        <f t="shared" si="3"/>
        <v>0</v>
      </c>
      <c r="K38" s="334" t="str">
        <f t="shared" si="37"/>
        <v>2000CNV15KV</v>
      </c>
      <c r="L38" s="290">
        <v>1</v>
      </c>
      <c r="M38" s="285">
        <f t="shared" si="5"/>
        <v>7078</v>
      </c>
      <c r="N38" s="291">
        <v>0.35</v>
      </c>
      <c r="O38" s="285">
        <f t="shared" si="6"/>
        <v>2477.2999999999997</v>
      </c>
      <c r="P38" s="291">
        <v>0.5</v>
      </c>
      <c r="Q38" s="285">
        <f t="shared" si="7"/>
        <v>2674</v>
      </c>
      <c r="R38" s="291">
        <v>1.5</v>
      </c>
      <c r="S38" s="285">
        <f t="shared" si="8"/>
        <v>10839</v>
      </c>
      <c r="T38" s="292">
        <v>0</v>
      </c>
      <c r="U38" s="266">
        <f t="shared" si="9"/>
        <v>0</v>
      </c>
      <c r="V38" s="292">
        <v>0</v>
      </c>
      <c r="W38" s="266">
        <f t="shared" si="10"/>
        <v>0</v>
      </c>
      <c r="X38" s="298">
        <v>0</v>
      </c>
      <c r="Y38" s="266">
        <f t="shared" si="11"/>
        <v>0</v>
      </c>
      <c r="Z38" s="291">
        <v>0</v>
      </c>
      <c r="AA38" s="266">
        <f t="shared" si="12"/>
        <v>0</v>
      </c>
      <c r="AB38" s="291">
        <v>0</v>
      </c>
      <c r="AC38" s="266">
        <f t="shared" si="13"/>
        <v>0</v>
      </c>
      <c r="AD38" s="299">
        <v>15</v>
      </c>
      <c r="AE38" s="266">
        <f t="shared" si="14"/>
        <v>106170</v>
      </c>
      <c r="AF38" s="299">
        <v>9</v>
      </c>
      <c r="AG38" s="266">
        <f t="shared" si="15"/>
        <v>48132</v>
      </c>
      <c r="AH38" s="292">
        <v>52</v>
      </c>
      <c r="AI38" s="266">
        <f t="shared" si="16"/>
        <v>375752</v>
      </c>
      <c r="AJ38" s="292"/>
      <c r="AK38" s="266">
        <f t="shared" si="17"/>
        <v>0</v>
      </c>
      <c r="AL38" s="292">
        <v>3.25</v>
      </c>
      <c r="AM38" s="266">
        <f t="shared" si="18"/>
        <v>18352.75</v>
      </c>
      <c r="AN38" s="292">
        <v>3.5</v>
      </c>
      <c r="AO38" s="266">
        <f t="shared" si="19"/>
        <v>24223.5</v>
      </c>
      <c r="AP38" s="292">
        <v>3.5</v>
      </c>
      <c r="AQ38" s="266">
        <f t="shared" si="20"/>
        <v>19764.5</v>
      </c>
      <c r="AR38" s="293"/>
      <c r="AS38" s="266">
        <f t="shared" si="21"/>
        <v>0</v>
      </c>
      <c r="AT38" s="287">
        <f t="shared" si="22"/>
        <v>615463.05000000005</v>
      </c>
      <c r="AU38" s="294">
        <v>75.5</v>
      </c>
      <c r="AV38" s="285">
        <f t="shared" si="23"/>
        <v>476405</v>
      </c>
      <c r="AW38" s="292">
        <v>17</v>
      </c>
      <c r="AX38" s="285">
        <f t="shared" si="24"/>
        <v>107100</v>
      </c>
      <c r="AY38" s="292">
        <v>65.5</v>
      </c>
      <c r="AZ38" s="285">
        <f t="shared" si="25"/>
        <v>351735</v>
      </c>
      <c r="BA38" s="292">
        <v>23</v>
      </c>
      <c r="BB38" s="285">
        <f t="shared" si="26"/>
        <v>123510</v>
      </c>
      <c r="BC38" s="292">
        <v>4</v>
      </c>
      <c r="BD38" s="285">
        <f t="shared" si="27"/>
        <v>25240</v>
      </c>
      <c r="BE38" s="292">
        <v>18.25</v>
      </c>
      <c r="BF38" s="285">
        <f t="shared" si="28"/>
        <v>122950.25</v>
      </c>
      <c r="BG38" s="292">
        <v>9.5</v>
      </c>
      <c r="BH38" s="285">
        <f t="shared" si="29"/>
        <v>64001.5</v>
      </c>
      <c r="BI38" s="292">
        <v>3</v>
      </c>
      <c r="BJ38" s="285">
        <f t="shared" si="30"/>
        <v>39639</v>
      </c>
      <c r="BK38" s="292">
        <v>10</v>
      </c>
      <c r="BL38" s="266">
        <f t="shared" si="31"/>
        <v>57570</v>
      </c>
      <c r="BM38" s="293"/>
      <c r="BN38" s="92">
        <f t="shared" si="32"/>
        <v>0</v>
      </c>
      <c r="BO38" s="93">
        <f t="shared" si="33"/>
        <v>1368150.75</v>
      </c>
      <c r="BP38" s="223">
        <f t="shared" si="34"/>
        <v>1983613.8</v>
      </c>
      <c r="BQ38" s="280">
        <f t="shared" si="35"/>
        <v>2049775.0000000002</v>
      </c>
      <c r="BR38" s="34">
        <f t="shared" si="36"/>
        <v>315.35000000000002</v>
      </c>
      <c r="CB38" s="277">
        <v>42955.500983796293</v>
      </c>
      <c r="CC38" s="276" t="s">
        <v>167</v>
      </c>
    </row>
    <row r="39" spans="1:81" ht="19.5" thickBot="1" x14ac:dyDescent="0.35">
      <c r="A39" s="707" t="s">
        <v>30</v>
      </c>
      <c r="B39" s="707" t="s">
        <v>31</v>
      </c>
      <c r="C39" s="132">
        <v>15</v>
      </c>
      <c r="D39" s="146">
        <v>4</v>
      </c>
      <c r="E39" s="92">
        <f t="shared" si="0"/>
        <v>0</v>
      </c>
      <c r="F39" s="105">
        <v>6</v>
      </c>
      <c r="G39" s="92">
        <f t="shared" si="1"/>
        <v>0</v>
      </c>
      <c r="H39" s="105">
        <v>2</v>
      </c>
      <c r="I39" s="92">
        <f t="shared" si="2"/>
        <v>0</v>
      </c>
      <c r="J39" s="98">
        <f t="shared" si="3"/>
        <v>0</v>
      </c>
      <c r="K39" s="334" t="str">
        <f>C39&amp;$B$39&amp;$A$39</f>
        <v>15CNV36KV</v>
      </c>
      <c r="L39" s="269">
        <v>1</v>
      </c>
      <c r="M39" s="285">
        <f t="shared" si="5"/>
        <v>7078</v>
      </c>
      <c r="N39" s="264">
        <v>0.25</v>
      </c>
      <c r="O39" s="285">
        <f t="shared" si="6"/>
        <v>1769.5</v>
      </c>
      <c r="P39" s="264">
        <v>0.25</v>
      </c>
      <c r="Q39" s="285">
        <f t="shared" si="7"/>
        <v>1337</v>
      </c>
      <c r="R39" s="241">
        <v>0</v>
      </c>
      <c r="S39" s="285">
        <f t="shared" si="8"/>
        <v>0</v>
      </c>
      <c r="T39" s="264">
        <v>0</v>
      </c>
      <c r="U39" s="266">
        <f t="shared" si="9"/>
        <v>0</v>
      </c>
      <c r="V39" s="264">
        <v>0</v>
      </c>
      <c r="W39" s="266">
        <f t="shared" si="10"/>
        <v>0</v>
      </c>
      <c r="X39" s="264">
        <v>0</v>
      </c>
      <c r="Y39" s="266">
        <f t="shared" si="11"/>
        <v>0</v>
      </c>
      <c r="Z39" s="264">
        <v>0</v>
      </c>
      <c r="AA39" s="266">
        <f t="shared" si="12"/>
        <v>0</v>
      </c>
      <c r="AB39" s="264">
        <v>0</v>
      </c>
      <c r="AC39" s="266">
        <f t="shared" si="13"/>
        <v>0</v>
      </c>
      <c r="AD39" s="295">
        <v>1.5</v>
      </c>
      <c r="AE39" s="266">
        <f t="shared" si="14"/>
        <v>10617</v>
      </c>
      <c r="AF39" s="295">
        <v>0.5</v>
      </c>
      <c r="AG39" s="266">
        <f t="shared" si="15"/>
        <v>2674</v>
      </c>
      <c r="AH39" s="242">
        <v>15</v>
      </c>
      <c r="AI39" s="266">
        <f t="shared" si="16"/>
        <v>108390</v>
      </c>
      <c r="AJ39" s="242"/>
      <c r="AK39" s="266">
        <f t="shared" si="17"/>
        <v>0</v>
      </c>
      <c r="AL39" s="264">
        <v>1</v>
      </c>
      <c r="AM39" s="266">
        <f t="shared" si="18"/>
        <v>5647</v>
      </c>
      <c r="AN39" s="264">
        <v>1.25</v>
      </c>
      <c r="AO39" s="266">
        <f t="shared" si="19"/>
        <v>8651.25</v>
      </c>
      <c r="AP39" s="264">
        <v>1.5</v>
      </c>
      <c r="AQ39" s="266">
        <f t="shared" si="20"/>
        <v>7058.75</v>
      </c>
      <c r="AR39" s="286"/>
      <c r="AS39" s="266">
        <f t="shared" si="21"/>
        <v>0</v>
      </c>
      <c r="AT39" s="287">
        <f t="shared" si="22"/>
        <v>153222.5</v>
      </c>
      <c r="AU39" s="296">
        <v>29.5</v>
      </c>
      <c r="AV39" s="285">
        <f t="shared" si="23"/>
        <v>186145</v>
      </c>
      <c r="AW39" s="242">
        <v>7.5350000000000001</v>
      </c>
      <c r="AX39" s="285">
        <f t="shared" si="24"/>
        <v>47470.5</v>
      </c>
      <c r="AY39" s="242">
        <v>1.56</v>
      </c>
      <c r="AZ39" s="285">
        <f t="shared" si="25"/>
        <v>8377.2000000000007</v>
      </c>
      <c r="BA39" s="264">
        <v>0</v>
      </c>
      <c r="BB39" s="285">
        <f t="shared" si="26"/>
        <v>0</v>
      </c>
      <c r="BC39" s="242">
        <v>1.95</v>
      </c>
      <c r="BD39" s="285">
        <f t="shared" si="27"/>
        <v>12304.5</v>
      </c>
      <c r="BE39" s="242">
        <v>11.25</v>
      </c>
      <c r="BF39" s="285">
        <f t="shared" si="28"/>
        <v>75791.25</v>
      </c>
      <c r="BG39" s="242">
        <v>3.9674999999999998</v>
      </c>
      <c r="BH39" s="285">
        <f t="shared" si="29"/>
        <v>26729.047499999997</v>
      </c>
      <c r="BI39" s="242">
        <v>3</v>
      </c>
      <c r="BJ39" s="285">
        <f t="shared" si="30"/>
        <v>39639</v>
      </c>
      <c r="BK39" s="264">
        <v>2</v>
      </c>
      <c r="BL39" s="266">
        <f t="shared" si="31"/>
        <v>11514</v>
      </c>
      <c r="BM39" s="286"/>
      <c r="BN39" s="92">
        <f t="shared" si="32"/>
        <v>0</v>
      </c>
      <c r="BO39" s="93">
        <f t="shared" si="33"/>
        <v>407970.4975</v>
      </c>
      <c r="BP39" s="223">
        <f t="shared" si="34"/>
        <v>561192.99750000006</v>
      </c>
      <c r="BQ39" s="280">
        <f t="shared" si="35"/>
        <v>539581.25</v>
      </c>
      <c r="BR39" s="34">
        <f t="shared" si="36"/>
        <v>83.012500000000003</v>
      </c>
      <c r="CB39" s="277">
        <v>42955.501504629632</v>
      </c>
      <c r="CC39" s="276" t="s">
        <v>167</v>
      </c>
    </row>
    <row r="40" spans="1:81" ht="19.5" thickBot="1" x14ac:dyDescent="0.35">
      <c r="A40" s="708"/>
      <c r="B40" s="708"/>
      <c r="C40" s="133">
        <v>30</v>
      </c>
      <c r="D40" s="147">
        <v>4</v>
      </c>
      <c r="E40" s="95">
        <f t="shared" si="0"/>
        <v>0</v>
      </c>
      <c r="F40" s="103">
        <v>6</v>
      </c>
      <c r="G40" s="95">
        <f t="shared" si="1"/>
        <v>0</v>
      </c>
      <c r="H40" s="103">
        <v>2</v>
      </c>
      <c r="I40" s="95">
        <f t="shared" si="2"/>
        <v>0</v>
      </c>
      <c r="J40" s="84">
        <f t="shared" si="3"/>
        <v>0</v>
      </c>
      <c r="K40" s="334" t="str">
        <f t="shared" ref="K40:K55" si="72">C40&amp;$B$39&amp;$A$39</f>
        <v>30CNV36KV</v>
      </c>
      <c r="L40" s="248">
        <v>1</v>
      </c>
      <c r="M40" s="285">
        <f t="shared" si="5"/>
        <v>7078</v>
      </c>
      <c r="N40" s="241">
        <v>0.25</v>
      </c>
      <c r="O40" s="285">
        <f t="shared" si="6"/>
        <v>1769.5</v>
      </c>
      <c r="P40" s="241">
        <v>0.25</v>
      </c>
      <c r="Q40" s="285">
        <f t="shared" si="7"/>
        <v>1337</v>
      </c>
      <c r="R40" s="241">
        <v>0</v>
      </c>
      <c r="S40" s="285">
        <f t="shared" si="8"/>
        <v>0</v>
      </c>
      <c r="T40" s="241">
        <v>0</v>
      </c>
      <c r="U40" s="266">
        <f t="shared" si="9"/>
        <v>0</v>
      </c>
      <c r="V40" s="241">
        <v>0</v>
      </c>
      <c r="W40" s="266">
        <f t="shared" si="10"/>
        <v>0</v>
      </c>
      <c r="X40" s="241">
        <v>0</v>
      </c>
      <c r="Y40" s="266">
        <f t="shared" si="11"/>
        <v>0</v>
      </c>
      <c r="Z40" s="241">
        <v>0</v>
      </c>
      <c r="AA40" s="266">
        <f t="shared" si="12"/>
        <v>0</v>
      </c>
      <c r="AB40" s="241">
        <v>0</v>
      </c>
      <c r="AC40" s="266">
        <f t="shared" si="13"/>
        <v>0</v>
      </c>
      <c r="AD40" s="297">
        <v>1.5</v>
      </c>
      <c r="AE40" s="266">
        <f t="shared" si="14"/>
        <v>10617</v>
      </c>
      <c r="AF40" s="297">
        <v>0.5</v>
      </c>
      <c r="AG40" s="266">
        <f t="shared" si="15"/>
        <v>2674</v>
      </c>
      <c r="AH40" s="236">
        <v>15</v>
      </c>
      <c r="AI40" s="266">
        <f t="shared" si="16"/>
        <v>108390</v>
      </c>
      <c r="AJ40" s="236"/>
      <c r="AK40" s="266">
        <f t="shared" si="17"/>
        <v>0</v>
      </c>
      <c r="AL40" s="241">
        <v>1</v>
      </c>
      <c r="AM40" s="266">
        <f t="shared" si="18"/>
        <v>5647</v>
      </c>
      <c r="AN40" s="241">
        <v>1.25</v>
      </c>
      <c r="AO40" s="266">
        <f t="shared" si="19"/>
        <v>8651.25</v>
      </c>
      <c r="AP40" s="241">
        <v>1.5</v>
      </c>
      <c r="AQ40" s="266">
        <f t="shared" si="20"/>
        <v>7058.75</v>
      </c>
      <c r="AR40" s="288"/>
      <c r="AS40" s="266">
        <f t="shared" si="21"/>
        <v>0</v>
      </c>
      <c r="AT40" s="287">
        <f t="shared" si="22"/>
        <v>153222.5</v>
      </c>
      <c r="AU40" s="244">
        <v>29.5</v>
      </c>
      <c r="AV40" s="285">
        <f t="shared" si="23"/>
        <v>186145</v>
      </c>
      <c r="AW40" s="236">
        <v>7.5350000000000001</v>
      </c>
      <c r="AX40" s="285">
        <f t="shared" si="24"/>
        <v>47470.5</v>
      </c>
      <c r="AY40" s="236">
        <v>1.56</v>
      </c>
      <c r="AZ40" s="285">
        <f t="shared" si="25"/>
        <v>8377.2000000000007</v>
      </c>
      <c r="BA40" s="241">
        <v>0</v>
      </c>
      <c r="BB40" s="285">
        <f t="shared" si="26"/>
        <v>0</v>
      </c>
      <c r="BC40" s="236">
        <v>1.95</v>
      </c>
      <c r="BD40" s="285">
        <f t="shared" si="27"/>
        <v>12304.5</v>
      </c>
      <c r="BE40" s="236">
        <v>11.75</v>
      </c>
      <c r="BF40" s="285">
        <f t="shared" si="28"/>
        <v>79159.75</v>
      </c>
      <c r="BG40" s="236">
        <v>3.9674999999999998</v>
      </c>
      <c r="BH40" s="285">
        <f t="shared" si="29"/>
        <v>26729.047499999997</v>
      </c>
      <c r="BI40" s="236">
        <v>3</v>
      </c>
      <c r="BJ40" s="285">
        <f t="shared" si="30"/>
        <v>39639</v>
      </c>
      <c r="BK40" s="241">
        <v>2</v>
      </c>
      <c r="BL40" s="266">
        <f t="shared" si="31"/>
        <v>11514</v>
      </c>
      <c r="BM40" s="288"/>
      <c r="BN40" s="92">
        <f t="shared" si="32"/>
        <v>0</v>
      </c>
      <c r="BO40" s="93">
        <f t="shared" si="33"/>
        <v>411338.9975</v>
      </c>
      <c r="BP40" s="223">
        <f t="shared" si="34"/>
        <v>564561.49750000006</v>
      </c>
      <c r="BQ40" s="280">
        <f t="shared" si="35"/>
        <v>542831.25</v>
      </c>
      <c r="BR40" s="34">
        <f t="shared" si="36"/>
        <v>83.512500000000003</v>
      </c>
      <c r="CB40" s="277">
        <v>42745.425104166665</v>
      </c>
      <c r="CC40" s="276" t="s">
        <v>115</v>
      </c>
    </row>
    <row r="41" spans="1:81" ht="19.5" thickBot="1" x14ac:dyDescent="0.35">
      <c r="A41" s="708"/>
      <c r="B41" s="708"/>
      <c r="C41" s="133">
        <v>45</v>
      </c>
      <c r="D41" s="147">
        <v>4</v>
      </c>
      <c r="E41" s="95">
        <f t="shared" si="0"/>
        <v>0</v>
      </c>
      <c r="F41" s="103">
        <v>6</v>
      </c>
      <c r="G41" s="95">
        <f t="shared" si="1"/>
        <v>0</v>
      </c>
      <c r="H41" s="103">
        <v>2</v>
      </c>
      <c r="I41" s="95">
        <f t="shared" si="2"/>
        <v>0</v>
      </c>
      <c r="J41" s="84">
        <f t="shared" si="3"/>
        <v>0</v>
      </c>
      <c r="K41" s="334" t="str">
        <f t="shared" si="72"/>
        <v>45CNV36KV</v>
      </c>
      <c r="L41" s="248">
        <v>1</v>
      </c>
      <c r="M41" s="285">
        <f t="shared" si="5"/>
        <v>7078</v>
      </c>
      <c r="N41" s="241">
        <v>0.25</v>
      </c>
      <c r="O41" s="285">
        <f t="shared" si="6"/>
        <v>1769.5</v>
      </c>
      <c r="P41" s="241">
        <v>0.25</v>
      </c>
      <c r="Q41" s="285">
        <f t="shared" si="7"/>
        <v>1337</v>
      </c>
      <c r="R41" s="241">
        <v>0</v>
      </c>
      <c r="S41" s="285">
        <f t="shared" si="8"/>
        <v>0</v>
      </c>
      <c r="T41" s="241">
        <v>0</v>
      </c>
      <c r="U41" s="266">
        <f t="shared" si="9"/>
        <v>0</v>
      </c>
      <c r="V41" s="241">
        <v>0</v>
      </c>
      <c r="W41" s="266">
        <f t="shared" si="10"/>
        <v>0</v>
      </c>
      <c r="X41" s="241">
        <v>0</v>
      </c>
      <c r="Y41" s="266">
        <f t="shared" si="11"/>
        <v>0</v>
      </c>
      <c r="Z41" s="241">
        <v>0</v>
      </c>
      <c r="AA41" s="266">
        <f t="shared" si="12"/>
        <v>0</v>
      </c>
      <c r="AB41" s="241">
        <v>0</v>
      </c>
      <c r="AC41" s="266">
        <f t="shared" si="13"/>
        <v>0</v>
      </c>
      <c r="AD41" s="297">
        <v>1.5</v>
      </c>
      <c r="AE41" s="266">
        <f t="shared" si="14"/>
        <v>10617</v>
      </c>
      <c r="AF41" s="297">
        <v>0.5</v>
      </c>
      <c r="AG41" s="266">
        <f t="shared" si="15"/>
        <v>2674</v>
      </c>
      <c r="AH41" s="236">
        <v>15</v>
      </c>
      <c r="AI41" s="266">
        <f t="shared" si="16"/>
        <v>108390</v>
      </c>
      <c r="AJ41" s="236"/>
      <c r="AK41" s="266">
        <f t="shared" si="17"/>
        <v>0</v>
      </c>
      <c r="AL41" s="241">
        <v>1</v>
      </c>
      <c r="AM41" s="266">
        <f t="shared" si="18"/>
        <v>5647</v>
      </c>
      <c r="AN41" s="241">
        <v>1.25</v>
      </c>
      <c r="AO41" s="266">
        <f t="shared" si="19"/>
        <v>8651.25</v>
      </c>
      <c r="AP41" s="241">
        <v>1.5</v>
      </c>
      <c r="AQ41" s="266">
        <f t="shared" si="20"/>
        <v>7058.75</v>
      </c>
      <c r="AR41" s="288"/>
      <c r="AS41" s="266">
        <f t="shared" si="21"/>
        <v>0</v>
      </c>
      <c r="AT41" s="287">
        <f t="shared" si="22"/>
        <v>153222.5</v>
      </c>
      <c r="AU41" s="244">
        <v>31.25</v>
      </c>
      <c r="AV41" s="285">
        <f t="shared" si="23"/>
        <v>197187.5</v>
      </c>
      <c r="AW41" s="236">
        <v>7.5350000000000001</v>
      </c>
      <c r="AX41" s="285">
        <f t="shared" si="24"/>
        <v>47470.5</v>
      </c>
      <c r="AY41" s="236">
        <v>1.56</v>
      </c>
      <c r="AZ41" s="285">
        <f t="shared" si="25"/>
        <v>8377.2000000000007</v>
      </c>
      <c r="BA41" s="241">
        <v>0</v>
      </c>
      <c r="BB41" s="285">
        <f t="shared" si="26"/>
        <v>0</v>
      </c>
      <c r="BC41" s="236">
        <v>1.95</v>
      </c>
      <c r="BD41" s="285">
        <f t="shared" si="27"/>
        <v>12304.5</v>
      </c>
      <c r="BE41" s="236">
        <v>11.75</v>
      </c>
      <c r="BF41" s="285">
        <f t="shared" si="28"/>
        <v>79159.75</v>
      </c>
      <c r="BG41" s="236">
        <v>3.9674999999999998</v>
      </c>
      <c r="BH41" s="285">
        <f t="shared" si="29"/>
        <v>26729.047499999997</v>
      </c>
      <c r="BI41" s="236">
        <v>3</v>
      </c>
      <c r="BJ41" s="285">
        <f t="shared" si="30"/>
        <v>39639</v>
      </c>
      <c r="BK41" s="241">
        <v>2</v>
      </c>
      <c r="BL41" s="266">
        <f t="shared" si="31"/>
        <v>11514</v>
      </c>
      <c r="BM41" s="288"/>
      <c r="BN41" s="92">
        <f t="shared" si="32"/>
        <v>0</v>
      </c>
      <c r="BO41" s="93">
        <f t="shared" si="33"/>
        <v>422381.4975</v>
      </c>
      <c r="BP41" s="223">
        <f t="shared" si="34"/>
        <v>575603.99750000006</v>
      </c>
      <c r="BQ41" s="280">
        <f t="shared" si="35"/>
        <v>554206.25</v>
      </c>
      <c r="BR41" s="34">
        <f t="shared" si="36"/>
        <v>85.262500000000003</v>
      </c>
    </row>
    <row r="42" spans="1:81" ht="19.5" thickBot="1" x14ac:dyDescent="0.35">
      <c r="A42" s="708"/>
      <c r="B42" s="708"/>
      <c r="C42" s="133">
        <v>75</v>
      </c>
      <c r="D42" s="147">
        <v>4</v>
      </c>
      <c r="E42" s="95">
        <f t="shared" si="0"/>
        <v>0</v>
      </c>
      <c r="F42" s="103">
        <v>6</v>
      </c>
      <c r="G42" s="95">
        <f t="shared" si="1"/>
        <v>0</v>
      </c>
      <c r="H42" s="103">
        <v>2</v>
      </c>
      <c r="I42" s="95">
        <f t="shared" si="2"/>
        <v>0</v>
      </c>
      <c r="J42" s="84">
        <f t="shared" si="3"/>
        <v>0</v>
      </c>
      <c r="K42" s="334" t="str">
        <f t="shared" si="72"/>
        <v>75CNV36KV</v>
      </c>
      <c r="L42" s="248">
        <v>1</v>
      </c>
      <c r="M42" s="285">
        <f t="shared" si="5"/>
        <v>7078</v>
      </c>
      <c r="N42" s="241">
        <v>0.25</v>
      </c>
      <c r="O42" s="285">
        <f t="shared" si="6"/>
        <v>1769.5</v>
      </c>
      <c r="P42" s="241">
        <v>0.25</v>
      </c>
      <c r="Q42" s="285">
        <f t="shared" si="7"/>
        <v>1337</v>
      </c>
      <c r="R42" s="241">
        <v>0</v>
      </c>
      <c r="S42" s="285">
        <f t="shared" si="8"/>
        <v>0</v>
      </c>
      <c r="T42" s="241">
        <v>0</v>
      </c>
      <c r="U42" s="266">
        <f t="shared" si="9"/>
        <v>0</v>
      </c>
      <c r="V42" s="241">
        <v>0</v>
      </c>
      <c r="W42" s="266">
        <f t="shared" si="10"/>
        <v>0</v>
      </c>
      <c r="X42" s="241">
        <v>0</v>
      </c>
      <c r="Y42" s="266">
        <f t="shared" si="11"/>
        <v>0</v>
      </c>
      <c r="Z42" s="241">
        <v>0</v>
      </c>
      <c r="AA42" s="266">
        <f t="shared" si="12"/>
        <v>0</v>
      </c>
      <c r="AB42" s="241">
        <v>0</v>
      </c>
      <c r="AC42" s="266">
        <f t="shared" si="13"/>
        <v>0</v>
      </c>
      <c r="AD42" s="297">
        <v>1.5</v>
      </c>
      <c r="AE42" s="266">
        <f t="shared" si="14"/>
        <v>10617</v>
      </c>
      <c r="AF42" s="297">
        <v>0.5</v>
      </c>
      <c r="AG42" s="266">
        <f t="shared" si="15"/>
        <v>2674</v>
      </c>
      <c r="AH42" s="236">
        <v>18.75</v>
      </c>
      <c r="AI42" s="266">
        <f t="shared" si="16"/>
        <v>135487.5</v>
      </c>
      <c r="AJ42" s="236"/>
      <c r="AK42" s="266">
        <f t="shared" si="17"/>
        <v>0</v>
      </c>
      <c r="AL42" s="241">
        <v>1</v>
      </c>
      <c r="AM42" s="266">
        <f t="shared" si="18"/>
        <v>5647</v>
      </c>
      <c r="AN42" s="241">
        <v>1.25</v>
      </c>
      <c r="AO42" s="266">
        <f t="shared" si="19"/>
        <v>8651.25</v>
      </c>
      <c r="AP42" s="241">
        <v>1.5</v>
      </c>
      <c r="AQ42" s="266">
        <f t="shared" si="20"/>
        <v>7058.75</v>
      </c>
      <c r="AR42" s="288"/>
      <c r="AS42" s="266">
        <f t="shared" si="21"/>
        <v>0</v>
      </c>
      <c r="AT42" s="287">
        <f t="shared" si="22"/>
        <v>180320</v>
      </c>
      <c r="AU42" s="244">
        <v>32.5</v>
      </c>
      <c r="AV42" s="285">
        <f t="shared" si="23"/>
        <v>205075</v>
      </c>
      <c r="AW42" s="236">
        <v>7.6560000000000006</v>
      </c>
      <c r="AX42" s="285">
        <f t="shared" si="24"/>
        <v>48232.800000000003</v>
      </c>
      <c r="AY42" s="236">
        <v>1.885</v>
      </c>
      <c r="AZ42" s="285">
        <f t="shared" si="25"/>
        <v>10122.450000000001</v>
      </c>
      <c r="BA42" s="241">
        <v>0</v>
      </c>
      <c r="BB42" s="285">
        <f t="shared" si="26"/>
        <v>0</v>
      </c>
      <c r="BC42" s="236">
        <v>1.95</v>
      </c>
      <c r="BD42" s="285">
        <f t="shared" si="27"/>
        <v>12304.5</v>
      </c>
      <c r="BE42" s="236">
        <v>12.25</v>
      </c>
      <c r="BF42" s="285">
        <f t="shared" si="28"/>
        <v>82528.25</v>
      </c>
      <c r="BG42" s="236">
        <v>4.1974999999999998</v>
      </c>
      <c r="BH42" s="285">
        <f t="shared" si="29"/>
        <v>28278.557499999999</v>
      </c>
      <c r="BI42" s="236">
        <v>3</v>
      </c>
      <c r="BJ42" s="285">
        <f t="shared" si="30"/>
        <v>39639</v>
      </c>
      <c r="BK42" s="241">
        <v>2</v>
      </c>
      <c r="BL42" s="266">
        <f t="shared" si="31"/>
        <v>11514</v>
      </c>
      <c r="BM42" s="288"/>
      <c r="BN42" s="92">
        <f t="shared" si="32"/>
        <v>0</v>
      </c>
      <c r="BO42" s="93">
        <f t="shared" si="33"/>
        <v>437694.5575</v>
      </c>
      <c r="BP42" s="223">
        <f t="shared" si="34"/>
        <v>618014.5575</v>
      </c>
      <c r="BQ42" s="280">
        <f t="shared" si="35"/>
        <v>594350.25000000012</v>
      </c>
      <c r="BR42" s="34">
        <f t="shared" si="36"/>
        <v>91.438500000000019</v>
      </c>
    </row>
    <row r="43" spans="1:81" ht="19.5" thickBot="1" x14ac:dyDescent="0.35">
      <c r="A43" s="708"/>
      <c r="B43" s="708"/>
      <c r="C43" s="133">
        <v>112.5</v>
      </c>
      <c r="D43" s="147">
        <v>4</v>
      </c>
      <c r="E43" s="95">
        <f t="shared" si="0"/>
        <v>0</v>
      </c>
      <c r="F43" s="103">
        <v>6</v>
      </c>
      <c r="G43" s="95">
        <f t="shared" si="1"/>
        <v>0</v>
      </c>
      <c r="H43" s="103">
        <v>2</v>
      </c>
      <c r="I43" s="95">
        <f t="shared" si="2"/>
        <v>0</v>
      </c>
      <c r="J43" s="84">
        <f t="shared" si="3"/>
        <v>0</v>
      </c>
      <c r="K43" s="334" t="str">
        <f t="shared" si="72"/>
        <v>112.5CNV36KV</v>
      </c>
      <c r="L43" s="248">
        <v>1</v>
      </c>
      <c r="M43" s="285">
        <f t="shared" si="5"/>
        <v>7078</v>
      </c>
      <c r="N43" s="241">
        <v>0.25</v>
      </c>
      <c r="O43" s="285">
        <f t="shared" si="6"/>
        <v>1769.5</v>
      </c>
      <c r="P43" s="241">
        <v>0.25</v>
      </c>
      <c r="Q43" s="285">
        <f t="shared" si="7"/>
        <v>1337</v>
      </c>
      <c r="R43" s="241">
        <v>0</v>
      </c>
      <c r="S43" s="285">
        <f t="shared" si="8"/>
        <v>0</v>
      </c>
      <c r="T43" s="241">
        <v>0</v>
      </c>
      <c r="U43" s="266">
        <f t="shared" si="9"/>
        <v>0</v>
      </c>
      <c r="V43" s="241">
        <v>0</v>
      </c>
      <c r="W43" s="266">
        <f t="shared" si="10"/>
        <v>0</v>
      </c>
      <c r="X43" s="241">
        <v>0</v>
      </c>
      <c r="Y43" s="266">
        <f t="shared" si="11"/>
        <v>0</v>
      </c>
      <c r="Z43" s="241">
        <v>0</v>
      </c>
      <c r="AA43" s="266">
        <f t="shared" si="12"/>
        <v>0</v>
      </c>
      <c r="AB43" s="241">
        <v>0</v>
      </c>
      <c r="AC43" s="266">
        <f t="shared" si="13"/>
        <v>0</v>
      </c>
      <c r="AD43" s="297">
        <v>1.5</v>
      </c>
      <c r="AE43" s="266">
        <f t="shared" si="14"/>
        <v>10617</v>
      </c>
      <c r="AF43" s="297">
        <v>0.5</v>
      </c>
      <c r="AG43" s="266">
        <f t="shared" si="15"/>
        <v>2674</v>
      </c>
      <c r="AH43" s="236">
        <v>15</v>
      </c>
      <c r="AI43" s="266">
        <f t="shared" si="16"/>
        <v>108390</v>
      </c>
      <c r="AJ43" s="236"/>
      <c r="AK43" s="266">
        <f t="shared" si="17"/>
        <v>0</v>
      </c>
      <c r="AL43" s="241">
        <v>1.25</v>
      </c>
      <c r="AM43" s="266">
        <f t="shared" si="18"/>
        <v>7058.75</v>
      </c>
      <c r="AN43" s="241">
        <v>1.25</v>
      </c>
      <c r="AO43" s="266">
        <f t="shared" si="19"/>
        <v>8651.25</v>
      </c>
      <c r="AP43" s="241">
        <v>1.5</v>
      </c>
      <c r="AQ43" s="266">
        <f t="shared" si="20"/>
        <v>7058.75</v>
      </c>
      <c r="AR43" s="288"/>
      <c r="AS43" s="266">
        <f t="shared" si="21"/>
        <v>0</v>
      </c>
      <c r="AT43" s="287">
        <f t="shared" si="22"/>
        <v>154634.25</v>
      </c>
      <c r="AU43" s="244">
        <v>35</v>
      </c>
      <c r="AV43" s="285">
        <f t="shared" si="23"/>
        <v>220850</v>
      </c>
      <c r="AW43" s="236">
        <v>8.5250000000000004</v>
      </c>
      <c r="AX43" s="285">
        <f t="shared" si="24"/>
        <v>53707.5</v>
      </c>
      <c r="AY43" s="236">
        <v>2.0410000000000004</v>
      </c>
      <c r="AZ43" s="285">
        <f t="shared" si="25"/>
        <v>10960.170000000002</v>
      </c>
      <c r="BA43" s="241">
        <v>0</v>
      </c>
      <c r="BB43" s="285">
        <f t="shared" si="26"/>
        <v>0</v>
      </c>
      <c r="BC43" s="236">
        <v>1.95</v>
      </c>
      <c r="BD43" s="285">
        <f t="shared" si="27"/>
        <v>12304.5</v>
      </c>
      <c r="BE43" s="236">
        <v>13.3</v>
      </c>
      <c r="BF43" s="285">
        <f t="shared" si="28"/>
        <v>89602.1</v>
      </c>
      <c r="BG43" s="236">
        <v>4.2664999999999997</v>
      </c>
      <c r="BH43" s="285">
        <f t="shared" si="29"/>
        <v>28743.410499999998</v>
      </c>
      <c r="BI43" s="236">
        <v>3</v>
      </c>
      <c r="BJ43" s="285">
        <f t="shared" si="30"/>
        <v>39639</v>
      </c>
      <c r="BK43" s="241">
        <v>2.25</v>
      </c>
      <c r="BL43" s="266">
        <f t="shared" si="31"/>
        <v>12953.25</v>
      </c>
      <c r="BM43" s="288"/>
      <c r="BN43" s="92">
        <f t="shared" si="32"/>
        <v>0</v>
      </c>
      <c r="BO43" s="93">
        <f t="shared" si="33"/>
        <v>468759.93050000002</v>
      </c>
      <c r="BP43" s="223">
        <f t="shared" si="34"/>
        <v>623394.18050000002</v>
      </c>
      <c r="BQ43" s="280">
        <f t="shared" si="35"/>
        <v>603411.25</v>
      </c>
      <c r="BR43" s="34">
        <f t="shared" si="36"/>
        <v>92.832499999999996</v>
      </c>
    </row>
    <row r="44" spans="1:81" ht="19.5" thickBot="1" x14ac:dyDescent="0.35">
      <c r="A44" s="708"/>
      <c r="B44" s="708"/>
      <c r="C44" s="133">
        <v>150</v>
      </c>
      <c r="D44" s="147">
        <v>6</v>
      </c>
      <c r="E44" s="95">
        <f t="shared" si="0"/>
        <v>0</v>
      </c>
      <c r="F44" s="103">
        <v>6</v>
      </c>
      <c r="G44" s="95">
        <f t="shared" si="1"/>
        <v>0</v>
      </c>
      <c r="H44" s="103">
        <v>2</v>
      </c>
      <c r="I44" s="95">
        <f t="shared" si="2"/>
        <v>0</v>
      </c>
      <c r="J44" s="84">
        <f t="shared" si="3"/>
        <v>0</v>
      </c>
      <c r="K44" s="334" t="str">
        <f t="shared" si="72"/>
        <v>150CNV36KV</v>
      </c>
      <c r="L44" s="248">
        <v>1</v>
      </c>
      <c r="M44" s="285">
        <f t="shared" si="5"/>
        <v>7078</v>
      </c>
      <c r="N44" s="241">
        <v>0.25</v>
      </c>
      <c r="O44" s="285">
        <f t="shared" si="6"/>
        <v>1769.5</v>
      </c>
      <c r="P44" s="241">
        <v>0.25</v>
      </c>
      <c r="Q44" s="285">
        <f t="shared" si="7"/>
        <v>1337</v>
      </c>
      <c r="R44" s="241">
        <v>0</v>
      </c>
      <c r="S44" s="285">
        <f t="shared" si="8"/>
        <v>0</v>
      </c>
      <c r="T44" s="241">
        <v>0</v>
      </c>
      <c r="U44" s="266">
        <f t="shared" si="9"/>
        <v>0</v>
      </c>
      <c r="V44" s="241">
        <v>0</v>
      </c>
      <c r="W44" s="266">
        <f t="shared" si="10"/>
        <v>0</v>
      </c>
      <c r="X44" s="241">
        <v>0</v>
      </c>
      <c r="Y44" s="266">
        <f t="shared" si="11"/>
        <v>0</v>
      </c>
      <c r="Z44" s="241">
        <v>0</v>
      </c>
      <c r="AA44" s="266">
        <f t="shared" si="12"/>
        <v>0</v>
      </c>
      <c r="AB44" s="241">
        <v>0</v>
      </c>
      <c r="AC44" s="266">
        <f t="shared" si="13"/>
        <v>0</v>
      </c>
      <c r="AD44" s="297">
        <v>2</v>
      </c>
      <c r="AE44" s="266">
        <f t="shared" si="14"/>
        <v>14156</v>
      </c>
      <c r="AF44" s="297">
        <v>0.5</v>
      </c>
      <c r="AG44" s="266">
        <f t="shared" si="15"/>
        <v>2674</v>
      </c>
      <c r="AH44" s="236">
        <v>17.5</v>
      </c>
      <c r="AI44" s="266">
        <f t="shared" si="16"/>
        <v>126455</v>
      </c>
      <c r="AJ44" s="236"/>
      <c r="AK44" s="266">
        <f t="shared" si="17"/>
        <v>0</v>
      </c>
      <c r="AL44" s="241">
        <v>1.25</v>
      </c>
      <c r="AM44" s="266">
        <f t="shared" si="18"/>
        <v>7058.75</v>
      </c>
      <c r="AN44" s="241">
        <v>1.25</v>
      </c>
      <c r="AO44" s="266">
        <f t="shared" si="19"/>
        <v>8651.25</v>
      </c>
      <c r="AP44" s="241">
        <v>1.5</v>
      </c>
      <c r="AQ44" s="266">
        <f t="shared" si="20"/>
        <v>7058.75</v>
      </c>
      <c r="AR44" s="288"/>
      <c r="AS44" s="266">
        <f t="shared" si="21"/>
        <v>0</v>
      </c>
      <c r="AT44" s="287">
        <f t="shared" si="22"/>
        <v>176238.25</v>
      </c>
      <c r="AU44" s="244">
        <v>36.5</v>
      </c>
      <c r="AV44" s="285">
        <f t="shared" si="23"/>
        <v>230315</v>
      </c>
      <c r="AW44" s="236">
        <v>8.7780000000000005</v>
      </c>
      <c r="AX44" s="285">
        <f t="shared" si="24"/>
        <v>55301.4</v>
      </c>
      <c r="AY44" s="236">
        <v>2.3010000000000002</v>
      </c>
      <c r="AZ44" s="285">
        <f t="shared" si="25"/>
        <v>12356.37</v>
      </c>
      <c r="BA44" s="241">
        <v>0</v>
      </c>
      <c r="BB44" s="285">
        <f t="shared" si="26"/>
        <v>0</v>
      </c>
      <c r="BC44" s="236">
        <v>1.95</v>
      </c>
      <c r="BD44" s="285">
        <f t="shared" si="27"/>
        <v>12304.5</v>
      </c>
      <c r="BE44" s="236">
        <v>14.5</v>
      </c>
      <c r="BF44" s="285">
        <f t="shared" si="28"/>
        <v>97686.5</v>
      </c>
      <c r="BG44" s="236">
        <v>4.5655000000000001</v>
      </c>
      <c r="BH44" s="285">
        <f t="shared" si="29"/>
        <v>30757.773499999999</v>
      </c>
      <c r="BI44" s="236">
        <v>3</v>
      </c>
      <c r="BJ44" s="285">
        <f t="shared" si="30"/>
        <v>39639</v>
      </c>
      <c r="BK44" s="241">
        <v>2.75</v>
      </c>
      <c r="BL44" s="266">
        <f t="shared" si="31"/>
        <v>15831.75</v>
      </c>
      <c r="BM44" s="288"/>
      <c r="BN44" s="92">
        <f t="shared" si="32"/>
        <v>0</v>
      </c>
      <c r="BO44" s="93">
        <f t="shared" si="33"/>
        <v>494192.29350000003</v>
      </c>
      <c r="BP44" s="223">
        <f t="shared" si="34"/>
        <v>670430.54350000003</v>
      </c>
      <c r="BQ44" s="280">
        <f t="shared" si="35"/>
        <v>648989.25000000012</v>
      </c>
      <c r="BR44" s="34">
        <f t="shared" si="36"/>
        <v>99.844500000000011</v>
      </c>
    </row>
    <row r="45" spans="1:81" ht="19.5" thickBot="1" x14ac:dyDescent="0.35">
      <c r="A45" s="708"/>
      <c r="B45" s="708"/>
      <c r="C45" s="133">
        <v>225</v>
      </c>
      <c r="D45" s="147">
        <v>6</v>
      </c>
      <c r="E45" s="95">
        <f t="shared" si="0"/>
        <v>0</v>
      </c>
      <c r="F45" s="103">
        <v>8</v>
      </c>
      <c r="G45" s="95">
        <f t="shared" si="1"/>
        <v>0</v>
      </c>
      <c r="H45" s="103">
        <v>2</v>
      </c>
      <c r="I45" s="95">
        <f t="shared" si="2"/>
        <v>0</v>
      </c>
      <c r="J45" s="84">
        <f t="shared" si="3"/>
        <v>0</v>
      </c>
      <c r="K45" s="334" t="str">
        <f t="shared" si="72"/>
        <v>225CNV36KV</v>
      </c>
      <c r="L45" s="248">
        <v>1</v>
      </c>
      <c r="M45" s="285">
        <f t="shared" si="5"/>
        <v>7078</v>
      </c>
      <c r="N45" s="241">
        <v>0.25</v>
      </c>
      <c r="O45" s="285">
        <f t="shared" si="6"/>
        <v>1769.5</v>
      </c>
      <c r="P45" s="241">
        <v>0.25</v>
      </c>
      <c r="Q45" s="285">
        <f t="shared" si="7"/>
        <v>1337</v>
      </c>
      <c r="R45" s="241">
        <v>0</v>
      </c>
      <c r="S45" s="285">
        <f t="shared" si="8"/>
        <v>0</v>
      </c>
      <c r="T45" s="241">
        <v>0</v>
      </c>
      <c r="U45" s="266">
        <f t="shared" si="9"/>
        <v>0</v>
      </c>
      <c r="V45" s="241">
        <v>0</v>
      </c>
      <c r="W45" s="266">
        <f t="shared" si="10"/>
        <v>0</v>
      </c>
      <c r="X45" s="241">
        <v>0</v>
      </c>
      <c r="Y45" s="266">
        <f t="shared" si="11"/>
        <v>0</v>
      </c>
      <c r="Z45" s="241">
        <v>0</v>
      </c>
      <c r="AA45" s="266">
        <f t="shared" si="12"/>
        <v>0</v>
      </c>
      <c r="AB45" s="241">
        <v>0</v>
      </c>
      <c r="AC45" s="266">
        <f t="shared" si="13"/>
        <v>0</v>
      </c>
      <c r="AD45" s="297">
        <v>2</v>
      </c>
      <c r="AE45" s="266">
        <f t="shared" si="14"/>
        <v>14156</v>
      </c>
      <c r="AF45" s="297">
        <v>0.5</v>
      </c>
      <c r="AG45" s="266">
        <f t="shared" si="15"/>
        <v>2674</v>
      </c>
      <c r="AH45" s="236">
        <v>20</v>
      </c>
      <c r="AI45" s="266">
        <f t="shared" si="16"/>
        <v>144520</v>
      </c>
      <c r="AJ45" s="236"/>
      <c r="AK45" s="266">
        <f t="shared" si="17"/>
        <v>0</v>
      </c>
      <c r="AL45" s="241">
        <v>1.25</v>
      </c>
      <c r="AM45" s="266">
        <f t="shared" si="18"/>
        <v>7058.75</v>
      </c>
      <c r="AN45" s="241">
        <v>1.25</v>
      </c>
      <c r="AO45" s="266">
        <f t="shared" si="19"/>
        <v>8651.25</v>
      </c>
      <c r="AP45" s="241">
        <v>2</v>
      </c>
      <c r="AQ45" s="266">
        <f t="shared" si="20"/>
        <v>7058.75</v>
      </c>
      <c r="AR45" s="288"/>
      <c r="AS45" s="266">
        <f t="shared" si="21"/>
        <v>0</v>
      </c>
      <c r="AT45" s="287">
        <f t="shared" si="22"/>
        <v>194303.25</v>
      </c>
      <c r="AU45" s="244">
        <v>38.75</v>
      </c>
      <c r="AV45" s="285">
        <f t="shared" si="23"/>
        <v>244512.5</v>
      </c>
      <c r="AW45" s="236">
        <v>8.8550000000000022</v>
      </c>
      <c r="AX45" s="285">
        <f t="shared" si="24"/>
        <v>55786.500000000015</v>
      </c>
      <c r="AY45" s="236">
        <v>2.5739999999999998</v>
      </c>
      <c r="AZ45" s="285">
        <f t="shared" si="25"/>
        <v>13822.38</v>
      </c>
      <c r="BA45" s="241">
        <v>0</v>
      </c>
      <c r="BB45" s="285">
        <f t="shared" si="26"/>
        <v>0</v>
      </c>
      <c r="BC45" s="236">
        <v>1.95</v>
      </c>
      <c r="BD45" s="285">
        <f t="shared" si="27"/>
        <v>12304.5</v>
      </c>
      <c r="BE45" s="236">
        <v>14.75</v>
      </c>
      <c r="BF45" s="285">
        <f t="shared" si="28"/>
        <v>99370.75</v>
      </c>
      <c r="BG45" s="236">
        <v>4.7609999999999992</v>
      </c>
      <c r="BH45" s="285">
        <f t="shared" si="29"/>
        <v>32074.856999999996</v>
      </c>
      <c r="BI45" s="236">
        <v>3</v>
      </c>
      <c r="BJ45" s="285">
        <f t="shared" si="30"/>
        <v>39639</v>
      </c>
      <c r="BK45" s="241">
        <v>3</v>
      </c>
      <c r="BL45" s="266">
        <f t="shared" si="31"/>
        <v>17271</v>
      </c>
      <c r="BM45" s="288"/>
      <c r="BN45" s="92">
        <f t="shared" si="32"/>
        <v>0</v>
      </c>
      <c r="BO45" s="93">
        <f t="shared" si="33"/>
        <v>514781.48700000002</v>
      </c>
      <c r="BP45" s="223">
        <f t="shared" si="34"/>
        <v>709084.73699999996</v>
      </c>
      <c r="BQ45" s="280">
        <f t="shared" si="35"/>
        <v>689910</v>
      </c>
      <c r="BR45" s="34">
        <f t="shared" si="36"/>
        <v>106.14</v>
      </c>
    </row>
    <row r="46" spans="1:81" ht="19.5" thickBot="1" x14ac:dyDescent="0.35">
      <c r="A46" s="708"/>
      <c r="B46" s="708"/>
      <c r="C46" s="133">
        <v>300</v>
      </c>
      <c r="D46" s="147">
        <v>6</v>
      </c>
      <c r="E46" s="95">
        <f t="shared" si="0"/>
        <v>0</v>
      </c>
      <c r="F46" s="103">
        <v>8</v>
      </c>
      <c r="G46" s="95">
        <f t="shared" si="1"/>
        <v>0</v>
      </c>
      <c r="H46" s="103">
        <v>2</v>
      </c>
      <c r="I46" s="95">
        <f t="shared" si="2"/>
        <v>0</v>
      </c>
      <c r="J46" s="84">
        <f t="shared" si="3"/>
        <v>0</v>
      </c>
      <c r="K46" s="334" t="str">
        <f t="shared" si="72"/>
        <v>300CNV36KV</v>
      </c>
      <c r="L46" s="248">
        <v>1</v>
      </c>
      <c r="M46" s="285">
        <f t="shared" si="5"/>
        <v>7078</v>
      </c>
      <c r="N46" s="241">
        <v>0.25</v>
      </c>
      <c r="O46" s="285">
        <f t="shared" si="6"/>
        <v>1769.5</v>
      </c>
      <c r="P46" s="241">
        <v>0.25</v>
      </c>
      <c r="Q46" s="285">
        <f t="shared" si="7"/>
        <v>1337</v>
      </c>
      <c r="R46" s="241">
        <v>0</v>
      </c>
      <c r="S46" s="285">
        <f t="shared" si="8"/>
        <v>0</v>
      </c>
      <c r="T46" s="241">
        <v>0</v>
      </c>
      <c r="U46" s="266">
        <f t="shared" si="9"/>
        <v>0</v>
      </c>
      <c r="V46" s="241">
        <v>0</v>
      </c>
      <c r="W46" s="266">
        <f t="shared" si="10"/>
        <v>0</v>
      </c>
      <c r="X46" s="241">
        <v>0</v>
      </c>
      <c r="Y46" s="266">
        <f t="shared" si="11"/>
        <v>0</v>
      </c>
      <c r="Z46" s="241">
        <v>0</v>
      </c>
      <c r="AA46" s="266">
        <f t="shared" si="12"/>
        <v>0</v>
      </c>
      <c r="AB46" s="241">
        <v>0</v>
      </c>
      <c r="AC46" s="266">
        <f t="shared" si="13"/>
        <v>0</v>
      </c>
      <c r="AD46" s="297">
        <v>2</v>
      </c>
      <c r="AE46" s="266">
        <f t="shared" si="14"/>
        <v>14156</v>
      </c>
      <c r="AF46" s="297">
        <v>0.75</v>
      </c>
      <c r="AG46" s="266">
        <f t="shared" si="15"/>
        <v>4011</v>
      </c>
      <c r="AH46" s="236">
        <v>20</v>
      </c>
      <c r="AI46" s="266">
        <f t="shared" si="16"/>
        <v>144520</v>
      </c>
      <c r="AJ46" s="236"/>
      <c r="AK46" s="266">
        <f t="shared" si="17"/>
        <v>0</v>
      </c>
      <c r="AL46" s="241">
        <v>1.5</v>
      </c>
      <c r="AM46" s="266">
        <f t="shared" si="18"/>
        <v>8470.5</v>
      </c>
      <c r="AN46" s="241">
        <v>1.5</v>
      </c>
      <c r="AO46" s="266">
        <f t="shared" si="19"/>
        <v>10381.5</v>
      </c>
      <c r="AP46" s="241">
        <v>2</v>
      </c>
      <c r="AQ46" s="266">
        <f t="shared" si="20"/>
        <v>8470.5</v>
      </c>
      <c r="AR46" s="288"/>
      <c r="AS46" s="266">
        <f t="shared" si="21"/>
        <v>0</v>
      </c>
      <c r="AT46" s="287">
        <f t="shared" si="22"/>
        <v>200194</v>
      </c>
      <c r="AU46" s="244">
        <v>42.75</v>
      </c>
      <c r="AV46" s="285">
        <f t="shared" si="23"/>
        <v>269752.5</v>
      </c>
      <c r="AW46" s="236">
        <v>11.275</v>
      </c>
      <c r="AX46" s="285">
        <f t="shared" si="24"/>
        <v>71032.5</v>
      </c>
      <c r="AY46" s="236">
        <v>3.1850000000000005</v>
      </c>
      <c r="AZ46" s="285">
        <f t="shared" si="25"/>
        <v>17103.450000000004</v>
      </c>
      <c r="BA46" s="236">
        <v>0</v>
      </c>
      <c r="BB46" s="285">
        <f t="shared" si="26"/>
        <v>0</v>
      </c>
      <c r="BC46" s="236">
        <v>1.95</v>
      </c>
      <c r="BD46" s="285">
        <f t="shared" si="27"/>
        <v>12304.5</v>
      </c>
      <c r="BE46" s="236">
        <v>15.15</v>
      </c>
      <c r="BF46" s="285">
        <f t="shared" si="28"/>
        <v>102065.55</v>
      </c>
      <c r="BG46" s="236">
        <v>5.1404999999999994</v>
      </c>
      <c r="BH46" s="285">
        <f t="shared" si="29"/>
        <v>34631.548499999997</v>
      </c>
      <c r="BI46" s="236">
        <v>3</v>
      </c>
      <c r="BJ46" s="285">
        <f t="shared" si="30"/>
        <v>39639</v>
      </c>
      <c r="BK46" s="241">
        <v>3</v>
      </c>
      <c r="BL46" s="266">
        <f t="shared" si="31"/>
        <v>17271</v>
      </c>
      <c r="BM46" s="288"/>
      <c r="BN46" s="92">
        <f t="shared" si="32"/>
        <v>0</v>
      </c>
      <c r="BO46" s="93">
        <f t="shared" si="33"/>
        <v>563800.04850000003</v>
      </c>
      <c r="BP46" s="223">
        <f t="shared" si="34"/>
        <v>763994.04850000003</v>
      </c>
      <c r="BQ46" s="280">
        <f t="shared" si="35"/>
        <v>745553.25000000012</v>
      </c>
      <c r="BR46" s="34">
        <f t="shared" si="36"/>
        <v>114.70050000000002</v>
      </c>
    </row>
    <row r="47" spans="1:81" ht="19.5" thickBot="1" x14ac:dyDescent="0.35">
      <c r="A47" s="708"/>
      <c r="B47" s="708"/>
      <c r="C47" s="133">
        <v>400</v>
      </c>
      <c r="D47" s="147">
        <v>6</v>
      </c>
      <c r="E47" s="95">
        <f t="shared" si="0"/>
        <v>0</v>
      </c>
      <c r="F47" s="103">
        <v>8</v>
      </c>
      <c r="G47" s="95">
        <f t="shared" si="1"/>
        <v>0</v>
      </c>
      <c r="H47" s="104">
        <v>2</v>
      </c>
      <c r="I47" s="95">
        <f t="shared" si="2"/>
        <v>0</v>
      </c>
      <c r="J47" s="84">
        <f t="shared" si="3"/>
        <v>0</v>
      </c>
      <c r="K47" s="334" t="str">
        <f t="shared" si="72"/>
        <v>400CNV36KV</v>
      </c>
      <c r="L47" s="248">
        <v>1</v>
      </c>
      <c r="M47" s="285">
        <f t="shared" si="5"/>
        <v>7078</v>
      </c>
      <c r="N47" s="241">
        <v>0.25</v>
      </c>
      <c r="O47" s="285">
        <f t="shared" si="6"/>
        <v>1769.5</v>
      </c>
      <c r="P47" s="241">
        <v>0.5</v>
      </c>
      <c r="Q47" s="285">
        <f t="shared" si="7"/>
        <v>2674</v>
      </c>
      <c r="R47" s="241">
        <v>0</v>
      </c>
      <c r="S47" s="285">
        <f t="shared" si="8"/>
        <v>0</v>
      </c>
      <c r="T47" s="241">
        <v>0</v>
      </c>
      <c r="U47" s="266">
        <f t="shared" si="9"/>
        <v>0</v>
      </c>
      <c r="V47" s="241">
        <v>0</v>
      </c>
      <c r="W47" s="266">
        <f t="shared" si="10"/>
        <v>0</v>
      </c>
      <c r="X47" s="241">
        <v>0</v>
      </c>
      <c r="Y47" s="266">
        <f t="shared" si="11"/>
        <v>0</v>
      </c>
      <c r="Z47" s="241">
        <v>0</v>
      </c>
      <c r="AA47" s="266">
        <f t="shared" si="12"/>
        <v>0</v>
      </c>
      <c r="AB47" s="241">
        <v>0</v>
      </c>
      <c r="AC47" s="266">
        <f t="shared" si="13"/>
        <v>0</v>
      </c>
      <c r="AD47" s="297">
        <v>2</v>
      </c>
      <c r="AE47" s="266">
        <f t="shared" si="14"/>
        <v>14156</v>
      </c>
      <c r="AF47" s="297">
        <v>0.75</v>
      </c>
      <c r="AG47" s="266">
        <f t="shared" si="15"/>
        <v>4011</v>
      </c>
      <c r="AH47" s="236">
        <v>22.5</v>
      </c>
      <c r="AI47" s="266">
        <f t="shared" si="16"/>
        <v>162585</v>
      </c>
      <c r="AJ47" s="236"/>
      <c r="AK47" s="266">
        <f t="shared" si="17"/>
        <v>0</v>
      </c>
      <c r="AL47" s="236">
        <v>1.5</v>
      </c>
      <c r="AM47" s="266">
        <f t="shared" si="18"/>
        <v>8470.5</v>
      </c>
      <c r="AN47" s="236">
        <v>1.5</v>
      </c>
      <c r="AO47" s="266">
        <f t="shared" si="19"/>
        <v>10381.5</v>
      </c>
      <c r="AP47" s="236">
        <v>2.25</v>
      </c>
      <c r="AQ47" s="266">
        <f t="shared" si="20"/>
        <v>8470.5</v>
      </c>
      <c r="AR47" s="288"/>
      <c r="AS47" s="266">
        <f t="shared" si="21"/>
        <v>0</v>
      </c>
      <c r="AT47" s="287">
        <f t="shared" si="22"/>
        <v>219596</v>
      </c>
      <c r="AU47" s="244">
        <v>47.5</v>
      </c>
      <c r="AV47" s="285">
        <f t="shared" si="23"/>
        <v>299725</v>
      </c>
      <c r="AW47" s="236">
        <v>11.825000000000001</v>
      </c>
      <c r="AX47" s="285">
        <f t="shared" si="24"/>
        <v>74497.5</v>
      </c>
      <c r="AY47" s="236">
        <v>3.2240000000000002</v>
      </c>
      <c r="AZ47" s="285">
        <f t="shared" si="25"/>
        <v>17312.88</v>
      </c>
      <c r="BA47" s="236">
        <v>0</v>
      </c>
      <c r="BB47" s="285">
        <f t="shared" si="26"/>
        <v>0</v>
      </c>
      <c r="BC47" s="236">
        <v>1.95</v>
      </c>
      <c r="BD47" s="285">
        <f t="shared" si="27"/>
        <v>12304.5</v>
      </c>
      <c r="BE47" s="236">
        <v>15.75</v>
      </c>
      <c r="BF47" s="285">
        <f t="shared" si="28"/>
        <v>106107.75</v>
      </c>
      <c r="BG47" s="236">
        <v>5.4624999999999995</v>
      </c>
      <c r="BH47" s="285">
        <f t="shared" si="29"/>
        <v>36800.862499999996</v>
      </c>
      <c r="BI47" s="236">
        <v>3</v>
      </c>
      <c r="BJ47" s="285">
        <f t="shared" si="30"/>
        <v>39639</v>
      </c>
      <c r="BK47" s="236">
        <v>3.5</v>
      </c>
      <c r="BL47" s="266">
        <f t="shared" si="31"/>
        <v>20149.5</v>
      </c>
      <c r="BM47" s="288"/>
      <c r="BN47" s="92">
        <f t="shared" si="32"/>
        <v>0</v>
      </c>
      <c r="BO47" s="93">
        <f t="shared" si="33"/>
        <v>606536.99250000005</v>
      </c>
      <c r="BP47" s="223">
        <f t="shared" si="34"/>
        <v>826132.99250000005</v>
      </c>
      <c r="BQ47" s="280">
        <f t="shared" si="35"/>
        <v>808999.75000000012</v>
      </c>
      <c r="BR47" s="34">
        <f t="shared" si="36"/>
        <v>124.46150000000002</v>
      </c>
    </row>
    <row r="48" spans="1:81" ht="19.5" thickBot="1" x14ac:dyDescent="0.35">
      <c r="A48" s="708"/>
      <c r="B48" s="708"/>
      <c r="C48" s="133">
        <v>500</v>
      </c>
      <c r="D48" s="147">
        <v>6</v>
      </c>
      <c r="E48" s="95">
        <f t="shared" si="0"/>
        <v>0</v>
      </c>
      <c r="F48" s="103">
        <v>8</v>
      </c>
      <c r="G48" s="95">
        <f t="shared" si="1"/>
        <v>0</v>
      </c>
      <c r="H48" s="104">
        <v>2</v>
      </c>
      <c r="I48" s="95">
        <f t="shared" si="2"/>
        <v>0</v>
      </c>
      <c r="J48" s="84">
        <f t="shared" si="3"/>
        <v>0</v>
      </c>
      <c r="K48" s="334" t="str">
        <f t="shared" si="72"/>
        <v>500CNV36KV</v>
      </c>
      <c r="L48" s="248">
        <v>1</v>
      </c>
      <c r="M48" s="285">
        <f t="shared" si="5"/>
        <v>7078</v>
      </c>
      <c r="N48" s="241">
        <v>0.25</v>
      </c>
      <c r="O48" s="285">
        <f t="shared" si="6"/>
        <v>1769.5</v>
      </c>
      <c r="P48" s="241">
        <v>0.5</v>
      </c>
      <c r="Q48" s="285">
        <f t="shared" si="7"/>
        <v>2674</v>
      </c>
      <c r="R48" s="241">
        <v>0</v>
      </c>
      <c r="S48" s="285">
        <f t="shared" si="8"/>
        <v>0</v>
      </c>
      <c r="T48" s="241">
        <v>0</v>
      </c>
      <c r="U48" s="266">
        <f t="shared" si="9"/>
        <v>0</v>
      </c>
      <c r="V48" s="241">
        <v>0</v>
      </c>
      <c r="W48" s="266">
        <f t="shared" si="10"/>
        <v>0</v>
      </c>
      <c r="X48" s="241">
        <v>0</v>
      </c>
      <c r="Y48" s="266">
        <f t="shared" si="11"/>
        <v>0</v>
      </c>
      <c r="Z48" s="241">
        <v>0</v>
      </c>
      <c r="AA48" s="266">
        <f t="shared" si="12"/>
        <v>0</v>
      </c>
      <c r="AB48" s="241">
        <v>0</v>
      </c>
      <c r="AC48" s="266">
        <f t="shared" si="13"/>
        <v>0</v>
      </c>
      <c r="AD48" s="297">
        <v>3</v>
      </c>
      <c r="AE48" s="266">
        <f t="shared" si="14"/>
        <v>21234</v>
      </c>
      <c r="AF48" s="297">
        <v>0.75</v>
      </c>
      <c r="AG48" s="266">
        <f t="shared" si="15"/>
        <v>4011</v>
      </c>
      <c r="AH48" s="236">
        <v>28.75</v>
      </c>
      <c r="AI48" s="266">
        <f t="shared" si="16"/>
        <v>207747.5</v>
      </c>
      <c r="AJ48" s="236"/>
      <c r="AK48" s="266">
        <f t="shared" si="17"/>
        <v>0</v>
      </c>
      <c r="AL48" s="236">
        <v>1.5</v>
      </c>
      <c r="AM48" s="266">
        <f t="shared" si="18"/>
        <v>8470.5</v>
      </c>
      <c r="AN48" s="236">
        <v>1.5</v>
      </c>
      <c r="AO48" s="266">
        <f t="shared" si="19"/>
        <v>10381.5</v>
      </c>
      <c r="AP48" s="236">
        <v>2.25</v>
      </c>
      <c r="AQ48" s="266">
        <f t="shared" si="20"/>
        <v>8470.5</v>
      </c>
      <c r="AR48" s="288"/>
      <c r="AS48" s="266">
        <f t="shared" si="21"/>
        <v>0</v>
      </c>
      <c r="AT48" s="287">
        <f t="shared" si="22"/>
        <v>271836.5</v>
      </c>
      <c r="AU48" s="244">
        <v>52.25</v>
      </c>
      <c r="AV48" s="285">
        <f t="shared" si="23"/>
        <v>329697.5</v>
      </c>
      <c r="AW48" s="236">
        <v>12.903000000000002</v>
      </c>
      <c r="AX48" s="285">
        <f t="shared" si="24"/>
        <v>81288.900000000009</v>
      </c>
      <c r="AY48" s="236">
        <v>3.5360000000000005</v>
      </c>
      <c r="AZ48" s="285">
        <f t="shared" si="25"/>
        <v>18988.320000000003</v>
      </c>
      <c r="BA48" s="236">
        <v>0</v>
      </c>
      <c r="BB48" s="285">
        <f t="shared" si="26"/>
        <v>0</v>
      </c>
      <c r="BC48" s="236">
        <v>1.95</v>
      </c>
      <c r="BD48" s="285">
        <f t="shared" si="27"/>
        <v>12304.5</v>
      </c>
      <c r="BE48" s="236">
        <v>16.5</v>
      </c>
      <c r="BF48" s="285">
        <f t="shared" si="28"/>
        <v>111160.5</v>
      </c>
      <c r="BG48" s="236">
        <v>5.8074999999999992</v>
      </c>
      <c r="BH48" s="285">
        <f t="shared" si="29"/>
        <v>39125.127499999995</v>
      </c>
      <c r="BI48" s="236">
        <v>3</v>
      </c>
      <c r="BJ48" s="285">
        <f t="shared" si="30"/>
        <v>39639</v>
      </c>
      <c r="BK48" s="236">
        <v>3.5</v>
      </c>
      <c r="BL48" s="266">
        <f t="shared" si="31"/>
        <v>20149.5</v>
      </c>
      <c r="BM48" s="288"/>
      <c r="BN48" s="92">
        <f t="shared" si="32"/>
        <v>0</v>
      </c>
      <c r="BO48" s="93">
        <f t="shared" si="33"/>
        <v>652353.34749999992</v>
      </c>
      <c r="BP48" s="223">
        <f t="shared" si="34"/>
        <v>924189.84749999992</v>
      </c>
      <c r="BQ48" s="280">
        <f t="shared" si="35"/>
        <v>903152.25000000012</v>
      </c>
      <c r="BR48" s="34">
        <f t="shared" si="36"/>
        <v>138.94650000000001</v>
      </c>
    </row>
    <row r="49" spans="1:81" ht="19.5" thickBot="1" x14ac:dyDescent="0.35">
      <c r="A49" s="708"/>
      <c r="B49" s="708"/>
      <c r="C49" s="133">
        <v>630</v>
      </c>
      <c r="D49" s="147">
        <v>8</v>
      </c>
      <c r="E49" s="95">
        <f t="shared" si="0"/>
        <v>0</v>
      </c>
      <c r="F49" s="103">
        <v>8</v>
      </c>
      <c r="G49" s="95">
        <f t="shared" si="1"/>
        <v>0</v>
      </c>
      <c r="H49" s="104">
        <v>2</v>
      </c>
      <c r="I49" s="95">
        <f t="shared" si="2"/>
        <v>0</v>
      </c>
      <c r="J49" s="84">
        <f t="shared" si="3"/>
        <v>0</v>
      </c>
      <c r="K49" s="334" t="str">
        <f t="shared" si="72"/>
        <v>630CNV36KV</v>
      </c>
      <c r="L49" s="248">
        <v>1</v>
      </c>
      <c r="M49" s="285">
        <f t="shared" si="5"/>
        <v>7078</v>
      </c>
      <c r="N49" s="241">
        <v>0.25</v>
      </c>
      <c r="O49" s="285">
        <f t="shared" si="6"/>
        <v>1769.5</v>
      </c>
      <c r="P49" s="241">
        <v>0.5</v>
      </c>
      <c r="Q49" s="285">
        <f t="shared" si="7"/>
        <v>2674</v>
      </c>
      <c r="R49" s="241">
        <v>1.5</v>
      </c>
      <c r="S49" s="285">
        <f t="shared" si="8"/>
        <v>10839</v>
      </c>
      <c r="T49" s="241">
        <v>0</v>
      </c>
      <c r="U49" s="266">
        <f t="shared" si="9"/>
        <v>0</v>
      </c>
      <c r="V49" s="241">
        <v>0</v>
      </c>
      <c r="W49" s="266">
        <f t="shared" si="10"/>
        <v>0</v>
      </c>
      <c r="X49" s="241">
        <v>0</v>
      </c>
      <c r="Y49" s="266">
        <f t="shared" si="11"/>
        <v>0</v>
      </c>
      <c r="Z49" s="241">
        <v>0</v>
      </c>
      <c r="AA49" s="266">
        <f t="shared" si="12"/>
        <v>0</v>
      </c>
      <c r="AB49" s="241">
        <v>0</v>
      </c>
      <c r="AC49" s="266">
        <f t="shared" si="13"/>
        <v>0</v>
      </c>
      <c r="AD49" s="297">
        <v>3</v>
      </c>
      <c r="AE49" s="266">
        <f t="shared" si="14"/>
        <v>21234</v>
      </c>
      <c r="AF49" s="297">
        <v>0.75</v>
      </c>
      <c r="AG49" s="266">
        <f t="shared" si="15"/>
        <v>4011</v>
      </c>
      <c r="AH49" s="236">
        <v>22.5</v>
      </c>
      <c r="AI49" s="266">
        <f t="shared" si="16"/>
        <v>162585</v>
      </c>
      <c r="AJ49" s="236"/>
      <c r="AK49" s="266">
        <f t="shared" si="17"/>
        <v>0</v>
      </c>
      <c r="AL49" s="236">
        <v>1.75</v>
      </c>
      <c r="AM49" s="266">
        <f t="shared" si="18"/>
        <v>9882.25</v>
      </c>
      <c r="AN49" s="236">
        <v>2</v>
      </c>
      <c r="AO49" s="266">
        <f t="shared" si="19"/>
        <v>13842</v>
      </c>
      <c r="AP49" s="236">
        <v>2.5</v>
      </c>
      <c r="AQ49" s="266">
        <f t="shared" si="20"/>
        <v>11294</v>
      </c>
      <c r="AR49" s="288"/>
      <c r="AS49" s="266">
        <f t="shared" si="21"/>
        <v>0</v>
      </c>
      <c r="AT49" s="287">
        <f t="shared" si="22"/>
        <v>245208.75</v>
      </c>
      <c r="AU49" s="244">
        <v>59.8</v>
      </c>
      <c r="AV49" s="285">
        <f t="shared" si="23"/>
        <v>377338</v>
      </c>
      <c r="AW49" s="236">
        <v>14.795</v>
      </c>
      <c r="AX49" s="285">
        <f t="shared" si="24"/>
        <v>93208.5</v>
      </c>
      <c r="AY49" s="236">
        <v>3.8090000000000002</v>
      </c>
      <c r="AZ49" s="285">
        <f t="shared" si="25"/>
        <v>20454.330000000002</v>
      </c>
      <c r="BA49" s="236">
        <v>0</v>
      </c>
      <c r="BB49" s="285">
        <f t="shared" si="26"/>
        <v>0</v>
      </c>
      <c r="BC49" s="236">
        <v>1.95</v>
      </c>
      <c r="BD49" s="285">
        <f t="shared" si="27"/>
        <v>12304.5</v>
      </c>
      <c r="BE49" s="236">
        <v>17.25</v>
      </c>
      <c r="BF49" s="285">
        <f t="shared" si="28"/>
        <v>116213.25</v>
      </c>
      <c r="BG49" s="236">
        <v>6.8769999999999998</v>
      </c>
      <c r="BH49" s="285">
        <f t="shared" si="29"/>
        <v>46330.349000000002</v>
      </c>
      <c r="BI49" s="236">
        <v>3</v>
      </c>
      <c r="BJ49" s="285">
        <f t="shared" si="30"/>
        <v>39639</v>
      </c>
      <c r="BK49" s="236">
        <v>3.75</v>
      </c>
      <c r="BL49" s="266">
        <f t="shared" si="31"/>
        <v>21588.75</v>
      </c>
      <c r="BM49" s="288"/>
      <c r="BN49" s="92">
        <f t="shared" si="32"/>
        <v>0</v>
      </c>
      <c r="BO49" s="93">
        <f t="shared" si="33"/>
        <v>727076.67900000012</v>
      </c>
      <c r="BP49" s="223">
        <f t="shared" si="34"/>
        <v>972285.42900000012</v>
      </c>
      <c r="BQ49" s="280">
        <f t="shared" si="35"/>
        <v>955376.5</v>
      </c>
      <c r="BR49" s="34">
        <f t="shared" si="36"/>
        <v>146.98099999999999</v>
      </c>
    </row>
    <row r="50" spans="1:81" ht="19.5" thickBot="1" x14ac:dyDescent="0.35">
      <c r="A50" s="708"/>
      <c r="B50" s="708"/>
      <c r="C50" s="133">
        <v>800</v>
      </c>
      <c r="D50" s="147">
        <v>8</v>
      </c>
      <c r="E50" s="95">
        <f t="shared" si="0"/>
        <v>0</v>
      </c>
      <c r="F50" s="103">
        <v>8</v>
      </c>
      <c r="G50" s="95">
        <f t="shared" si="1"/>
        <v>0</v>
      </c>
      <c r="H50" s="104">
        <v>2</v>
      </c>
      <c r="I50" s="95">
        <f t="shared" si="2"/>
        <v>0</v>
      </c>
      <c r="J50" s="84">
        <f t="shared" si="3"/>
        <v>0</v>
      </c>
      <c r="K50" s="334" t="str">
        <f t="shared" si="72"/>
        <v>800CNV36KV</v>
      </c>
      <c r="L50" s="248">
        <v>1</v>
      </c>
      <c r="M50" s="285">
        <f t="shared" si="5"/>
        <v>7078</v>
      </c>
      <c r="N50" s="241">
        <v>0.25</v>
      </c>
      <c r="O50" s="285">
        <f t="shared" si="6"/>
        <v>1769.5</v>
      </c>
      <c r="P50" s="241">
        <v>0.5</v>
      </c>
      <c r="Q50" s="285">
        <f t="shared" si="7"/>
        <v>2674</v>
      </c>
      <c r="R50" s="241">
        <v>1.5</v>
      </c>
      <c r="S50" s="285">
        <f t="shared" si="8"/>
        <v>10839</v>
      </c>
      <c r="T50" s="241">
        <v>0</v>
      </c>
      <c r="U50" s="266">
        <f t="shared" si="9"/>
        <v>0</v>
      </c>
      <c r="V50" s="241">
        <v>0</v>
      </c>
      <c r="W50" s="266">
        <f t="shared" si="10"/>
        <v>0</v>
      </c>
      <c r="X50" s="241">
        <v>0</v>
      </c>
      <c r="Y50" s="266">
        <f t="shared" si="11"/>
        <v>0</v>
      </c>
      <c r="Z50" s="241">
        <v>0</v>
      </c>
      <c r="AA50" s="266">
        <f t="shared" si="12"/>
        <v>0</v>
      </c>
      <c r="AB50" s="241">
        <v>0</v>
      </c>
      <c r="AC50" s="266">
        <f t="shared" si="13"/>
        <v>0</v>
      </c>
      <c r="AD50" s="297">
        <v>4</v>
      </c>
      <c r="AE50" s="266">
        <f t="shared" si="14"/>
        <v>28312</v>
      </c>
      <c r="AF50" s="297">
        <v>1.25</v>
      </c>
      <c r="AG50" s="266">
        <f t="shared" si="15"/>
        <v>6685</v>
      </c>
      <c r="AH50" s="236">
        <v>30</v>
      </c>
      <c r="AI50" s="266">
        <f t="shared" si="16"/>
        <v>216780</v>
      </c>
      <c r="AJ50" s="236"/>
      <c r="AK50" s="266">
        <f t="shared" si="17"/>
        <v>0</v>
      </c>
      <c r="AL50" s="236">
        <v>1.75</v>
      </c>
      <c r="AM50" s="266">
        <f t="shared" si="18"/>
        <v>9882.25</v>
      </c>
      <c r="AN50" s="236">
        <v>2</v>
      </c>
      <c r="AO50" s="266">
        <f t="shared" si="19"/>
        <v>13842</v>
      </c>
      <c r="AP50" s="236">
        <v>2.5</v>
      </c>
      <c r="AQ50" s="266">
        <f t="shared" si="20"/>
        <v>11294</v>
      </c>
      <c r="AR50" s="288"/>
      <c r="AS50" s="266">
        <f t="shared" si="21"/>
        <v>0</v>
      </c>
      <c r="AT50" s="287">
        <f t="shared" si="22"/>
        <v>309155.75</v>
      </c>
      <c r="AU50" s="244">
        <v>66.25</v>
      </c>
      <c r="AV50" s="285">
        <f t="shared" si="23"/>
        <v>418037.5</v>
      </c>
      <c r="AW50" s="236">
        <v>15.785</v>
      </c>
      <c r="AX50" s="285">
        <f t="shared" si="24"/>
        <v>99445.5</v>
      </c>
      <c r="AY50" s="236">
        <v>4.1340000000000003</v>
      </c>
      <c r="AZ50" s="285">
        <f t="shared" si="25"/>
        <v>22199.58</v>
      </c>
      <c r="BA50" s="236">
        <v>0</v>
      </c>
      <c r="BB50" s="285">
        <f t="shared" si="26"/>
        <v>0</v>
      </c>
      <c r="BC50" s="236">
        <v>1.95</v>
      </c>
      <c r="BD50" s="285">
        <f t="shared" si="27"/>
        <v>12304.5</v>
      </c>
      <c r="BE50" s="236">
        <v>17.5</v>
      </c>
      <c r="BF50" s="285">
        <f t="shared" si="28"/>
        <v>117897.5</v>
      </c>
      <c r="BG50" s="236">
        <v>7.1874999999999991</v>
      </c>
      <c r="BH50" s="285">
        <f t="shared" si="29"/>
        <v>48422.187499999993</v>
      </c>
      <c r="BI50" s="236">
        <v>3</v>
      </c>
      <c r="BJ50" s="285">
        <f t="shared" si="30"/>
        <v>39639</v>
      </c>
      <c r="BK50" s="236">
        <v>4</v>
      </c>
      <c r="BL50" s="266">
        <f t="shared" si="31"/>
        <v>23028</v>
      </c>
      <c r="BM50" s="288"/>
      <c r="BN50" s="92">
        <f t="shared" si="32"/>
        <v>0</v>
      </c>
      <c r="BO50" s="93">
        <f t="shared" si="33"/>
        <v>780973.76749999996</v>
      </c>
      <c r="BP50" s="223">
        <f t="shared" si="34"/>
        <v>1090129.5175000001</v>
      </c>
      <c r="BQ50" s="280">
        <f t="shared" si="35"/>
        <v>1069617.2499999998</v>
      </c>
      <c r="BR50" s="34">
        <f t="shared" si="36"/>
        <v>164.55649999999997</v>
      </c>
    </row>
    <row r="51" spans="1:81" ht="19.5" thickBot="1" x14ac:dyDescent="0.35">
      <c r="A51" s="708"/>
      <c r="B51" s="708"/>
      <c r="C51" s="143">
        <v>1000</v>
      </c>
      <c r="D51" s="147">
        <v>12</v>
      </c>
      <c r="E51" s="95">
        <f t="shared" si="0"/>
        <v>0</v>
      </c>
      <c r="F51" s="103">
        <v>8</v>
      </c>
      <c r="G51" s="95">
        <f t="shared" si="1"/>
        <v>0</v>
      </c>
      <c r="H51" s="104">
        <v>2</v>
      </c>
      <c r="I51" s="95">
        <f t="shared" si="2"/>
        <v>0</v>
      </c>
      <c r="J51" s="84">
        <f t="shared" si="3"/>
        <v>0</v>
      </c>
      <c r="K51" s="334" t="str">
        <f t="shared" si="72"/>
        <v>1000CNV36KV</v>
      </c>
      <c r="L51" s="248">
        <v>1</v>
      </c>
      <c r="M51" s="285">
        <f t="shared" si="5"/>
        <v>7078</v>
      </c>
      <c r="N51" s="241">
        <v>0.35</v>
      </c>
      <c r="O51" s="285">
        <f t="shared" si="6"/>
        <v>2477.2999999999997</v>
      </c>
      <c r="P51" s="241">
        <v>0.5</v>
      </c>
      <c r="Q51" s="285">
        <f t="shared" si="7"/>
        <v>2674</v>
      </c>
      <c r="R51" s="241">
        <v>1.5</v>
      </c>
      <c r="S51" s="285">
        <f t="shared" si="8"/>
        <v>10839</v>
      </c>
      <c r="T51" s="241">
        <v>0</v>
      </c>
      <c r="U51" s="266">
        <f t="shared" si="9"/>
        <v>0</v>
      </c>
      <c r="V51" s="241">
        <v>0</v>
      </c>
      <c r="W51" s="266">
        <f t="shared" si="10"/>
        <v>0</v>
      </c>
      <c r="X51" s="241">
        <v>0</v>
      </c>
      <c r="Y51" s="266">
        <f t="shared" si="11"/>
        <v>0</v>
      </c>
      <c r="Z51" s="241">
        <v>0</v>
      </c>
      <c r="AA51" s="266">
        <f t="shared" si="12"/>
        <v>0</v>
      </c>
      <c r="AB51" s="241">
        <v>0</v>
      </c>
      <c r="AC51" s="266">
        <f t="shared" si="13"/>
        <v>0</v>
      </c>
      <c r="AD51" s="297">
        <v>5</v>
      </c>
      <c r="AE51" s="266">
        <f t="shared" si="14"/>
        <v>35390</v>
      </c>
      <c r="AF51" s="297">
        <v>2.5</v>
      </c>
      <c r="AG51" s="266">
        <f t="shared" si="15"/>
        <v>13370</v>
      </c>
      <c r="AH51" s="236">
        <v>45</v>
      </c>
      <c r="AI51" s="266">
        <f t="shared" si="16"/>
        <v>325170</v>
      </c>
      <c r="AJ51" s="236"/>
      <c r="AK51" s="266">
        <f t="shared" si="17"/>
        <v>0</v>
      </c>
      <c r="AL51" s="236">
        <v>2</v>
      </c>
      <c r="AM51" s="266">
        <f t="shared" si="18"/>
        <v>11294</v>
      </c>
      <c r="AN51" s="236">
        <v>2.25</v>
      </c>
      <c r="AO51" s="266">
        <f t="shared" si="19"/>
        <v>15572.25</v>
      </c>
      <c r="AP51" s="236">
        <v>3</v>
      </c>
      <c r="AQ51" s="266">
        <f t="shared" si="20"/>
        <v>12705.75</v>
      </c>
      <c r="AR51" s="288"/>
      <c r="AS51" s="266">
        <f t="shared" si="21"/>
        <v>0</v>
      </c>
      <c r="AT51" s="287">
        <f t="shared" si="22"/>
        <v>436570.3</v>
      </c>
      <c r="AU51" s="244">
        <v>84.75</v>
      </c>
      <c r="AV51" s="285">
        <f t="shared" si="23"/>
        <v>534772.5</v>
      </c>
      <c r="AW51" s="236">
        <v>17.435000000000002</v>
      </c>
      <c r="AX51" s="285">
        <f t="shared" si="24"/>
        <v>109840.50000000001</v>
      </c>
      <c r="AY51" s="236">
        <v>4.6150000000000002</v>
      </c>
      <c r="AZ51" s="285">
        <f t="shared" si="25"/>
        <v>24782.550000000003</v>
      </c>
      <c r="BA51" s="236">
        <v>0</v>
      </c>
      <c r="BB51" s="285">
        <f t="shared" si="26"/>
        <v>0</v>
      </c>
      <c r="BC51" s="236">
        <v>2.95</v>
      </c>
      <c r="BD51" s="285">
        <f t="shared" si="27"/>
        <v>18614.5</v>
      </c>
      <c r="BE51" s="236">
        <v>18.25</v>
      </c>
      <c r="BF51" s="285">
        <f t="shared" si="28"/>
        <v>122950.25</v>
      </c>
      <c r="BG51" s="236">
        <v>7.6244999999999994</v>
      </c>
      <c r="BH51" s="285">
        <f t="shared" si="29"/>
        <v>51366.256499999996</v>
      </c>
      <c r="BI51" s="236">
        <v>3</v>
      </c>
      <c r="BJ51" s="285">
        <f t="shared" si="30"/>
        <v>39639</v>
      </c>
      <c r="BK51" s="236">
        <v>10</v>
      </c>
      <c r="BL51" s="266">
        <f t="shared" si="31"/>
        <v>57570</v>
      </c>
      <c r="BM51" s="288"/>
      <c r="BN51" s="92">
        <f t="shared" si="32"/>
        <v>0</v>
      </c>
      <c r="BO51" s="93">
        <f t="shared" si="33"/>
        <v>959535.55650000006</v>
      </c>
      <c r="BP51" s="223">
        <f t="shared" si="34"/>
        <v>1396105.8565</v>
      </c>
      <c r="BQ51" s="280">
        <f t="shared" si="35"/>
        <v>1376209.25</v>
      </c>
      <c r="BR51" s="34">
        <f t="shared" si="36"/>
        <v>211.72450000000001</v>
      </c>
    </row>
    <row r="52" spans="1:81" ht="19.5" thickBot="1" x14ac:dyDescent="0.35">
      <c r="A52" s="708"/>
      <c r="B52" s="708"/>
      <c r="C52" s="144">
        <v>1250</v>
      </c>
      <c r="D52" s="147">
        <v>12</v>
      </c>
      <c r="E52" s="95">
        <f t="shared" si="0"/>
        <v>0</v>
      </c>
      <c r="F52" s="103">
        <v>12</v>
      </c>
      <c r="G52" s="95">
        <f t="shared" si="1"/>
        <v>0</v>
      </c>
      <c r="H52" s="104">
        <v>2</v>
      </c>
      <c r="I52" s="95">
        <f t="shared" si="2"/>
        <v>0</v>
      </c>
      <c r="J52" s="84">
        <f t="shared" si="3"/>
        <v>0</v>
      </c>
      <c r="K52" s="334" t="str">
        <f t="shared" si="72"/>
        <v>1250CNV36KV</v>
      </c>
      <c r="L52" s="248">
        <v>1</v>
      </c>
      <c r="M52" s="285">
        <f t="shared" si="5"/>
        <v>7078</v>
      </c>
      <c r="N52" s="241">
        <v>0.35</v>
      </c>
      <c r="O52" s="285">
        <f t="shared" si="6"/>
        <v>2477.2999999999997</v>
      </c>
      <c r="P52" s="241">
        <v>0.5</v>
      </c>
      <c r="Q52" s="285">
        <f t="shared" si="7"/>
        <v>2674</v>
      </c>
      <c r="R52" s="241">
        <v>1.5</v>
      </c>
      <c r="S52" s="285">
        <f t="shared" si="8"/>
        <v>10839</v>
      </c>
      <c r="T52" s="241">
        <v>0</v>
      </c>
      <c r="U52" s="266">
        <f t="shared" si="9"/>
        <v>0</v>
      </c>
      <c r="V52" s="241">
        <v>0</v>
      </c>
      <c r="W52" s="266">
        <f t="shared" si="10"/>
        <v>0</v>
      </c>
      <c r="X52" s="241">
        <v>0</v>
      </c>
      <c r="Y52" s="266">
        <f t="shared" si="11"/>
        <v>0</v>
      </c>
      <c r="Z52" s="241">
        <v>0</v>
      </c>
      <c r="AA52" s="266">
        <f t="shared" si="12"/>
        <v>0</v>
      </c>
      <c r="AB52" s="241">
        <v>0</v>
      </c>
      <c r="AC52" s="266">
        <f t="shared" si="13"/>
        <v>0</v>
      </c>
      <c r="AD52" s="297">
        <v>7</v>
      </c>
      <c r="AE52" s="266">
        <f t="shared" si="14"/>
        <v>49546</v>
      </c>
      <c r="AF52" s="297">
        <v>5</v>
      </c>
      <c r="AG52" s="266">
        <f t="shared" si="15"/>
        <v>26740</v>
      </c>
      <c r="AH52" s="236">
        <v>56.25</v>
      </c>
      <c r="AI52" s="266">
        <f t="shared" si="16"/>
        <v>406462.5</v>
      </c>
      <c r="AJ52" s="236"/>
      <c r="AK52" s="266">
        <f t="shared" si="17"/>
        <v>0</v>
      </c>
      <c r="AL52" s="236">
        <v>2</v>
      </c>
      <c r="AM52" s="266">
        <f t="shared" si="18"/>
        <v>11294</v>
      </c>
      <c r="AN52" s="236">
        <v>2.25</v>
      </c>
      <c r="AO52" s="266">
        <f t="shared" si="19"/>
        <v>15572.25</v>
      </c>
      <c r="AP52" s="236">
        <v>3</v>
      </c>
      <c r="AQ52" s="266">
        <f t="shared" si="20"/>
        <v>12705.75</v>
      </c>
      <c r="AR52" s="288"/>
      <c r="AS52" s="266">
        <f t="shared" si="21"/>
        <v>0</v>
      </c>
      <c r="AT52" s="287">
        <f t="shared" si="22"/>
        <v>545388.80000000005</v>
      </c>
      <c r="AU52" s="244">
        <v>89.5</v>
      </c>
      <c r="AV52" s="285">
        <f t="shared" si="23"/>
        <v>564745</v>
      </c>
      <c r="AW52" s="236">
        <v>17.435000000000002</v>
      </c>
      <c r="AX52" s="285">
        <f t="shared" si="24"/>
        <v>109840.50000000001</v>
      </c>
      <c r="AY52" s="236">
        <v>4.6150000000000002</v>
      </c>
      <c r="AZ52" s="285">
        <f t="shared" si="25"/>
        <v>24782.550000000003</v>
      </c>
      <c r="BA52" s="236">
        <v>0</v>
      </c>
      <c r="BB52" s="285">
        <f t="shared" si="26"/>
        <v>0</v>
      </c>
      <c r="BC52" s="236">
        <v>2.95</v>
      </c>
      <c r="BD52" s="285">
        <f t="shared" si="27"/>
        <v>18614.5</v>
      </c>
      <c r="BE52" s="236">
        <v>18.75</v>
      </c>
      <c r="BF52" s="285">
        <f t="shared" si="28"/>
        <v>126318.75</v>
      </c>
      <c r="BG52" s="236">
        <v>10.924999999999999</v>
      </c>
      <c r="BH52" s="285">
        <f t="shared" si="29"/>
        <v>73601.724999999991</v>
      </c>
      <c r="BI52" s="236">
        <v>3</v>
      </c>
      <c r="BJ52" s="285">
        <f t="shared" si="30"/>
        <v>39639</v>
      </c>
      <c r="BK52" s="236">
        <v>10</v>
      </c>
      <c r="BL52" s="266">
        <f t="shared" si="31"/>
        <v>57570</v>
      </c>
      <c r="BM52" s="288"/>
      <c r="BN52" s="92">
        <f t="shared" si="32"/>
        <v>0</v>
      </c>
      <c r="BO52" s="93">
        <f t="shared" si="33"/>
        <v>1015112.025</v>
      </c>
      <c r="BP52" s="223">
        <f t="shared" si="34"/>
        <v>1560500.8250000002</v>
      </c>
      <c r="BQ52" s="280">
        <f t="shared" si="35"/>
        <v>1534162.5</v>
      </c>
      <c r="BR52" s="34">
        <f t="shared" si="36"/>
        <v>236.02500000000001</v>
      </c>
    </row>
    <row r="53" spans="1:81" ht="19.5" thickBot="1" x14ac:dyDescent="0.35">
      <c r="A53" s="708"/>
      <c r="B53" s="708"/>
      <c r="C53" s="144">
        <v>1600</v>
      </c>
      <c r="D53" s="147">
        <v>16</v>
      </c>
      <c r="E53" s="95">
        <f t="shared" si="0"/>
        <v>0</v>
      </c>
      <c r="F53" s="103">
        <v>12</v>
      </c>
      <c r="G53" s="95">
        <f t="shared" si="1"/>
        <v>0</v>
      </c>
      <c r="H53" s="104">
        <v>4</v>
      </c>
      <c r="I53" s="95">
        <f t="shared" si="2"/>
        <v>0</v>
      </c>
      <c r="J53" s="84">
        <f t="shared" si="3"/>
        <v>0</v>
      </c>
      <c r="K53" s="334" t="str">
        <f t="shared" si="72"/>
        <v>1600CNV36KV</v>
      </c>
      <c r="L53" s="248">
        <v>1</v>
      </c>
      <c r="M53" s="285">
        <f t="shared" si="5"/>
        <v>7078</v>
      </c>
      <c r="N53" s="241">
        <v>0.35</v>
      </c>
      <c r="O53" s="285">
        <f t="shared" si="6"/>
        <v>2477.2999999999997</v>
      </c>
      <c r="P53" s="241">
        <v>0.5</v>
      </c>
      <c r="Q53" s="285">
        <f t="shared" si="7"/>
        <v>2674</v>
      </c>
      <c r="R53" s="241">
        <v>1.5</v>
      </c>
      <c r="S53" s="285">
        <f t="shared" si="8"/>
        <v>10839</v>
      </c>
      <c r="T53" s="241">
        <v>0</v>
      </c>
      <c r="U53" s="266">
        <f t="shared" si="9"/>
        <v>0</v>
      </c>
      <c r="V53" s="241">
        <v>0</v>
      </c>
      <c r="W53" s="266">
        <f t="shared" si="10"/>
        <v>0</v>
      </c>
      <c r="X53" s="241">
        <v>0</v>
      </c>
      <c r="Y53" s="266">
        <f t="shared" si="11"/>
        <v>0</v>
      </c>
      <c r="Z53" s="241">
        <v>0</v>
      </c>
      <c r="AA53" s="266">
        <f t="shared" si="12"/>
        <v>0</v>
      </c>
      <c r="AB53" s="241">
        <v>0</v>
      </c>
      <c r="AC53" s="266">
        <f t="shared" si="13"/>
        <v>0</v>
      </c>
      <c r="AD53" s="297">
        <v>9</v>
      </c>
      <c r="AE53" s="266">
        <f t="shared" si="14"/>
        <v>63702</v>
      </c>
      <c r="AF53" s="297">
        <v>4</v>
      </c>
      <c r="AG53" s="266">
        <f t="shared" si="15"/>
        <v>21392</v>
      </c>
      <c r="AH53" s="236">
        <v>56.25</v>
      </c>
      <c r="AI53" s="266">
        <f t="shared" si="16"/>
        <v>406462.5</v>
      </c>
      <c r="AJ53" s="236"/>
      <c r="AK53" s="266">
        <f t="shared" si="17"/>
        <v>0</v>
      </c>
      <c r="AL53" s="236">
        <v>2.5</v>
      </c>
      <c r="AM53" s="266">
        <f t="shared" si="18"/>
        <v>14117.5</v>
      </c>
      <c r="AN53" s="236">
        <v>2.5</v>
      </c>
      <c r="AO53" s="266">
        <f t="shared" si="19"/>
        <v>17302.5</v>
      </c>
      <c r="AP53" s="236">
        <v>3.5</v>
      </c>
      <c r="AQ53" s="266">
        <f t="shared" si="20"/>
        <v>14117.5</v>
      </c>
      <c r="AR53" s="288"/>
      <c r="AS53" s="266">
        <f t="shared" si="21"/>
        <v>0</v>
      </c>
      <c r="AT53" s="287">
        <f t="shared" si="22"/>
        <v>560162.30000000005</v>
      </c>
      <c r="AU53" s="244">
        <v>95.3</v>
      </c>
      <c r="AV53" s="285">
        <f t="shared" si="23"/>
        <v>601343</v>
      </c>
      <c r="AW53" s="236">
        <v>18.700000000000003</v>
      </c>
      <c r="AX53" s="285">
        <f t="shared" si="24"/>
        <v>117810.00000000001</v>
      </c>
      <c r="AY53" s="236">
        <v>81.25</v>
      </c>
      <c r="AZ53" s="285">
        <f t="shared" si="25"/>
        <v>436312.5</v>
      </c>
      <c r="BA53" s="236">
        <v>26</v>
      </c>
      <c r="BB53" s="285">
        <f t="shared" si="26"/>
        <v>139620</v>
      </c>
      <c r="BC53" s="236">
        <v>4</v>
      </c>
      <c r="BD53" s="285">
        <f t="shared" si="27"/>
        <v>25240</v>
      </c>
      <c r="BE53" s="236">
        <v>19.5</v>
      </c>
      <c r="BF53" s="285">
        <f t="shared" si="28"/>
        <v>131371.5</v>
      </c>
      <c r="BG53" s="236">
        <v>10.925000000000001</v>
      </c>
      <c r="BH53" s="285">
        <f t="shared" si="29"/>
        <v>73601.725000000006</v>
      </c>
      <c r="BI53" s="236">
        <v>3</v>
      </c>
      <c r="BJ53" s="285">
        <f t="shared" si="30"/>
        <v>39639</v>
      </c>
      <c r="BK53" s="236">
        <v>10</v>
      </c>
      <c r="BL53" s="266">
        <f t="shared" si="31"/>
        <v>57570</v>
      </c>
      <c r="BM53" s="288"/>
      <c r="BN53" s="92">
        <f t="shared" si="32"/>
        <v>0</v>
      </c>
      <c r="BO53" s="93">
        <f>+AV53+AX53+AZ53+BB53+BD53+BF53+BH53+BJ53+BL53+BN53</f>
        <v>1622507.7250000001</v>
      </c>
      <c r="BP53" s="223">
        <f t="shared" si="34"/>
        <v>2182670.0250000004</v>
      </c>
      <c r="BQ53" s="280">
        <f t="shared" si="35"/>
        <v>2273537.5</v>
      </c>
      <c r="BR53" s="34">
        <f t="shared" si="36"/>
        <v>349.77499999999998</v>
      </c>
      <c r="CB53" s="277">
        <v>42753.59951388889</v>
      </c>
      <c r="CC53" s="276" t="s">
        <v>115</v>
      </c>
    </row>
    <row r="54" spans="1:81" ht="19.5" thickBot="1" x14ac:dyDescent="0.35">
      <c r="A54" s="708"/>
      <c r="B54" s="708"/>
      <c r="C54" s="144">
        <v>2000</v>
      </c>
      <c r="D54" s="148">
        <v>16</v>
      </c>
      <c r="E54" s="96">
        <f t="shared" si="0"/>
        <v>0</v>
      </c>
      <c r="F54" s="107">
        <v>16</v>
      </c>
      <c r="G54" s="96">
        <f t="shared" si="1"/>
        <v>0</v>
      </c>
      <c r="H54" s="106">
        <v>4</v>
      </c>
      <c r="I54" s="96">
        <f t="shared" si="2"/>
        <v>0</v>
      </c>
      <c r="J54" s="99">
        <f t="shared" si="3"/>
        <v>0</v>
      </c>
      <c r="K54" s="334" t="str">
        <f t="shared" si="72"/>
        <v>2000CNV36KV</v>
      </c>
      <c r="L54" s="248">
        <v>1</v>
      </c>
      <c r="M54" s="285">
        <f t="shared" si="5"/>
        <v>7078</v>
      </c>
      <c r="N54" s="241">
        <v>0.35</v>
      </c>
      <c r="O54" s="285">
        <f t="shared" si="6"/>
        <v>2477.2999999999997</v>
      </c>
      <c r="P54" s="241">
        <v>0.5</v>
      </c>
      <c r="Q54" s="285">
        <f t="shared" si="7"/>
        <v>2674</v>
      </c>
      <c r="R54" s="241">
        <v>1.5</v>
      </c>
      <c r="S54" s="285">
        <f t="shared" si="8"/>
        <v>10839</v>
      </c>
      <c r="T54" s="236">
        <v>0</v>
      </c>
      <c r="U54" s="266">
        <f t="shared" si="9"/>
        <v>0</v>
      </c>
      <c r="V54" s="236">
        <v>0</v>
      </c>
      <c r="W54" s="266">
        <f t="shared" si="10"/>
        <v>0</v>
      </c>
      <c r="X54" s="236">
        <v>0</v>
      </c>
      <c r="Y54" s="266">
        <f t="shared" si="11"/>
        <v>0</v>
      </c>
      <c r="Z54" s="236">
        <v>0</v>
      </c>
      <c r="AA54" s="266">
        <f t="shared" si="12"/>
        <v>0</v>
      </c>
      <c r="AB54" s="236">
        <v>0</v>
      </c>
      <c r="AC54" s="266">
        <f t="shared" si="13"/>
        <v>0</v>
      </c>
      <c r="AD54" s="297">
        <v>15</v>
      </c>
      <c r="AE54" s="266">
        <f t="shared" si="14"/>
        <v>106170</v>
      </c>
      <c r="AF54" s="297">
        <v>9</v>
      </c>
      <c r="AG54" s="266">
        <f t="shared" si="15"/>
        <v>48132</v>
      </c>
      <c r="AH54" s="236">
        <v>65</v>
      </c>
      <c r="AI54" s="266">
        <f t="shared" si="16"/>
        <v>469690</v>
      </c>
      <c r="AJ54" s="236"/>
      <c r="AK54" s="266">
        <f t="shared" si="17"/>
        <v>0</v>
      </c>
      <c r="AL54" s="236">
        <v>3.25</v>
      </c>
      <c r="AM54" s="266">
        <f t="shared" si="18"/>
        <v>18352.75</v>
      </c>
      <c r="AN54" s="236">
        <v>3.5</v>
      </c>
      <c r="AO54" s="266">
        <f t="shared" si="19"/>
        <v>24223.5</v>
      </c>
      <c r="AP54" s="236">
        <v>3.5</v>
      </c>
      <c r="AQ54" s="266">
        <f t="shared" si="20"/>
        <v>19764.5</v>
      </c>
      <c r="AR54" s="293"/>
      <c r="AS54" s="266">
        <f t="shared" si="21"/>
        <v>0</v>
      </c>
      <c r="AT54" s="287">
        <f t="shared" si="22"/>
        <v>709401.05</v>
      </c>
      <c r="AU54" s="244">
        <v>103.8</v>
      </c>
      <c r="AV54" s="285">
        <f t="shared" si="23"/>
        <v>654978</v>
      </c>
      <c r="AW54" s="236">
        <v>18.700000000000003</v>
      </c>
      <c r="AX54" s="285">
        <f t="shared" si="24"/>
        <v>117810.00000000001</v>
      </c>
      <c r="AY54" s="236">
        <v>85.15</v>
      </c>
      <c r="AZ54" s="285">
        <f t="shared" si="25"/>
        <v>457255.50000000006</v>
      </c>
      <c r="BA54" s="236">
        <v>26</v>
      </c>
      <c r="BB54" s="285">
        <f t="shared" si="26"/>
        <v>139620</v>
      </c>
      <c r="BC54" s="236">
        <v>4</v>
      </c>
      <c r="BD54" s="285">
        <f t="shared" si="27"/>
        <v>25240</v>
      </c>
      <c r="BE54" s="236">
        <v>20.8</v>
      </c>
      <c r="BF54" s="285">
        <f t="shared" si="28"/>
        <v>140129.60000000001</v>
      </c>
      <c r="BG54" s="236">
        <v>10.924999999999999</v>
      </c>
      <c r="BH54" s="285">
        <f t="shared" si="29"/>
        <v>73601.724999999991</v>
      </c>
      <c r="BI54" s="236">
        <v>3</v>
      </c>
      <c r="BJ54" s="285">
        <f t="shared" si="30"/>
        <v>39639</v>
      </c>
      <c r="BK54" s="236">
        <v>10</v>
      </c>
      <c r="BL54" s="266">
        <f t="shared" si="31"/>
        <v>57570</v>
      </c>
      <c r="BM54" s="293"/>
      <c r="BN54" s="92">
        <f t="shared" si="32"/>
        <v>0</v>
      </c>
      <c r="BO54" s="93">
        <f t="shared" si="33"/>
        <v>1705843.8250000002</v>
      </c>
      <c r="BP54" s="503">
        <f t="shared" si="34"/>
        <v>2415244.875</v>
      </c>
      <c r="BQ54" s="110">
        <f t="shared" si="35"/>
        <v>2502337.5</v>
      </c>
      <c r="BR54" s="34">
        <f t="shared" si="36"/>
        <v>384.97500000000002</v>
      </c>
    </row>
    <row r="55" spans="1:81" ht="19.5" thickBot="1" x14ac:dyDescent="0.35">
      <c r="A55" s="709"/>
      <c r="B55" s="709"/>
      <c r="C55" s="499">
        <v>3500</v>
      </c>
      <c r="D55" s="500"/>
      <c r="E55" s="450"/>
      <c r="F55" s="501"/>
      <c r="G55" s="450"/>
      <c r="H55" s="502"/>
      <c r="I55" s="450"/>
      <c r="J55" s="498"/>
      <c r="K55" s="334" t="str">
        <f t="shared" si="72"/>
        <v>3500CNV36KV</v>
      </c>
      <c r="L55" s="248"/>
      <c r="M55" s="285">
        <f t="shared" ref="M55" si="73">$M$5*L55</f>
        <v>0</v>
      </c>
      <c r="N55" s="241"/>
      <c r="O55" s="285">
        <f t="shared" ref="O55" si="74">$O$5*N55</f>
        <v>0</v>
      </c>
      <c r="P55" s="241"/>
      <c r="Q55" s="285">
        <f t="shared" ref="Q55" si="75">$Q$5*P55</f>
        <v>0</v>
      </c>
      <c r="R55" s="241"/>
      <c r="S55" s="285">
        <f t="shared" ref="S55" si="76">$S$5*R55</f>
        <v>0</v>
      </c>
      <c r="T55" s="236"/>
      <c r="U55" s="266">
        <f t="shared" ref="U55" si="77">$U$5*T55</f>
        <v>0</v>
      </c>
      <c r="V55" s="236"/>
      <c r="W55" s="266">
        <f t="shared" ref="W55" si="78">$W$5*V55</f>
        <v>0</v>
      </c>
      <c r="X55" s="236"/>
      <c r="Y55" s="266">
        <f t="shared" ref="Y55" si="79">$Y$5*X55</f>
        <v>0</v>
      </c>
      <c r="Z55" s="236"/>
      <c r="AA55" s="266">
        <f t="shared" ref="AA55" si="80">$AA$5*Z55</f>
        <v>0</v>
      </c>
      <c r="AB55" s="236"/>
      <c r="AC55" s="266">
        <f t="shared" ref="AC55" si="81">$AC$5*AB55</f>
        <v>0</v>
      </c>
      <c r="AD55" s="297"/>
      <c r="AE55" s="266">
        <f t="shared" ref="AE55" si="82">$AE$5*AD55</f>
        <v>0</v>
      </c>
      <c r="AF55" s="297"/>
      <c r="AG55" s="266">
        <f t="shared" ref="AG55" si="83">$AG$5*AF55</f>
        <v>0</v>
      </c>
      <c r="AH55" s="236"/>
      <c r="AI55" s="266">
        <f t="shared" ref="AI55" si="84">$AI$5*AH55</f>
        <v>0</v>
      </c>
      <c r="AJ55" s="236"/>
      <c r="AK55" s="266">
        <f t="shared" ref="AK55" si="85">$AK$5*AJ55</f>
        <v>0</v>
      </c>
      <c r="AL55" s="236"/>
      <c r="AM55" s="266">
        <f t="shared" ref="AM55" si="86">$AM$5*AL55</f>
        <v>0</v>
      </c>
      <c r="AN55" s="236"/>
      <c r="AO55" s="266">
        <f t="shared" ref="AO55" si="87">$AO$5*AN55</f>
        <v>0</v>
      </c>
      <c r="AP55" s="236"/>
      <c r="AQ55" s="266">
        <f t="shared" ref="AQ55" si="88">$AQ$5*AN55</f>
        <v>0</v>
      </c>
      <c r="AR55" s="293"/>
      <c r="AS55" s="266">
        <f t="shared" ref="AS55" si="89">$AS$5*AR55</f>
        <v>0</v>
      </c>
      <c r="AT55" s="287"/>
      <c r="AU55" s="244"/>
      <c r="AV55" s="285">
        <f t="shared" ref="AV55" si="90">$AV$5*AU55</f>
        <v>0</v>
      </c>
      <c r="AW55" s="236"/>
      <c r="AX55" s="285">
        <f t="shared" ref="AX55" si="91">$AX$5*AW55</f>
        <v>0</v>
      </c>
      <c r="AY55" s="236"/>
      <c r="AZ55" s="285">
        <f t="shared" ref="AZ55" si="92">$AZ$5*AY55</f>
        <v>0</v>
      </c>
      <c r="BA55" s="236"/>
      <c r="BB55" s="285">
        <f t="shared" ref="BB55" si="93">$BB$5*BA55</f>
        <v>0</v>
      </c>
      <c r="BC55" s="236"/>
      <c r="BD55" s="285">
        <f t="shared" ref="BD55" si="94">$BD$5*BC55</f>
        <v>0</v>
      </c>
      <c r="BE55" s="236"/>
      <c r="BF55" s="285">
        <f t="shared" ref="BF55" si="95">$BF$5*BE55</f>
        <v>0</v>
      </c>
      <c r="BG55" s="236"/>
      <c r="BH55" s="285">
        <f t="shared" ref="BH55" si="96">$BH$5*BG55</f>
        <v>0</v>
      </c>
      <c r="BI55" s="236"/>
      <c r="BJ55" s="285">
        <f t="shared" ref="BJ55" si="97">$BJ$5*BI55</f>
        <v>0</v>
      </c>
      <c r="BK55" s="236"/>
      <c r="BL55" s="266">
        <f t="shared" ref="BL55" si="98">$BL$5*BK55</f>
        <v>0</v>
      </c>
      <c r="BM55" s="293"/>
      <c r="BN55" s="92">
        <f t="shared" ref="BN55" si="99">+$BN$5*BM55</f>
        <v>0</v>
      </c>
      <c r="BO55" s="93">
        <f t="shared" ref="BO55" si="100">+AV55+AX55+AZ55+BB55+BD55+BF55+BH55+BJ55+BL55+BN55</f>
        <v>0</v>
      </c>
      <c r="BP55" s="503">
        <f t="shared" ref="BP55" si="101">AT55+BO55</f>
        <v>0</v>
      </c>
      <c r="BQ55" s="110">
        <f t="shared" ref="BQ55" si="102">+$BQ$1*BR55</f>
        <v>0</v>
      </c>
      <c r="BR55" s="34"/>
      <c r="CB55" s="277">
        <v>42955.502743055556</v>
      </c>
      <c r="CC55" s="276" t="s">
        <v>167</v>
      </c>
    </row>
    <row r="56" spans="1:81" ht="19.5" thickBot="1" x14ac:dyDescent="0.35">
      <c r="A56" s="707" t="s">
        <v>21</v>
      </c>
      <c r="B56" s="707" t="s">
        <v>33</v>
      </c>
      <c r="C56" s="132">
        <v>15</v>
      </c>
      <c r="D56" s="140">
        <f t="shared" ref="D56:D72" si="103">D22</f>
        <v>4</v>
      </c>
      <c r="E56" s="92">
        <f t="shared" si="0"/>
        <v>0</v>
      </c>
      <c r="F56" s="105">
        <v>8</v>
      </c>
      <c r="G56" s="92">
        <f t="shared" si="1"/>
        <v>0</v>
      </c>
      <c r="H56" s="105">
        <v>2</v>
      </c>
      <c r="I56" s="92">
        <f t="shared" si="2"/>
        <v>0</v>
      </c>
      <c r="J56" s="98">
        <f t="shared" si="3"/>
        <v>0</v>
      </c>
      <c r="K56" s="334" t="str">
        <f>C56&amp;$B$56&amp;$A$56</f>
        <v>15RDC15KV</v>
      </c>
      <c r="L56" s="269">
        <v>2.5</v>
      </c>
      <c r="M56" s="285">
        <f t="shared" si="5"/>
        <v>17695</v>
      </c>
      <c r="N56" s="264">
        <v>0.25</v>
      </c>
      <c r="O56" s="285">
        <f t="shared" si="6"/>
        <v>1769.5</v>
      </c>
      <c r="P56" s="264">
        <v>0.25</v>
      </c>
      <c r="Q56" s="285">
        <f t="shared" si="7"/>
        <v>1337</v>
      </c>
      <c r="R56" s="241">
        <v>0</v>
      </c>
      <c r="S56" s="285">
        <f t="shared" si="8"/>
        <v>0</v>
      </c>
      <c r="T56" s="264">
        <v>0.75</v>
      </c>
      <c r="U56" s="266">
        <f t="shared" si="9"/>
        <v>5308.5</v>
      </c>
      <c r="V56" s="264">
        <v>0.65</v>
      </c>
      <c r="W56" s="266">
        <f t="shared" si="10"/>
        <v>3476.2000000000003</v>
      </c>
      <c r="X56" s="264">
        <v>6</v>
      </c>
      <c r="Y56" s="266">
        <f t="shared" si="11"/>
        <v>43356</v>
      </c>
      <c r="Z56" s="264">
        <v>0.75</v>
      </c>
      <c r="AA56" s="266">
        <f t="shared" si="12"/>
        <v>4235.25</v>
      </c>
      <c r="AB56" s="264">
        <v>1</v>
      </c>
      <c r="AC56" s="266">
        <f t="shared" si="13"/>
        <v>6921</v>
      </c>
      <c r="AD56" s="295">
        <v>2</v>
      </c>
      <c r="AE56" s="266">
        <f t="shared" si="14"/>
        <v>14156</v>
      </c>
      <c r="AF56" s="295">
        <v>1</v>
      </c>
      <c r="AG56" s="266">
        <f t="shared" si="15"/>
        <v>5348</v>
      </c>
      <c r="AH56" s="242">
        <v>19</v>
      </c>
      <c r="AI56" s="266">
        <f t="shared" si="16"/>
        <v>137294</v>
      </c>
      <c r="AJ56" s="242"/>
      <c r="AK56" s="266">
        <f t="shared" si="17"/>
        <v>0</v>
      </c>
      <c r="AL56" s="242">
        <v>1</v>
      </c>
      <c r="AM56" s="266">
        <f t="shared" si="18"/>
        <v>5647</v>
      </c>
      <c r="AN56" s="242">
        <v>1</v>
      </c>
      <c r="AO56" s="266">
        <f t="shared" si="19"/>
        <v>6921</v>
      </c>
      <c r="AP56" s="264">
        <v>1.5</v>
      </c>
      <c r="AQ56" s="266">
        <f t="shared" si="20"/>
        <v>5647</v>
      </c>
      <c r="AR56" s="286"/>
      <c r="AS56" s="266">
        <f t="shared" si="21"/>
        <v>0</v>
      </c>
      <c r="AT56" s="287">
        <f t="shared" si="22"/>
        <v>259111.45</v>
      </c>
      <c r="AU56" s="296">
        <v>26.25</v>
      </c>
      <c r="AV56" s="285">
        <f t="shared" si="23"/>
        <v>165637.5</v>
      </c>
      <c r="AW56" s="242">
        <f t="shared" ref="AW56:AW66" si="104">AW22</f>
        <v>6.85</v>
      </c>
      <c r="AX56" s="285">
        <f t="shared" si="24"/>
        <v>43155</v>
      </c>
      <c r="AY56" s="242">
        <f t="shared" ref="AY56:AY66" si="105">AY22</f>
        <v>1.2</v>
      </c>
      <c r="AZ56" s="285">
        <f t="shared" si="25"/>
        <v>6444</v>
      </c>
      <c r="BA56" s="264">
        <f t="shared" ref="BA56:BA66" si="106">BA22</f>
        <v>0</v>
      </c>
      <c r="BB56" s="285">
        <f t="shared" si="26"/>
        <v>0</v>
      </c>
      <c r="BC56" s="242">
        <f t="shared" ref="BC56:BC66" si="107">BC22</f>
        <v>1.95</v>
      </c>
      <c r="BD56" s="285">
        <f t="shared" si="27"/>
        <v>12304.5</v>
      </c>
      <c r="BE56" s="242">
        <v>9.5</v>
      </c>
      <c r="BF56" s="285">
        <f t="shared" si="28"/>
        <v>64001.5</v>
      </c>
      <c r="BG56" s="242">
        <v>4.45</v>
      </c>
      <c r="BH56" s="285">
        <f t="shared" si="29"/>
        <v>29979.65</v>
      </c>
      <c r="BI56" s="242">
        <v>1.5</v>
      </c>
      <c r="BJ56" s="285">
        <f t="shared" si="30"/>
        <v>19819.5</v>
      </c>
      <c r="BK56" s="242">
        <v>7</v>
      </c>
      <c r="BL56" s="266">
        <f t="shared" si="31"/>
        <v>40299</v>
      </c>
      <c r="BM56" s="286"/>
      <c r="BN56" s="92">
        <f t="shared" si="32"/>
        <v>0</v>
      </c>
      <c r="BO56" s="93">
        <f t="shared" si="33"/>
        <v>381640.65</v>
      </c>
      <c r="BP56" s="223">
        <f t="shared" si="34"/>
        <v>640752.10000000009</v>
      </c>
      <c r="BQ56" s="280">
        <f t="shared" si="35"/>
        <v>626275</v>
      </c>
      <c r="BR56" s="34">
        <f t="shared" si="36"/>
        <v>96.350000000000009</v>
      </c>
      <c r="CB56" s="277">
        <v>42955.501759259256</v>
      </c>
      <c r="CC56" s="276" t="s">
        <v>167</v>
      </c>
    </row>
    <row r="57" spans="1:81" ht="19.5" thickBot="1" x14ac:dyDescent="0.35">
      <c r="A57" s="708"/>
      <c r="B57" s="708"/>
      <c r="C57" s="133">
        <v>30</v>
      </c>
      <c r="D57" s="141">
        <f t="shared" si="103"/>
        <v>4</v>
      </c>
      <c r="E57" s="95">
        <f t="shared" si="0"/>
        <v>0</v>
      </c>
      <c r="F57" s="103">
        <v>8</v>
      </c>
      <c r="G57" s="95">
        <f t="shared" si="1"/>
        <v>0</v>
      </c>
      <c r="H57" s="103">
        <v>2</v>
      </c>
      <c r="I57" s="95">
        <f t="shared" si="2"/>
        <v>0</v>
      </c>
      <c r="J57" s="84">
        <f t="shared" si="3"/>
        <v>0</v>
      </c>
      <c r="K57" s="334" t="str">
        <f t="shared" ref="K57:K72" si="108">C57&amp;$B$56&amp;$A$56</f>
        <v>30RDC15KV</v>
      </c>
      <c r="L57" s="248">
        <v>2.5</v>
      </c>
      <c r="M57" s="285">
        <f t="shared" si="5"/>
        <v>17695</v>
      </c>
      <c r="N57" s="241">
        <v>0.25</v>
      </c>
      <c r="O57" s="285">
        <f t="shared" si="6"/>
        <v>1769.5</v>
      </c>
      <c r="P57" s="241">
        <v>0.25</v>
      </c>
      <c r="Q57" s="285">
        <f t="shared" si="7"/>
        <v>1337</v>
      </c>
      <c r="R57" s="241">
        <v>0</v>
      </c>
      <c r="S57" s="285">
        <f t="shared" si="8"/>
        <v>0</v>
      </c>
      <c r="T57" s="241">
        <v>0.75</v>
      </c>
      <c r="U57" s="266">
        <f t="shared" si="9"/>
        <v>5308.5</v>
      </c>
      <c r="V57" s="241">
        <v>0.65</v>
      </c>
      <c r="W57" s="266">
        <f t="shared" si="10"/>
        <v>3476.2000000000003</v>
      </c>
      <c r="X57" s="241">
        <v>7</v>
      </c>
      <c r="Y57" s="266">
        <f t="shared" si="11"/>
        <v>50582</v>
      </c>
      <c r="Z57" s="241">
        <v>0.75</v>
      </c>
      <c r="AA57" s="266">
        <f t="shared" si="12"/>
        <v>4235.25</v>
      </c>
      <c r="AB57" s="241">
        <v>1</v>
      </c>
      <c r="AC57" s="266">
        <f t="shared" si="13"/>
        <v>6921</v>
      </c>
      <c r="AD57" s="236">
        <v>2</v>
      </c>
      <c r="AE57" s="266">
        <f t="shared" si="14"/>
        <v>14156</v>
      </c>
      <c r="AF57" s="236">
        <v>1</v>
      </c>
      <c r="AG57" s="266">
        <f t="shared" si="15"/>
        <v>5348</v>
      </c>
      <c r="AH57" s="236">
        <v>20</v>
      </c>
      <c r="AI57" s="266">
        <f t="shared" si="16"/>
        <v>144520</v>
      </c>
      <c r="AJ57" s="236"/>
      <c r="AK57" s="266">
        <f t="shared" si="17"/>
        <v>0</v>
      </c>
      <c r="AL57" s="236">
        <v>1</v>
      </c>
      <c r="AM57" s="266">
        <f t="shared" si="18"/>
        <v>5647</v>
      </c>
      <c r="AN57" s="236">
        <v>1</v>
      </c>
      <c r="AO57" s="266">
        <f t="shared" si="19"/>
        <v>6921</v>
      </c>
      <c r="AP57" s="241">
        <v>1.5</v>
      </c>
      <c r="AQ57" s="266">
        <f t="shared" si="20"/>
        <v>5647</v>
      </c>
      <c r="AR57" s="288"/>
      <c r="AS57" s="266">
        <f t="shared" si="21"/>
        <v>0</v>
      </c>
      <c r="AT57" s="287">
        <f t="shared" si="22"/>
        <v>273563.45</v>
      </c>
      <c r="AU57" s="244">
        <v>26.25</v>
      </c>
      <c r="AV57" s="285">
        <f t="shared" si="23"/>
        <v>165637.5</v>
      </c>
      <c r="AW57" s="236">
        <f t="shared" si="104"/>
        <v>6.85</v>
      </c>
      <c r="AX57" s="285">
        <f t="shared" si="24"/>
        <v>43155</v>
      </c>
      <c r="AY57" s="236">
        <f t="shared" si="105"/>
        <v>1.2</v>
      </c>
      <c r="AZ57" s="285">
        <f t="shared" si="25"/>
        <v>6444</v>
      </c>
      <c r="BA57" s="241">
        <f t="shared" si="106"/>
        <v>0</v>
      </c>
      <c r="BB57" s="285">
        <f t="shared" si="26"/>
        <v>0</v>
      </c>
      <c r="BC57" s="236">
        <f t="shared" si="107"/>
        <v>1.95</v>
      </c>
      <c r="BD57" s="285">
        <f t="shared" si="27"/>
        <v>12304.5</v>
      </c>
      <c r="BE57" s="236">
        <v>9.75</v>
      </c>
      <c r="BF57" s="285">
        <f t="shared" si="28"/>
        <v>65685.75</v>
      </c>
      <c r="BG57" s="236">
        <v>4.45</v>
      </c>
      <c r="BH57" s="285">
        <f t="shared" si="29"/>
        <v>29979.65</v>
      </c>
      <c r="BI57" s="236">
        <v>1.5</v>
      </c>
      <c r="BJ57" s="285">
        <f t="shared" si="30"/>
        <v>19819.5</v>
      </c>
      <c r="BK57" s="236">
        <v>8</v>
      </c>
      <c r="BL57" s="266">
        <f t="shared" si="31"/>
        <v>46056</v>
      </c>
      <c r="BM57" s="288"/>
      <c r="BN57" s="92">
        <f t="shared" si="32"/>
        <v>0</v>
      </c>
      <c r="BO57" s="93">
        <f t="shared" si="33"/>
        <v>389081.9</v>
      </c>
      <c r="BP57" s="223">
        <f t="shared" si="34"/>
        <v>662645.35000000009</v>
      </c>
      <c r="BQ57" s="280">
        <f t="shared" si="35"/>
        <v>647400</v>
      </c>
      <c r="BR57" s="34">
        <f t="shared" si="36"/>
        <v>99.600000000000009</v>
      </c>
      <c r="CB57" s="277">
        <v>42745.425312500003</v>
      </c>
      <c r="CC57" s="276" t="s">
        <v>115</v>
      </c>
    </row>
    <row r="58" spans="1:81" ht="19.5" thickBot="1" x14ac:dyDescent="0.35">
      <c r="A58" s="708"/>
      <c r="B58" s="708"/>
      <c r="C58" s="133">
        <v>45</v>
      </c>
      <c r="D58" s="141">
        <f t="shared" si="103"/>
        <v>4</v>
      </c>
      <c r="E58" s="95">
        <f t="shared" si="0"/>
        <v>0</v>
      </c>
      <c r="F58" s="103">
        <v>8</v>
      </c>
      <c r="G58" s="95">
        <f t="shared" si="1"/>
        <v>0</v>
      </c>
      <c r="H58" s="103">
        <v>2</v>
      </c>
      <c r="I58" s="95">
        <f t="shared" si="2"/>
        <v>0</v>
      </c>
      <c r="J58" s="84">
        <f t="shared" si="3"/>
        <v>0</v>
      </c>
      <c r="K58" s="334" t="str">
        <f t="shared" si="108"/>
        <v>45RDC15KV</v>
      </c>
      <c r="L58" s="248">
        <v>2.5</v>
      </c>
      <c r="M58" s="285">
        <f t="shared" si="5"/>
        <v>17695</v>
      </c>
      <c r="N58" s="241">
        <v>0.25</v>
      </c>
      <c r="O58" s="285">
        <f t="shared" si="6"/>
        <v>1769.5</v>
      </c>
      <c r="P58" s="241">
        <v>0.25</v>
      </c>
      <c r="Q58" s="285">
        <f t="shared" si="7"/>
        <v>1337</v>
      </c>
      <c r="R58" s="241">
        <v>0</v>
      </c>
      <c r="S58" s="285">
        <f t="shared" si="8"/>
        <v>0</v>
      </c>
      <c r="T58" s="241">
        <v>0.75</v>
      </c>
      <c r="U58" s="266">
        <f t="shared" si="9"/>
        <v>5308.5</v>
      </c>
      <c r="V58" s="241">
        <v>0.75</v>
      </c>
      <c r="W58" s="266">
        <f t="shared" si="10"/>
        <v>4011</v>
      </c>
      <c r="X58" s="241">
        <v>7</v>
      </c>
      <c r="Y58" s="266">
        <f t="shared" si="11"/>
        <v>50582</v>
      </c>
      <c r="Z58" s="241">
        <v>0.75</v>
      </c>
      <c r="AA58" s="266">
        <f t="shared" si="12"/>
        <v>4235.25</v>
      </c>
      <c r="AB58" s="241">
        <v>1</v>
      </c>
      <c r="AC58" s="266">
        <f t="shared" si="13"/>
        <v>6921</v>
      </c>
      <c r="AD58" s="236">
        <v>2</v>
      </c>
      <c r="AE58" s="266">
        <f t="shared" si="14"/>
        <v>14156</v>
      </c>
      <c r="AF58" s="236">
        <v>1</v>
      </c>
      <c r="AG58" s="266">
        <f t="shared" si="15"/>
        <v>5348</v>
      </c>
      <c r="AH58" s="236">
        <v>21</v>
      </c>
      <c r="AI58" s="266">
        <f t="shared" si="16"/>
        <v>151746</v>
      </c>
      <c r="AJ58" s="236"/>
      <c r="AK58" s="266">
        <f t="shared" si="17"/>
        <v>0</v>
      </c>
      <c r="AL58" s="236">
        <v>1.5</v>
      </c>
      <c r="AM58" s="266">
        <f t="shared" si="18"/>
        <v>8470.5</v>
      </c>
      <c r="AN58" s="236">
        <v>1.25</v>
      </c>
      <c r="AO58" s="266">
        <f t="shared" si="19"/>
        <v>8651.25</v>
      </c>
      <c r="AP58" s="241">
        <v>1.5</v>
      </c>
      <c r="AQ58" s="266">
        <f t="shared" si="20"/>
        <v>7058.75</v>
      </c>
      <c r="AR58" s="288"/>
      <c r="AS58" s="266">
        <f t="shared" si="21"/>
        <v>0</v>
      </c>
      <c r="AT58" s="287">
        <f t="shared" si="22"/>
        <v>287289.75</v>
      </c>
      <c r="AU58" s="244">
        <v>23.75</v>
      </c>
      <c r="AV58" s="285">
        <f t="shared" si="23"/>
        <v>149862.5</v>
      </c>
      <c r="AW58" s="236">
        <f t="shared" si="104"/>
        <v>6.85</v>
      </c>
      <c r="AX58" s="285">
        <f t="shared" si="24"/>
        <v>43155</v>
      </c>
      <c r="AY58" s="236">
        <f t="shared" si="105"/>
        <v>1.2</v>
      </c>
      <c r="AZ58" s="285">
        <f t="shared" si="25"/>
        <v>6444</v>
      </c>
      <c r="BA58" s="241">
        <f t="shared" si="106"/>
        <v>0</v>
      </c>
      <c r="BB58" s="285">
        <f t="shared" si="26"/>
        <v>0</v>
      </c>
      <c r="BC58" s="236">
        <f t="shared" si="107"/>
        <v>1.95</v>
      </c>
      <c r="BD58" s="285">
        <f t="shared" si="27"/>
        <v>12304.5</v>
      </c>
      <c r="BE58" s="236">
        <v>10</v>
      </c>
      <c r="BF58" s="285">
        <f t="shared" si="28"/>
        <v>67370</v>
      </c>
      <c r="BG58" s="236">
        <v>4.45</v>
      </c>
      <c r="BH58" s="285">
        <f t="shared" si="29"/>
        <v>29979.65</v>
      </c>
      <c r="BI58" s="236">
        <v>1.5</v>
      </c>
      <c r="BJ58" s="285">
        <f t="shared" si="30"/>
        <v>19819.5</v>
      </c>
      <c r="BK58" s="236">
        <v>8</v>
      </c>
      <c r="BL58" s="266">
        <f t="shared" si="31"/>
        <v>46056</v>
      </c>
      <c r="BM58" s="288"/>
      <c r="BN58" s="92">
        <f t="shared" si="32"/>
        <v>0</v>
      </c>
      <c r="BO58" s="93">
        <f t="shared" si="33"/>
        <v>374991.15</v>
      </c>
      <c r="BP58" s="223">
        <f t="shared" si="34"/>
        <v>662280.9</v>
      </c>
      <c r="BQ58" s="280">
        <f t="shared" si="35"/>
        <v>644800</v>
      </c>
      <c r="BR58" s="34">
        <f t="shared" si="36"/>
        <v>99.2</v>
      </c>
      <c r="CB58" s="277">
        <v>42950.501701388886</v>
      </c>
      <c r="CC58" s="276" t="s">
        <v>167</v>
      </c>
    </row>
    <row r="59" spans="1:81" ht="19.5" thickBot="1" x14ac:dyDescent="0.35">
      <c r="A59" s="708"/>
      <c r="B59" s="708"/>
      <c r="C59" s="133">
        <v>75</v>
      </c>
      <c r="D59" s="141">
        <f t="shared" si="103"/>
        <v>4</v>
      </c>
      <c r="E59" s="95">
        <f t="shared" si="0"/>
        <v>0</v>
      </c>
      <c r="F59" s="103">
        <v>8</v>
      </c>
      <c r="G59" s="95">
        <f t="shared" si="1"/>
        <v>0</v>
      </c>
      <c r="H59" s="103">
        <v>2</v>
      </c>
      <c r="I59" s="95">
        <f t="shared" si="2"/>
        <v>0</v>
      </c>
      <c r="J59" s="84">
        <f t="shared" si="3"/>
        <v>0</v>
      </c>
      <c r="K59" s="334" t="str">
        <f t="shared" si="108"/>
        <v>75RDC15KV</v>
      </c>
      <c r="L59" s="248">
        <v>2.5</v>
      </c>
      <c r="M59" s="285">
        <f t="shared" si="5"/>
        <v>17695</v>
      </c>
      <c r="N59" s="241">
        <v>0.25</v>
      </c>
      <c r="O59" s="285">
        <f t="shared" si="6"/>
        <v>1769.5</v>
      </c>
      <c r="P59" s="241">
        <v>0.25</v>
      </c>
      <c r="Q59" s="285">
        <f t="shared" si="7"/>
        <v>1337</v>
      </c>
      <c r="R59" s="241">
        <v>0</v>
      </c>
      <c r="S59" s="285">
        <f t="shared" si="8"/>
        <v>0</v>
      </c>
      <c r="T59" s="241">
        <v>0.75</v>
      </c>
      <c r="U59" s="266">
        <f t="shared" si="9"/>
        <v>5308.5</v>
      </c>
      <c r="V59" s="241">
        <v>0.8</v>
      </c>
      <c r="W59" s="266">
        <f t="shared" si="10"/>
        <v>4278.4000000000005</v>
      </c>
      <c r="X59" s="241">
        <v>8</v>
      </c>
      <c r="Y59" s="266">
        <f t="shared" si="11"/>
        <v>57808</v>
      </c>
      <c r="Z59" s="241">
        <v>0.75</v>
      </c>
      <c r="AA59" s="266">
        <f t="shared" si="12"/>
        <v>4235.25</v>
      </c>
      <c r="AB59" s="241">
        <v>1</v>
      </c>
      <c r="AC59" s="266">
        <f t="shared" si="13"/>
        <v>6921</v>
      </c>
      <c r="AD59" s="236">
        <v>2</v>
      </c>
      <c r="AE59" s="266">
        <f t="shared" si="14"/>
        <v>14156</v>
      </c>
      <c r="AF59" s="236">
        <v>1</v>
      </c>
      <c r="AG59" s="266">
        <f t="shared" si="15"/>
        <v>5348</v>
      </c>
      <c r="AH59" s="236">
        <v>23</v>
      </c>
      <c r="AI59" s="266">
        <f t="shared" si="16"/>
        <v>166198</v>
      </c>
      <c r="AJ59" s="236"/>
      <c r="AK59" s="266">
        <f t="shared" si="17"/>
        <v>0</v>
      </c>
      <c r="AL59" s="236">
        <v>1.5</v>
      </c>
      <c r="AM59" s="266">
        <f t="shared" si="18"/>
        <v>8470.5</v>
      </c>
      <c r="AN59" s="236">
        <v>1.25</v>
      </c>
      <c r="AO59" s="266">
        <f t="shared" si="19"/>
        <v>8651.25</v>
      </c>
      <c r="AP59" s="241">
        <v>1.5</v>
      </c>
      <c r="AQ59" s="266">
        <f t="shared" si="20"/>
        <v>7058.75</v>
      </c>
      <c r="AR59" s="288"/>
      <c r="AS59" s="266">
        <f t="shared" si="21"/>
        <v>0</v>
      </c>
      <c r="AT59" s="287">
        <f t="shared" si="22"/>
        <v>309235.15000000002</v>
      </c>
      <c r="AU59" s="244">
        <v>21.75</v>
      </c>
      <c r="AV59" s="285">
        <f t="shared" si="23"/>
        <v>137242.5</v>
      </c>
      <c r="AW59" s="236">
        <f t="shared" si="104"/>
        <v>6.96</v>
      </c>
      <c r="AX59" s="285">
        <f t="shared" si="24"/>
        <v>43848</v>
      </c>
      <c r="AY59" s="236">
        <f t="shared" si="105"/>
        <v>1.45</v>
      </c>
      <c r="AZ59" s="285">
        <f t="shared" si="25"/>
        <v>7786.5</v>
      </c>
      <c r="BA59" s="241">
        <f t="shared" si="106"/>
        <v>0</v>
      </c>
      <c r="BB59" s="285">
        <f t="shared" si="26"/>
        <v>0</v>
      </c>
      <c r="BC59" s="236">
        <f t="shared" si="107"/>
        <v>1.95</v>
      </c>
      <c r="BD59" s="285">
        <f t="shared" si="27"/>
        <v>12304.5</v>
      </c>
      <c r="BE59" s="236">
        <v>10.25</v>
      </c>
      <c r="BF59" s="285">
        <f t="shared" si="28"/>
        <v>69054.25</v>
      </c>
      <c r="BG59" s="236">
        <v>4.6500000000000004</v>
      </c>
      <c r="BH59" s="285">
        <f t="shared" si="29"/>
        <v>31327.050000000003</v>
      </c>
      <c r="BI59" s="236">
        <v>1.5</v>
      </c>
      <c r="BJ59" s="285">
        <f t="shared" si="30"/>
        <v>19819.5</v>
      </c>
      <c r="BK59" s="236">
        <v>8</v>
      </c>
      <c r="BL59" s="266">
        <f t="shared" si="31"/>
        <v>46056</v>
      </c>
      <c r="BM59" s="288"/>
      <c r="BN59" s="92">
        <f t="shared" si="32"/>
        <v>0</v>
      </c>
      <c r="BO59" s="93">
        <f t="shared" si="33"/>
        <v>367438.3</v>
      </c>
      <c r="BP59" s="223">
        <f t="shared" si="34"/>
        <v>676673.45</v>
      </c>
      <c r="BQ59" s="280">
        <f t="shared" si="35"/>
        <v>656890</v>
      </c>
      <c r="BR59" s="34">
        <f t="shared" si="36"/>
        <v>101.06</v>
      </c>
    </row>
    <row r="60" spans="1:81" ht="19.5" thickBot="1" x14ac:dyDescent="0.35">
      <c r="A60" s="708"/>
      <c r="B60" s="708"/>
      <c r="C60" s="133">
        <v>112.5</v>
      </c>
      <c r="D60" s="141">
        <f t="shared" si="103"/>
        <v>4</v>
      </c>
      <c r="E60" s="95">
        <f t="shared" si="0"/>
        <v>0</v>
      </c>
      <c r="F60" s="103">
        <v>8</v>
      </c>
      <c r="G60" s="95">
        <f t="shared" si="1"/>
        <v>0</v>
      </c>
      <c r="H60" s="103">
        <v>2</v>
      </c>
      <c r="I60" s="95">
        <f t="shared" si="2"/>
        <v>0</v>
      </c>
      <c r="J60" s="84">
        <f>D60*E60+F60*G60+H60*I60</f>
        <v>0</v>
      </c>
      <c r="K60" s="334" t="str">
        <f t="shared" si="108"/>
        <v>112.5RDC15KV</v>
      </c>
      <c r="L60" s="248">
        <v>2.5</v>
      </c>
      <c r="M60" s="285">
        <f t="shared" si="5"/>
        <v>17695</v>
      </c>
      <c r="N60" s="241">
        <v>0.25</v>
      </c>
      <c r="O60" s="285">
        <f t="shared" si="6"/>
        <v>1769.5</v>
      </c>
      <c r="P60" s="241">
        <v>0.25</v>
      </c>
      <c r="Q60" s="285">
        <f t="shared" si="7"/>
        <v>1337</v>
      </c>
      <c r="R60" s="241">
        <v>0</v>
      </c>
      <c r="S60" s="285">
        <f t="shared" si="8"/>
        <v>0</v>
      </c>
      <c r="T60" s="241">
        <v>0.75</v>
      </c>
      <c r="U60" s="266">
        <f t="shared" si="9"/>
        <v>5308.5</v>
      </c>
      <c r="V60" s="241">
        <v>0.8</v>
      </c>
      <c r="W60" s="266">
        <f t="shared" si="10"/>
        <v>4278.4000000000005</v>
      </c>
      <c r="X60" s="241">
        <v>8</v>
      </c>
      <c r="Y60" s="266">
        <f t="shared" si="11"/>
        <v>57808</v>
      </c>
      <c r="Z60" s="241">
        <v>0.75</v>
      </c>
      <c r="AA60" s="266">
        <f t="shared" si="12"/>
        <v>4235.25</v>
      </c>
      <c r="AB60" s="241">
        <v>1.25</v>
      </c>
      <c r="AC60" s="266">
        <f t="shared" si="13"/>
        <v>8651.25</v>
      </c>
      <c r="AD60" s="236">
        <v>2</v>
      </c>
      <c r="AE60" s="266">
        <f t="shared" si="14"/>
        <v>14156</v>
      </c>
      <c r="AF60" s="236">
        <v>1</v>
      </c>
      <c r="AG60" s="266">
        <f t="shared" si="15"/>
        <v>5348</v>
      </c>
      <c r="AH60" s="236">
        <v>24</v>
      </c>
      <c r="AI60" s="266">
        <f t="shared" si="16"/>
        <v>173424</v>
      </c>
      <c r="AJ60" s="236"/>
      <c r="AK60" s="266">
        <f t="shared" si="17"/>
        <v>0</v>
      </c>
      <c r="AL60" s="236">
        <v>1.5</v>
      </c>
      <c r="AM60" s="266">
        <f t="shared" si="18"/>
        <v>8470.5</v>
      </c>
      <c r="AN60" s="236">
        <v>1.25</v>
      </c>
      <c r="AO60" s="266">
        <f t="shared" si="19"/>
        <v>8651.25</v>
      </c>
      <c r="AP60" s="241">
        <v>1.5</v>
      </c>
      <c r="AQ60" s="266">
        <f t="shared" si="20"/>
        <v>7058.75</v>
      </c>
      <c r="AR60" s="288"/>
      <c r="AS60" s="266">
        <f t="shared" si="21"/>
        <v>0</v>
      </c>
      <c r="AT60" s="287">
        <f t="shared" si="22"/>
        <v>318191.40000000002</v>
      </c>
      <c r="AU60" s="244">
        <v>21.75</v>
      </c>
      <c r="AV60" s="285">
        <f t="shared" si="23"/>
        <v>137242.5</v>
      </c>
      <c r="AW60" s="236">
        <f t="shared" si="104"/>
        <v>7.75</v>
      </c>
      <c r="AX60" s="285">
        <f t="shared" si="24"/>
        <v>48825</v>
      </c>
      <c r="AY60" s="236">
        <f t="shared" si="105"/>
        <v>1.57</v>
      </c>
      <c r="AZ60" s="285">
        <f t="shared" si="25"/>
        <v>8430.9</v>
      </c>
      <c r="BA60" s="241">
        <f t="shared" si="106"/>
        <v>0</v>
      </c>
      <c r="BB60" s="285">
        <f t="shared" si="26"/>
        <v>0</v>
      </c>
      <c r="BC60" s="236">
        <f t="shared" si="107"/>
        <v>1.95</v>
      </c>
      <c r="BD60" s="285">
        <f t="shared" si="27"/>
        <v>12304.5</v>
      </c>
      <c r="BE60" s="236">
        <v>10.75</v>
      </c>
      <c r="BF60" s="285">
        <f t="shared" si="28"/>
        <v>72422.75</v>
      </c>
      <c r="BG60" s="236">
        <v>4.71</v>
      </c>
      <c r="BH60" s="285">
        <f t="shared" si="29"/>
        <v>31731.27</v>
      </c>
      <c r="BI60" s="236">
        <v>2</v>
      </c>
      <c r="BJ60" s="285">
        <f t="shared" si="30"/>
        <v>26426</v>
      </c>
      <c r="BK60" s="236">
        <v>7</v>
      </c>
      <c r="BL60" s="266">
        <f t="shared" si="31"/>
        <v>40299</v>
      </c>
      <c r="BM60" s="288"/>
      <c r="BN60" s="92">
        <f t="shared" si="32"/>
        <v>0</v>
      </c>
      <c r="BO60" s="93">
        <f t="shared" si="33"/>
        <v>377681.92000000004</v>
      </c>
      <c r="BP60" s="223">
        <f t="shared" si="34"/>
        <v>695873.32000000007</v>
      </c>
      <c r="BQ60" s="280">
        <f t="shared" si="35"/>
        <v>671319.99999999988</v>
      </c>
      <c r="BR60" s="34">
        <f t="shared" si="36"/>
        <v>103.27999999999999</v>
      </c>
    </row>
    <row r="61" spans="1:81" ht="19.5" thickBot="1" x14ac:dyDescent="0.35">
      <c r="A61" s="708"/>
      <c r="B61" s="708"/>
      <c r="C61" s="133">
        <v>150</v>
      </c>
      <c r="D61" s="141">
        <f t="shared" si="103"/>
        <v>4</v>
      </c>
      <c r="E61" s="95">
        <f t="shared" si="0"/>
        <v>0</v>
      </c>
      <c r="F61" s="103">
        <v>8</v>
      </c>
      <c r="G61" s="95">
        <f t="shared" si="1"/>
        <v>0</v>
      </c>
      <c r="H61" s="103">
        <v>2</v>
      </c>
      <c r="I61" s="95">
        <f t="shared" si="2"/>
        <v>0</v>
      </c>
      <c r="J61" s="84">
        <f>D61*E61+F61*G61+H61*I61</f>
        <v>0</v>
      </c>
      <c r="K61" s="334" t="str">
        <f t="shared" si="108"/>
        <v>150RDC15KV</v>
      </c>
      <c r="L61" s="248">
        <v>2.5</v>
      </c>
      <c r="M61" s="285">
        <f t="shared" si="5"/>
        <v>17695</v>
      </c>
      <c r="N61" s="241">
        <v>0.25</v>
      </c>
      <c r="O61" s="285">
        <f t="shared" si="6"/>
        <v>1769.5</v>
      </c>
      <c r="P61" s="241">
        <v>0.25</v>
      </c>
      <c r="Q61" s="285">
        <f t="shared" si="7"/>
        <v>1337</v>
      </c>
      <c r="R61" s="241">
        <v>0</v>
      </c>
      <c r="S61" s="285">
        <f t="shared" si="8"/>
        <v>0</v>
      </c>
      <c r="T61" s="241">
        <v>1</v>
      </c>
      <c r="U61" s="266">
        <f t="shared" si="9"/>
        <v>7078</v>
      </c>
      <c r="V61" s="241">
        <v>0.8</v>
      </c>
      <c r="W61" s="266">
        <f t="shared" si="10"/>
        <v>4278.4000000000005</v>
      </c>
      <c r="X61" s="241">
        <v>8</v>
      </c>
      <c r="Y61" s="266">
        <f t="shared" si="11"/>
        <v>57808</v>
      </c>
      <c r="Z61" s="241">
        <v>0.75</v>
      </c>
      <c r="AA61" s="266">
        <f t="shared" si="12"/>
        <v>4235.25</v>
      </c>
      <c r="AB61" s="241">
        <v>1.25</v>
      </c>
      <c r="AC61" s="266">
        <f t="shared" si="13"/>
        <v>8651.25</v>
      </c>
      <c r="AD61" s="236">
        <v>2.25</v>
      </c>
      <c r="AE61" s="266">
        <f t="shared" si="14"/>
        <v>15925.5</v>
      </c>
      <c r="AF61" s="236">
        <v>1.5</v>
      </c>
      <c r="AG61" s="266">
        <f t="shared" si="15"/>
        <v>8022</v>
      </c>
      <c r="AH61" s="236">
        <v>24</v>
      </c>
      <c r="AI61" s="266">
        <f t="shared" si="16"/>
        <v>173424</v>
      </c>
      <c r="AJ61" s="236"/>
      <c r="AK61" s="266">
        <f t="shared" si="17"/>
        <v>0</v>
      </c>
      <c r="AL61" s="236">
        <v>1.5</v>
      </c>
      <c r="AM61" s="266">
        <f t="shared" si="18"/>
        <v>8470.5</v>
      </c>
      <c r="AN61" s="236">
        <v>1.5</v>
      </c>
      <c r="AO61" s="266">
        <f t="shared" si="19"/>
        <v>10381.5</v>
      </c>
      <c r="AP61" s="241">
        <v>1.5</v>
      </c>
      <c r="AQ61" s="266">
        <f t="shared" si="20"/>
        <v>8470.5</v>
      </c>
      <c r="AR61" s="288"/>
      <c r="AS61" s="266">
        <f t="shared" si="21"/>
        <v>0</v>
      </c>
      <c r="AT61" s="287">
        <f t="shared" si="22"/>
        <v>327546.40000000002</v>
      </c>
      <c r="AU61" s="244">
        <v>23.5</v>
      </c>
      <c r="AV61" s="285">
        <f t="shared" si="23"/>
        <v>148285</v>
      </c>
      <c r="AW61" s="236">
        <f t="shared" si="104"/>
        <v>7.98</v>
      </c>
      <c r="AX61" s="285">
        <f t="shared" si="24"/>
        <v>50274</v>
      </c>
      <c r="AY61" s="236">
        <f t="shared" si="105"/>
        <v>1.77</v>
      </c>
      <c r="AZ61" s="285">
        <f t="shared" si="25"/>
        <v>9504.9</v>
      </c>
      <c r="BA61" s="241">
        <f t="shared" si="106"/>
        <v>0</v>
      </c>
      <c r="BB61" s="285">
        <f t="shared" si="26"/>
        <v>0</v>
      </c>
      <c r="BC61" s="236">
        <f t="shared" si="107"/>
        <v>1.95</v>
      </c>
      <c r="BD61" s="285">
        <f t="shared" si="27"/>
        <v>12304.5</v>
      </c>
      <c r="BE61" s="236">
        <v>11.25</v>
      </c>
      <c r="BF61" s="285">
        <f t="shared" si="28"/>
        <v>75791.25</v>
      </c>
      <c r="BG61" s="236">
        <v>5.97</v>
      </c>
      <c r="BH61" s="285">
        <f t="shared" si="29"/>
        <v>40219.89</v>
      </c>
      <c r="BI61" s="236">
        <v>2</v>
      </c>
      <c r="BJ61" s="285">
        <f t="shared" si="30"/>
        <v>26426</v>
      </c>
      <c r="BK61" s="236">
        <v>8</v>
      </c>
      <c r="BL61" s="266">
        <f t="shared" si="31"/>
        <v>46056</v>
      </c>
      <c r="BM61" s="288"/>
      <c r="BN61" s="92">
        <f t="shared" si="32"/>
        <v>0</v>
      </c>
      <c r="BO61" s="93">
        <f t="shared" si="33"/>
        <v>408861.54000000004</v>
      </c>
      <c r="BP61" s="223">
        <f t="shared" si="34"/>
        <v>736407.94000000006</v>
      </c>
      <c r="BQ61" s="280">
        <f t="shared" si="35"/>
        <v>711555</v>
      </c>
      <c r="BR61" s="34">
        <f t="shared" si="36"/>
        <v>109.47</v>
      </c>
    </row>
    <row r="62" spans="1:81" ht="19.5" thickBot="1" x14ac:dyDescent="0.35">
      <c r="A62" s="708"/>
      <c r="B62" s="708"/>
      <c r="C62" s="133">
        <v>225</v>
      </c>
      <c r="D62" s="141">
        <f t="shared" si="103"/>
        <v>4</v>
      </c>
      <c r="E62" s="95">
        <f t="shared" si="0"/>
        <v>0</v>
      </c>
      <c r="F62" s="103">
        <v>8</v>
      </c>
      <c r="G62" s="95">
        <f t="shared" si="1"/>
        <v>0</v>
      </c>
      <c r="H62" s="103">
        <v>2</v>
      </c>
      <c r="I62" s="95">
        <f t="shared" si="2"/>
        <v>0</v>
      </c>
      <c r="J62" s="84">
        <f>D62*E62+F62*G62+H62*I62</f>
        <v>0</v>
      </c>
      <c r="K62" s="334" t="str">
        <f t="shared" si="108"/>
        <v>225RDC15KV</v>
      </c>
      <c r="L62" s="248">
        <v>2.5</v>
      </c>
      <c r="M62" s="285">
        <f t="shared" si="5"/>
        <v>17695</v>
      </c>
      <c r="N62" s="241">
        <v>0.25</v>
      </c>
      <c r="O62" s="285">
        <f t="shared" si="6"/>
        <v>1769.5</v>
      </c>
      <c r="P62" s="241">
        <v>0.25</v>
      </c>
      <c r="Q62" s="285">
        <f t="shared" si="7"/>
        <v>1337</v>
      </c>
      <c r="R62" s="241">
        <v>0</v>
      </c>
      <c r="S62" s="285">
        <f t="shared" si="8"/>
        <v>0</v>
      </c>
      <c r="T62" s="241">
        <v>1</v>
      </c>
      <c r="U62" s="266">
        <f t="shared" si="9"/>
        <v>7078</v>
      </c>
      <c r="V62" s="241">
        <v>1</v>
      </c>
      <c r="W62" s="266">
        <f t="shared" si="10"/>
        <v>5348</v>
      </c>
      <c r="X62" s="241">
        <v>8</v>
      </c>
      <c r="Y62" s="266">
        <f t="shared" si="11"/>
        <v>57808</v>
      </c>
      <c r="Z62" s="241">
        <v>1</v>
      </c>
      <c r="AA62" s="266">
        <f t="shared" si="12"/>
        <v>5647</v>
      </c>
      <c r="AB62" s="241">
        <v>1.25</v>
      </c>
      <c r="AC62" s="266">
        <f t="shared" si="13"/>
        <v>8651.25</v>
      </c>
      <c r="AD62" s="236">
        <v>2.25</v>
      </c>
      <c r="AE62" s="266">
        <f t="shared" si="14"/>
        <v>15925.5</v>
      </c>
      <c r="AF62" s="236">
        <v>1.5</v>
      </c>
      <c r="AG62" s="266">
        <f t="shared" si="15"/>
        <v>8022</v>
      </c>
      <c r="AH62" s="236">
        <v>24</v>
      </c>
      <c r="AI62" s="266">
        <f t="shared" si="16"/>
        <v>173424</v>
      </c>
      <c r="AJ62" s="236"/>
      <c r="AK62" s="266">
        <f t="shared" si="17"/>
        <v>0</v>
      </c>
      <c r="AL62" s="236">
        <v>1.5</v>
      </c>
      <c r="AM62" s="266">
        <f t="shared" si="18"/>
        <v>8470.5</v>
      </c>
      <c r="AN62" s="236">
        <v>1.5</v>
      </c>
      <c r="AO62" s="266">
        <f t="shared" si="19"/>
        <v>10381.5</v>
      </c>
      <c r="AP62" s="241">
        <v>2</v>
      </c>
      <c r="AQ62" s="266">
        <f t="shared" si="20"/>
        <v>8470.5</v>
      </c>
      <c r="AR62" s="288"/>
      <c r="AS62" s="266">
        <f t="shared" si="21"/>
        <v>0</v>
      </c>
      <c r="AT62" s="287">
        <f t="shared" si="22"/>
        <v>330027.75</v>
      </c>
      <c r="AU62" s="244">
        <v>25.25</v>
      </c>
      <c r="AV62" s="285">
        <f t="shared" si="23"/>
        <v>159327.5</v>
      </c>
      <c r="AW62" s="236">
        <f t="shared" si="104"/>
        <v>8.0500000000000007</v>
      </c>
      <c r="AX62" s="285">
        <f t="shared" si="24"/>
        <v>50715.000000000007</v>
      </c>
      <c r="AY62" s="236">
        <f t="shared" si="105"/>
        <v>1.98</v>
      </c>
      <c r="AZ62" s="285">
        <f t="shared" si="25"/>
        <v>10632.6</v>
      </c>
      <c r="BA62" s="241">
        <f t="shared" si="106"/>
        <v>0</v>
      </c>
      <c r="BB62" s="285">
        <f t="shared" si="26"/>
        <v>0</v>
      </c>
      <c r="BC62" s="236">
        <f t="shared" si="107"/>
        <v>1.95</v>
      </c>
      <c r="BD62" s="285">
        <f t="shared" si="27"/>
        <v>12304.5</v>
      </c>
      <c r="BE62" s="236">
        <v>12</v>
      </c>
      <c r="BF62" s="285">
        <f t="shared" si="28"/>
        <v>80844</v>
      </c>
      <c r="BG62" s="236">
        <v>5.14</v>
      </c>
      <c r="BH62" s="285">
        <f t="shared" si="29"/>
        <v>34628.18</v>
      </c>
      <c r="BI62" s="236">
        <v>2</v>
      </c>
      <c r="BJ62" s="285">
        <f t="shared" si="30"/>
        <v>26426</v>
      </c>
      <c r="BK62" s="236">
        <v>8</v>
      </c>
      <c r="BL62" s="266">
        <f t="shared" si="31"/>
        <v>46056</v>
      </c>
      <c r="BM62" s="288"/>
      <c r="BN62" s="92">
        <f t="shared" si="32"/>
        <v>0</v>
      </c>
      <c r="BO62" s="93">
        <f t="shared" si="33"/>
        <v>420933.77999999997</v>
      </c>
      <c r="BP62" s="223">
        <f t="shared" si="34"/>
        <v>750961.53</v>
      </c>
      <c r="BQ62" s="280">
        <f t="shared" si="35"/>
        <v>730405</v>
      </c>
      <c r="BR62" s="34">
        <f t="shared" si="36"/>
        <v>112.37</v>
      </c>
    </row>
    <row r="63" spans="1:81" ht="19.5" thickBot="1" x14ac:dyDescent="0.35">
      <c r="A63" s="708"/>
      <c r="B63" s="708"/>
      <c r="C63" s="133">
        <v>300</v>
      </c>
      <c r="D63" s="141">
        <f t="shared" si="103"/>
        <v>4</v>
      </c>
      <c r="E63" s="95">
        <f t="shared" si="0"/>
        <v>0</v>
      </c>
      <c r="F63" s="103">
        <v>8</v>
      </c>
      <c r="G63" s="95">
        <f t="shared" si="1"/>
        <v>0</v>
      </c>
      <c r="H63" s="103">
        <v>2</v>
      </c>
      <c r="I63" s="95">
        <f t="shared" si="2"/>
        <v>0</v>
      </c>
      <c r="J63" s="84">
        <f>D63*E63+F63*G63+H63*I63</f>
        <v>0</v>
      </c>
      <c r="K63" s="334" t="str">
        <f t="shared" si="108"/>
        <v>300RDC15KV</v>
      </c>
      <c r="L63" s="248">
        <v>2.5</v>
      </c>
      <c r="M63" s="285">
        <f t="shared" si="5"/>
        <v>17695</v>
      </c>
      <c r="N63" s="241">
        <v>0.25</v>
      </c>
      <c r="O63" s="285">
        <f t="shared" si="6"/>
        <v>1769.5</v>
      </c>
      <c r="P63" s="241">
        <v>0.25</v>
      </c>
      <c r="Q63" s="285">
        <f t="shared" si="7"/>
        <v>1337</v>
      </c>
      <c r="R63" s="241">
        <v>0</v>
      </c>
      <c r="S63" s="285">
        <f t="shared" si="8"/>
        <v>0</v>
      </c>
      <c r="T63" s="241">
        <v>1</v>
      </c>
      <c r="U63" s="266">
        <f t="shared" si="9"/>
        <v>7078</v>
      </c>
      <c r="V63" s="241">
        <v>1.25</v>
      </c>
      <c r="W63" s="266">
        <f t="shared" si="10"/>
        <v>6685</v>
      </c>
      <c r="X63" s="241">
        <v>8</v>
      </c>
      <c r="Y63" s="266">
        <f t="shared" si="11"/>
        <v>57808</v>
      </c>
      <c r="Z63" s="241">
        <v>1</v>
      </c>
      <c r="AA63" s="266">
        <f t="shared" si="12"/>
        <v>5647</v>
      </c>
      <c r="AB63" s="241">
        <v>1.25</v>
      </c>
      <c r="AC63" s="266">
        <f t="shared" si="13"/>
        <v>8651.25</v>
      </c>
      <c r="AD63" s="236">
        <v>2.25</v>
      </c>
      <c r="AE63" s="266">
        <f t="shared" si="14"/>
        <v>15925.5</v>
      </c>
      <c r="AF63" s="236">
        <v>2</v>
      </c>
      <c r="AG63" s="266">
        <f t="shared" si="15"/>
        <v>10696</v>
      </c>
      <c r="AH63" s="236">
        <v>24</v>
      </c>
      <c r="AI63" s="266">
        <f t="shared" si="16"/>
        <v>173424</v>
      </c>
      <c r="AJ63" s="236"/>
      <c r="AK63" s="266">
        <f t="shared" si="17"/>
        <v>0</v>
      </c>
      <c r="AL63" s="236">
        <v>1.75</v>
      </c>
      <c r="AM63" s="266">
        <f t="shared" si="18"/>
        <v>9882.25</v>
      </c>
      <c r="AN63" s="236">
        <v>1.75</v>
      </c>
      <c r="AO63" s="266">
        <f t="shared" si="19"/>
        <v>12111.75</v>
      </c>
      <c r="AP63" s="241">
        <v>2</v>
      </c>
      <c r="AQ63" s="266">
        <f t="shared" si="20"/>
        <v>9882.25</v>
      </c>
      <c r="AR63" s="288"/>
      <c r="AS63" s="266">
        <f t="shared" si="21"/>
        <v>0</v>
      </c>
      <c r="AT63" s="287">
        <f t="shared" si="22"/>
        <v>338592.5</v>
      </c>
      <c r="AU63" s="244">
        <v>31.25</v>
      </c>
      <c r="AV63" s="285">
        <f t="shared" si="23"/>
        <v>197187.5</v>
      </c>
      <c r="AW63" s="236">
        <f t="shared" si="104"/>
        <v>10.25</v>
      </c>
      <c r="AX63" s="285">
        <f t="shared" si="24"/>
        <v>64575</v>
      </c>
      <c r="AY63" s="236">
        <f t="shared" si="105"/>
        <v>2.4500000000000002</v>
      </c>
      <c r="AZ63" s="285">
        <f t="shared" si="25"/>
        <v>13156.500000000002</v>
      </c>
      <c r="BA63" s="241">
        <f t="shared" si="106"/>
        <v>0</v>
      </c>
      <c r="BB63" s="285">
        <f t="shared" si="26"/>
        <v>0</v>
      </c>
      <c r="BC63" s="236">
        <f t="shared" si="107"/>
        <v>1.95</v>
      </c>
      <c r="BD63" s="285">
        <f t="shared" si="27"/>
        <v>12304.5</v>
      </c>
      <c r="BE63" s="236">
        <v>13.5</v>
      </c>
      <c r="BF63" s="285">
        <f t="shared" si="28"/>
        <v>90949.5</v>
      </c>
      <c r="BG63" s="236">
        <v>5.47</v>
      </c>
      <c r="BH63" s="285">
        <f t="shared" si="29"/>
        <v>36851.39</v>
      </c>
      <c r="BI63" s="236">
        <v>2</v>
      </c>
      <c r="BJ63" s="285">
        <f t="shared" si="30"/>
        <v>26426</v>
      </c>
      <c r="BK63" s="236">
        <v>8</v>
      </c>
      <c r="BL63" s="266">
        <f t="shared" si="31"/>
        <v>46056</v>
      </c>
      <c r="BM63" s="288"/>
      <c r="BN63" s="92">
        <f t="shared" si="32"/>
        <v>0</v>
      </c>
      <c r="BO63" s="93">
        <f t="shared" si="33"/>
        <v>487506.39</v>
      </c>
      <c r="BP63" s="223">
        <f t="shared" si="34"/>
        <v>826098.89</v>
      </c>
      <c r="BQ63" s="280">
        <f t="shared" si="35"/>
        <v>806780</v>
      </c>
      <c r="BR63" s="34">
        <f t="shared" si="36"/>
        <v>124.12</v>
      </c>
    </row>
    <row r="64" spans="1:81" ht="19.5" thickBot="1" x14ac:dyDescent="0.35">
      <c r="A64" s="708"/>
      <c r="B64" s="708"/>
      <c r="C64" s="133">
        <v>400</v>
      </c>
      <c r="D64" s="141">
        <f t="shared" si="103"/>
        <v>4</v>
      </c>
      <c r="E64" s="95">
        <f t="shared" si="0"/>
        <v>0</v>
      </c>
      <c r="F64" s="103">
        <v>10</v>
      </c>
      <c r="G64" s="95">
        <f t="shared" si="1"/>
        <v>0</v>
      </c>
      <c r="H64" s="104">
        <v>2</v>
      </c>
      <c r="I64" s="95">
        <f t="shared" si="2"/>
        <v>0</v>
      </c>
      <c r="J64" s="84">
        <f t="shared" ref="J64:J76" si="109">D64*E64+F64*G64+H64*I64</f>
        <v>0</v>
      </c>
      <c r="K64" s="334" t="str">
        <f t="shared" si="108"/>
        <v>400RDC15KV</v>
      </c>
      <c r="L64" s="248">
        <v>2.5</v>
      </c>
      <c r="M64" s="285">
        <f t="shared" si="5"/>
        <v>17695</v>
      </c>
      <c r="N64" s="241">
        <v>0.25</v>
      </c>
      <c r="O64" s="285">
        <f t="shared" si="6"/>
        <v>1769.5</v>
      </c>
      <c r="P64" s="241">
        <v>0.5</v>
      </c>
      <c r="Q64" s="285">
        <f t="shared" si="7"/>
        <v>2674</v>
      </c>
      <c r="R64" s="241">
        <v>0</v>
      </c>
      <c r="S64" s="285">
        <f t="shared" si="8"/>
        <v>0</v>
      </c>
      <c r="T64" s="241">
        <v>1.5</v>
      </c>
      <c r="U64" s="266">
        <f t="shared" si="9"/>
        <v>10617</v>
      </c>
      <c r="V64" s="241">
        <v>1.25</v>
      </c>
      <c r="W64" s="266">
        <f t="shared" si="10"/>
        <v>6685</v>
      </c>
      <c r="X64" s="241">
        <v>8</v>
      </c>
      <c r="Y64" s="266">
        <f t="shared" si="11"/>
        <v>57808</v>
      </c>
      <c r="Z64" s="241">
        <v>1</v>
      </c>
      <c r="AA64" s="266">
        <f t="shared" si="12"/>
        <v>5647</v>
      </c>
      <c r="AB64" s="241">
        <v>1.33</v>
      </c>
      <c r="AC64" s="266">
        <f t="shared" si="13"/>
        <v>9204.93</v>
      </c>
      <c r="AD64" s="236">
        <v>2.25</v>
      </c>
      <c r="AE64" s="266">
        <f t="shared" si="14"/>
        <v>15925.5</v>
      </c>
      <c r="AF64" s="236">
        <v>2</v>
      </c>
      <c r="AG64" s="266">
        <f t="shared" si="15"/>
        <v>10696</v>
      </c>
      <c r="AH64" s="236">
        <v>26</v>
      </c>
      <c r="AI64" s="266">
        <f t="shared" si="16"/>
        <v>187876</v>
      </c>
      <c r="AJ64" s="236"/>
      <c r="AK64" s="266">
        <f t="shared" si="17"/>
        <v>0</v>
      </c>
      <c r="AL64" s="236">
        <v>1.75</v>
      </c>
      <c r="AM64" s="266">
        <f t="shared" si="18"/>
        <v>9882.25</v>
      </c>
      <c r="AN64" s="236">
        <v>1.75</v>
      </c>
      <c r="AO64" s="266">
        <f t="shared" si="19"/>
        <v>12111.75</v>
      </c>
      <c r="AP64" s="236">
        <v>2.25</v>
      </c>
      <c r="AQ64" s="266">
        <f t="shared" si="20"/>
        <v>9882.25</v>
      </c>
      <c r="AR64" s="288"/>
      <c r="AS64" s="266">
        <f t="shared" si="21"/>
        <v>0</v>
      </c>
      <c r="AT64" s="287">
        <f t="shared" si="22"/>
        <v>358474.18</v>
      </c>
      <c r="AU64" s="244">
        <v>33.5</v>
      </c>
      <c r="AV64" s="285">
        <f t="shared" si="23"/>
        <v>211385</v>
      </c>
      <c r="AW64" s="236">
        <f t="shared" si="104"/>
        <v>10.75</v>
      </c>
      <c r="AX64" s="285">
        <f t="shared" si="24"/>
        <v>67725</v>
      </c>
      <c r="AY64" s="236">
        <f t="shared" si="105"/>
        <v>2.48</v>
      </c>
      <c r="AZ64" s="285">
        <f t="shared" si="25"/>
        <v>13317.6</v>
      </c>
      <c r="BA64" s="241">
        <f t="shared" si="106"/>
        <v>0</v>
      </c>
      <c r="BB64" s="285">
        <f t="shared" si="26"/>
        <v>0</v>
      </c>
      <c r="BC64" s="236">
        <f t="shared" si="107"/>
        <v>1.95</v>
      </c>
      <c r="BD64" s="285">
        <f t="shared" si="27"/>
        <v>12304.5</v>
      </c>
      <c r="BE64" s="236">
        <v>14.25</v>
      </c>
      <c r="BF64" s="285">
        <f t="shared" si="28"/>
        <v>96002.25</v>
      </c>
      <c r="BG64" s="236">
        <v>5.75</v>
      </c>
      <c r="BH64" s="285">
        <f t="shared" si="29"/>
        <v>38737.75</v>
      </c>
      <c r="BI64" s="236">
        <v>2</v>
      </c>
      <c r="BJ64" s="285">
        <f t="shared" si="30"/>
        <v>26426</v>
      </c>
      <c r="BK64" s="236">
        <v>8</v>
      </c>
      <c r="BL64" s="266">
        <f t="shared" si="31"/>
        <v>46056</v>
      </c>
      <c r="BM64" s="288"/>
      <c r="BN64" s="92">
        <f t="shared" si="32"/>
        <v>0</v>
      </c>
      <c r="BO64" s="93">
        <f t="shared" si="33"/>
        <v>511954.1</v>
      </c>
      <c r="BP64" s="223">
        <f t="shared" si="34"/>
        <v>870428.28</v>
      </c>
      <c r="BQ64" s="280">
        <f t="shared" si="35"/>
        <v>851564.99999999988</v>
      </c>
      <c r="BR64" s="34">
        <f t="shared" si="36"/>
        <v>131.01</v>
      </c>
    </row>
    <row r="65" spans="1:82" ht="19.5" thickBot="1" x14ac:dyDescent="0.35">
      <c r="A65" s="708"/>
      <c r="B65" s="708"/>
      <c r="C65" s="133">
        <v>500</v>
      </c>
      <c r="D65" s="141">
        <f t="shared" si="103"/>
        <v>4</v>
      </c>
      <c r="E65" s="95">
        <f t="shared" si="0"/>
        <v>0</v>
      </c>
      <c r="F65" s="103">
        <v>10</v>
      </c>
      <c r="G65" s="95">
        <f t="shared" si="1"/>
        <v>0</v>
      </c>
      <c r="H65" s="104">
        <v>2</v>
      </c>
      <c r="I65" s="95">
        <f t="shared" si="2"/>
        <v>0</v>
      </c>
      <c r="J65" s="84">
        <f t="shared" si="109"/>
        <v>0</v>
      </c>
      <c r="K65" s="334" t="str">
        <f t="shared" si="108"/>
        <v>500RDC15KV</v>
      </c>
      <c r="L65" s="248">
        <v>2.5</v>
      </c>
      <c r="M65" s="285">
        <f t="shared" si="5"/>
        <v>17695</v>
      </c>
      <c r="N65" s="241">
        <v>0.25</v>
      </c>
      <c r="O65" s="285">
        <f t="shared" si="6"/>
        <v>1769.5</v>
      </c>
      <c r="P65" s="241">
        <v>0.5</v>
      </c>
      <c r="Q65" s="285">
        <f t="shared" si="7"/>
        <v>2674</v>
      </c>
      <c r="R65" s="241">
        <v>0</v>
      </c>
      <c r="S65" s="285">
        <f t="shared" si="8"/>
        <v>0</v>
      </c>
      <c r="T65" s="241">
        <v>1.5</v>
      </c>
      <c r="U65" s="266">
        <f t="shared" si="9"/>
        <v>10617</v>
      </c>
      <c r="V65" s="241">
        <v>1.25</v>
      </c>
      <c r="W65" s="266">
        <f t="shared" si="10"/>
        <v>6685</v>
      </c>
      <c r="X65" s="241">
        <v>8</v>
      </c>
      <c r="Y65" s="266">
        <f t="shared" si="11"/>
        <v>57808</v>
      </c>
      <c r="Z65" s="241">
        <v>1</v>
      </c>
      <c r="AA65" s="266">
        <f t="shared" si="12"/>
        <v>5647</v>
      </c>
      <c r="AB65" s="241">
        <v>1.33</v>
      </c>
      <c r="AC65" s="266">
        <f t="shared" si="13"/>
        <v>9204.93</v>
      </c>
      <c r="AD65" s="236">
        <v>2.75</v>
      </c>
      <c r="AE65" s="266">
        <f t="shared" si="14"/>
        <v>19464.5</v>
      </c>
      <c r="AF65" s="236">
        <v>2</v>
      </c>
      <c r="AG65" s="266">
        <f t="shared" si="15"/>
        <v>10696</v>
      </c>
      <c r="AH65" s="236">
        <v>28</v>
      </c>
      <c r="AI65" s="266">
        <f t="shared" si="16"/>
        <v>202328</v>
      </c>
      <c r="AJ65" s="236"/>
      <c r="AK65" s="266">
        <f t="shared" si="17"/>
        <v>0</v>
      </c>
      <c r="AL65" s="236">
        <v>1.75</v>
      </c>
      <c r="AM65" s="266">
        <f t="shared" si="18"/>
        <v>9882.25</v>
      </c>
      <c r="AN65" s="236">
        <v>2</v>
      </c>
      <c r="AO65" s="266">
        <f t="shared" si="19"/>
        <v>13842</v>
      </c>
      <c r="AP65" s="236">
        <v>2.25</v>
      </c>
      <c r="AQ65" s="266">
        <f t="shared" si="20"/>
        <v>11294</v>
      </c>
      <c r="AR65" s="288"/>
      <c r="AS65" s="266">
        <f t="shared" si="21"/>
        <v>0</v>
      </c>
      <c r="AT65" s="287">
        <f t="shared" si="22"/>
        <v>379607.18</v>
      </c>
      <c r="AU65" s="244">
        <v>38.450000000000003</v>
      </c>
      <c r="AV65" s="285">
        <f t="shared" si="23"/>
        <v>242619.50000000003</v>
      </c>
      <c r="AW65" s="236">
        <f t="shared" si="104"/>
        <v>11.73</v>
      </c>
      <c r="AX65" s="285">
        <f t="shared" si="24"/>
        <v>73899</v>
      </c>
      <c r="AY65" s="236">
        <f t="shared" si="105"/>
        <v>2.72</v>
      </c>
      <c r="AZ65" s="285">
        <f t="shared" si="25"/>
        <v>14606.400000000001</v>
      </c>
      <c r="BA65" s="241">
        <f t="shared" si="106"/>
        <v>0</v>
      </c>
      <c r="BB65" s="285">
        <f t="shared" si="26"/>
        <v>0</v>
      </c>
      <c r="BC65" s="236">
        <f t="shared" si="107"/>
        <v>1.95</v>
      </c>
      <c r="BD65" s="285">
        <f t="shared" si="27"/>
        <v>12304.5</v>
      </c>
      <c r="BE65" s="236">
        <v>14.75</v>
      </c>
      <c r="BF65" s="285">
        <f t="shared" si="28"/>
        <v>99370.75</v>
      </c>
      <c r="BG65" s="236">
        <v>6.05</v>
      </c>
      <c r="BH65" s="285">
        <f t="shared" si="29"/>
        <v>40758.85</v>
      </c>
      <c r="BI65" s="236">
        <v>2</v>
      </c>
      <c r="BJ65" s="285">
        <f t="shared" si="30"/>
        <v>26426</v>
      </c>
      <c r="BK65" s="236">
        <v>8</v>
      </c>
      <c r="BL65" s="266">
        <f t="shared" si="31"/>
        <v>46056</v>
      </c>
      <c r="BM65" s="288"/>
      <c r="BN65" s="92">
        <f t="shared" si="32"/>
        <v>0</v>
      </c>
      <c r="BO65" s="93">
        <f t="shared" si="33"/>
        <v>556041</v>
      </c>
      <c r="BP65" s="223">
        <f t="shared" si="34"/>
        <v>935648.17999999993</v>
      </c>
      <c r="BQ65" s="280">
        <f t="shared" si="35"/>
        <v>914745.00000000012</v>
      </c>
      <c r="BR65" s="34">
        <f t="shared" si="36"/>
        <v>140.73000000000002</v>
      </c>
    </row>
    <row r="66" spans="1:82" ht="19.5" thickBot="1" x14ac:dyDescent="0.35">
      <c r="A66" s="708"/>
      <c r="B66" s="708"/>
      <c r="C66" s="133">
        <v>630</v>
      </c>
      <c r="D66" s="141">
        <f t="shared" si="103"/>
        <v>6</v>
      </c>
      <c r="E66" s="95">
        <f t="shared" si="0"/>
        <v>0</v>
      </c>
      <c r="F66" s="103">
        <v>10</v>
      </c>
      <c r="G66" s="95">
        <f t="shared" si="1"/>
        <v>0</v>
      </c>
      <c r="H66" s="104">
        <v>2</v>
      </c>
      <c r="I66" s="95">
        <f t="shared" si="2"/>
        <v>0</v>
      </c>
      <c r="J66" s="84">
        <f t="shared" si="109"/>
        <v>0</v>
      </c>
      <c r="K66" s="334" t="str">
        <f t="shared" si="108"/>
        <v>630RDC15KV</v>
      </c>
      <c r="L66" s="248">
        <v>2.5</v>
      </c>
      <c r="M66" s="285">
        <f t="shared" si="5"/>
        <v>17695</v>
      </c>
      <c r="N66" s="241">
        <v>0.25</v>
      </c>
      <c r="O66" s="285">
        <f t="shared" si="6"/>
        <v>1769.5</v>
      </c>
      <c r="P66" s="241">
        <v>0.5</v>
      </c>
      <c r="Q66" s="285">
        <f t="shared" si="7"/>
        <v>2674</v>
      </c>
      <c r="R66" s="241">
        <v>1.5</v>
      </c>
      <c r="S66" s="285">
        <f t="shared" si="8"/>
        <v>10839</v>
      </c>
      <c r="T66" s="241">
        <v>1.5</v>
      </c>
      <c r="U66" s="266">
        <f t="shared" si="9"/>
        <v>10617</v>
      </c>
      <c r="V66" s="241">
        <v>1.25</v>
      </c>
      <c r="W66" s="266">
        <f t="shared" si="10"/>
        <v>6685</v>
      </c>
      <c r="X66" s="241">
        <v>9</v>
      </c>
      <c r="Y66" s="266">
        <f t="shared" si="11"/>
        <v>65034</v>
      </c>
      <c r="Z66" s="241">
        <v>1</v>
      </c>
      <c r="AA66" s="266">
        <f t="shared" si="12"/>
        <v>5647</v>
      </c>
      <c r="AB66" s="241">
        <v>1.33</v>
      </c>
      <c r="AC66" s="266">
        <f t="shared" si="13"/>
        <v>9204.93</v>
      </c>
      <c r="AD66" s="236">
        <v>2.75</v>
      </c>
      <c r="AE66" s="266">
        <f t="shared" si="14"/>
        <v>19464.5</v>
      </c>
      <c r="AF66" s="236">
        <v>3</v>
      </c>
      <c r="AG66" s="266">
        <f t="shared" si="15"/>
        <v>16044</v>
      </c>
      <c r="AH66" s="236">
        <v>30</v>
      </c>
      <c r="AI66" s="266">
        <f t="shared" si="16"/>
        <v>216780</v>
      </c>
      <c r="AJ66" s="236"/>
      <c r="AK66" s="266">
        <f t="shared" si="17"/>
        <v>0</v>
      </c>
      <c r="AL66" s="236">
        <v>2</v>
      </c>
      <c r="AM66" s="266">
        <f t="shared" si="18"/>
        <v>11294</v>
      </c>
      <c r="AN66" s="236">
        <v>2</v>
      </c>
      <c r="AO66" s="266">
        <f t="shared" si="19"/>
        <v>13842</v>
      </c>
      <c r="AP66" s="236">
        <v>2.5</v>
      </c>
      <c r="AQ66" s="266">
        <f t="shared" si="20"/>
        <v>11294</v>
      </c>
      <c r="AR66" s="288"/>
      <c r="AS66" s="266">
        <f t="shared" si="21"/>
        <v>0</v>
      </c>
      <c r="AT66" s="287">
        <f t="shared" si="22"/>
        <v>418883.93</v>
      </c>
      <c r="AU66" s="244">
        <v>43.75</v>
      </c>
      <c r="AV66" s="285">
        <f t="shared" si="23"/>
        <v>276062.5</v>
      </c>
      <c r="AW66" s="236">
        <f t="shared" si="104"/>
        <v>13.45</v>
      </c>
      <c r="AX66" s="285">
        <f t="shared" si="24"/>
        <v>84735</v>
      </c>
      <c r="AY66" s="236">
        <f t="shared" si="105"/>
        <v>2.93</v>
      </c>
      <c r="AZ66" s="285">
        <f t="shared" si="25"/>
        <v>15734.1</v>
      </c>
      <c r="BA66" s="241">
        <f t="shared" si="106"/>
        <v>0</v>
      </c>
      <c r="BB66" s="285">
        <f t="shared" si="26"/>
        <v>0</v>
      </c>
      <c r="BC66" s="236">
        <f t="shared" si="107"/>
        <v>1.95</v>
      </c>
      <c r="BD66" s="285">
        <f t="shared" si="27"/>
        <v>12304.5</v>
      </c>
      <c r="BE66" s="236">
        <v>16.25</v>
      </c>
      <c r="BF66" s="285">
        <f t="shared" si="28"/>
        <v>109476.25</v>
      </c>
      <c r="BG66" s="236">
        <v>6.98</v>
      </c>
      <c r="BH66" s="285">
        <f t="shared" si="29"/>
        <v>47024.26</v>
      </c>
      <c r="BI66" s="236">
        <v>2.75</v>
      </c>
      <c r="BJ66" s="285">
        <f t="shared" si="30"/>
        <v>36335.75</v>
      </c>
      <c r="BK66" s="236">
        <v>8</v>
      </c>
      <c r="BL66" s="266">
        <f t="shared" si="31"/>
        <v>46056</v>
      </c>
      <c r="BM66" s="288"/>
      <c r="BN66" s="92">
        <f t="shared" si="32"/>
        <v>0</v>
      </c>
      <c r="BO66" s="93">
        <f t="shared" si="33"/>
        <v>627728.36</v>
      </c>
      <c r="BP66" s="223">
        <f t="shared" si="34"/>
        <v>1046612.29</v>
      </c>
      <c r="BQ66" s="280">
        <f t="shared" si="35"/>
        <v>1021410.0000000001</v>
      </c>
      <c r="BR66" s="34">
        <f t="shared" si="36"/>
        <v>157.14000000000001</v>
      </c>
    </row>
    <row r="67" spans="1:82" ht="19.5" thickBot="1" x14ac:dyDescent="0.35">
      <c r="A67" s="708"/>
      <c r="B67" s="708"/>
      <c r="C67" s="133">
        <v>750</v>
      </c>
      <c r="D67" s="141">
        <f t="shared" si="103"/>
        <v>6</v>
      </c>
      <c r="E67" s="95">
        <f t="shared" si="0"/>
        <v>0</v>
      </c>
      <c r="F67" s="103">
        <v>10</v>
      </c>
      <c r="G67" s="95">
        <f t="shared" si="1"/>
        <v>0</v>
      </c>
      <c r="H67" s="104">
        <v>2</v>
      </c>
      <c r="I67" s="95">
        <f t="shared" si="2"/>
        <v>0</v>
      </c>
      <c r="J67" s="84">
        <f t="shared" ref="J67" si="110">D67*E67+F67*G67+H67*I67</f>
        <v>0</v>
      </c>
      <c r="K67" s="334" t="str">
        <f t="shared" ref="K67" si="111">C67&amp;$B$56&amp;$A$56</f>
        <v>750RDC15KV</v>
      </c>
      <c r="L67" s="248"/>
      <c r="M67" s="285">
        <f t="shared" ref="M67" si="112">$M$5*L67</f>
        <v>0</v>
      </c>
      <c r="N67" s="241"/>
      <c r="O67" s="285">
        <f t="shared" ref="O67" si="113">$O$5*N67</f>
        <v>0</v>
      </c>
      <c r="P67" s="241"/>
      <c r="Q67" s="285">
        <f t="shared" ref="Q67" si="114">$Q$5*P67</f>
        <v>0</v>
      </c>
      <c r="R67" s="241"/>
      <c r="S67" s="285">
        <f t="shared" ref="S67" si="115">$S$5*R67</f>
        <v>0</v>
      </c>
      <c r="T67" s="241"/>
      <c r="U67" s="266">
        <f t="shared" ref="U67" si="116">$U$5*T67</f>
        <v>0</v>
      </c>
      <c r="V67" s="241"/>
      <c r="W67" s="266">
        <f t="shared" ref="W67" si="117">$W$5*V67</f>
        <v>0</v>
      </c>
      <c r="X67" s="241"/>
      <c r="Y67" s="266">
        <f t="shared" ref="Y67" si="118">$Y$5*X67</f>
        <v>0</v>
      </c>
      <c r="Z67" s="241"/>
      <c r="AA67" s="266">
        <f t="shared" ref="AA67" si="119">$AA$5*Z67</f>
        <v>0</v>
      </c>
      <c r="AB67" s="241"/>
      <c r="AC67" s="266">
        <f t="shared" ref="AC67" si="120">$AC$5*AB67</f>
        <v>0</v>
      </c>
      <c r="AD67" s="236"/>
      <c r="AE67" s="266">
        <f t="shared" ref="AE67" si="121">$AE$5*AD67</f>
        <v>0</v>
      </c>
      <c r="AF67" s="236"/>
      <c r="AG67" s="266">
        <f t="shared" ref="AG67" si="122">$AG$5*AF67</f>
        <v>0</v>
      </c>
      <c r="AH67" s="236"/>
      <c r="AI67" s="266">
        <f t="shared" ref="AI67" si="123">$AI$5*AH67</f>
        <v>0</v>
      </c>
      <c r="AJ67" s="236"/>
      <c r="AK67" s="266">
        <f t="shared" ref="AK67" si="124">$AK$5*AJ67</f>
        <v>0</v>
      </c>
      <c r="AL67" s="236"/>
      <c r="AM67" s="266">
        <f t="shared" ref="AM67" si="125">$AM$5*AL67</f>
        <v>0</v>
      </c>
      <c r="AN67" s="236"/>
      <c r="AO67" s="266">
        <f t="shared" ref="AO67" si="126">$AO$5*AN67</f>
        <v>0</v>
      </c>
      <c r="AP67" s="236"/>
      <c r="AQ67" s="266">
        <f t="shared" ref="AQ67" si="127">$AQ$5*AN67</f>
        <v>0</v>
      </c>
      <c r="AR67" s="288"/>
      <c r="AS67" s="266">
        <f t="shared" ref="AS67" si="128">$AS$5*AR67</f>
        <v>0</v>
      </c>
      <c r="AT67" s="287">
        <f t="shared" ref="AT67" si="129">+M67+O67+Q67+S67+U67+W67+Y67+AA67+AC67+AE67+AG67+AI67+AK67+AM67+AO67+AQ67+AS67</f>
        <v>0</v>
      </c>
      <c r="AU67" s="244"/>
      <c r="AV67" s="285">
        <f t="shared" ref="AV67" si="130">$AV$5*AU67</f>
        <v>0</v>
      </c>
      <c r="AW67" s="236"/>
      <c r="AX67" s="285">
        <f t="shared" ref="AX67" si="131">$AX$5*AW67</f>
        <v>0</v>
      </c>
      <c r="AY67" s="236"/>
      <c r="AZ67" s="285">
        <f t="shared" ref="AZ67" si="132">$AZ$5*AY67</f>
        <v>0</v>
      </c>
      <c r="BA67" s="241"/>
      <c r="BB67" s="285">
        <f t="shared" ref="BB67" si="133">$BB$5*BA67</f>
        <v>0</v>
      </c>
      <c r="BC67" s="236"/>
      <c r="BD67" s="285">
        <f t="shared" ref="BD67" si="134">$BD$5*BC67</f>
        <v>0</v>
      </c>
      <c r="BE67" s="236"/>
      <c r="BF67" s="285">
        <f t="shared" ref="BF67" si="135">$BF$5*BE67</f>
        <v>0</v>
      </c>
      <c r="BG67" s="236"/>
      <c r="BH67" s="285">
        <f t="shared" ref="BH67" si="136">$BH$5*BG67</f>
        <v>0</v>
      </c>
      <c r="BI67" s="236"/>
      <c r="BJ67" s="285">
        <f t="shared" ref="BJ67" si="137">$BJ$5*BI67</f>
        <v>0</v>
      </c>
      <c r="BK67" s="236"/>
      <c r="BL67" s="266">
        <f t="shared" ref="BL67" si="138">$BL$5*BK67</f>
        <v>0</v>
      </c>
      <c r="BM67" s="288"/>
      <c r="BN67" s="92">
        <f t="shared" ref="BN67" si="139">+$BN$5*BM67</f>
        <v>0</v>
      </c>
      <c r="BO67" s="93">
        <f t="shared" ref="BO67" si="140">+AV67+AX67+AZ67+BB67+BD67+BF67+BH67+BJ67+BL67+BN67</f>
        <v>0</v>
      </c>
      <c r="BP67" s="223">
        <f t="shared" ref="BP67" si="141">AT67+BO67</f>
        <v>0</v>
      </c>
      <c r="BQ67" s="280">
        <f t="shared" ref="BQ67" si="142">+$BQ$1*BR67</f>
        <v>0</v>
      </c>
      <c r="BR67" s="34">
        <f t="shared" ref="BR67" si="143">+L67+N67+P67+R67+T67+V67+X67+Z67+AB67+AD67+AF67+AH67+AJ67+AL67+AN67+AP67+AR67+AU67+AW67+AY67+BA67+BC67+BE67+BG67+BI67+BK67+BM67</f>
        <v>0</v>
      </c>
      <c r="CB67" s="277">
        <v>42745.504745370374</v>
      </c>
      <c r="CC67" s="276" t="s">
        <v>115</v>
      </c>
    </row>
    <row r="68" spans="1:82" ht="19.5" thickBot="1" x14ac:dyDescent="0.35">
      <c r="A68" s="708"/>
      <c r="B68" s="708"/>
      <c r="C68" s="133">
        <v>800</v>
      </c>
      <c r="D68" s="141">
        <f t="shared" si="103"/>
        <v>6</v>
      </c>
      <c r="E68" s="95">
        <f t="shared" si="0"/>
        <v>0</v>
      </c>
      <c r="F68" s="103">
        <v>10</v>
      </c>
      <c r="G68" s="95">
        <f t="shared" si="1"/>
        <v>0</v>
      </c>
      <c r="H68" s="104">
        <v>2</v>
      </c>
      <c r="I68" s="95">
        <f t="shared" si="2"/>
        <v>0</v>
      </c>
      <c r="J68" s="84">
        <f t="shared" si="109"/>
        <v>0</v>
      </c>
      <c r="K68" s="334" t="str">
        <f t="shared" si="108"/>
        <v>800RDC15KV</v>
      </c>
      <c r="L68" s="248">
        <v>2.5</v>
      </c>
      <c r="M68" s="285">
        <f t="shared" si="5"/>
        <v>17695</v>
      </c>
      <c r="N68" s="241">
        <v>0.25</v>
      </c>
      <c r="O68" s="285">
        <f t="shared" si="6"/>
        <v>1769.5</v>
      </c>
      <c r="P68" s="241">
        <v>0.5</v>
      </c>
      <c r="Q68" s="285">
        <f t="shared" si="7"/>
        <v>2674</v>
      </c>
      <c r="R68" s="241">
        <v>1.5</v>
      </c>
      <c r="S68" s="285">
        <f t="shared" si="8"/>
        <v>10839</v>
      </c>
      <c r="T68" s="241">
        <v>1.5</v>
      </c>
      <c r="U68" s="266">
        <f t="shared" si="9"/>
        <v>10617</v>
      </c>
      <c r="V68" s="241">
        <v>1.25</v>
      </c>
      <c r="W68" s="266">
        <f t="shared" si="10"/>
        <v>6685</v>
      </c>
      <c r="X68" s="241">
        <v>9</v>
      </c>
      <c r="Y68" s="266">
        <f t="shared" si="11"/>
        <v>65034</v>
      </c>
      <c r="Z68" s="241">
        <v>1.25</v>
      </c>
      <c r="AA68" s="266">
        <f t="shared" si="12"/>
        <v>7058.75</v>
      </c>
      <c r="AB68" s="241">
        <v>1.33</v>
      </c>
      <c r="AC68" s="266">
        <f t="shared" si="13"/>
        <v>9204.93</v>
      </c>
      <c r="AD68" s="236">
        <v>3</v>
      </c>
      <c r="AE68" s="266">
        <f t="shared" si="14"/>
        <v>21234</v>
      </c>
      <c r="AF68" s="236">
        <v>3</v>
      </c>
      <c r="AG68" s="266">
        <f t="shared" si="15"/>
        <v>16044</v>
      </c>
      <c r="AH68" s="236">
        <v>30</v>
      </c>
      <c r="AI68" s="266">
        <f t="shared" si="16"/>
        <v>216780</v>
      </c>
      <c r="AJ68" s="236"/>
      <c r="AK68" s="266">
        <f t="shared" si="17"/>
        <v>0</v>
      </c>
      <c r="AL68" s="236">
        <v>2</v>
      </c>
      <c r="AM68" s="266">
        <f t="shared" si="18"/>
        <v>11294</v>
      </c>
      <c r="AN68" s="236">
        <v>2</v>
      </c>
      <c r="AO68" s="266">
        <f t="shared" si="19"/>
        <v>13842</v>
      </c>
      <c r="AP68" s="236">
        <v>2.5</v>
      </c>
      <c r="AQ68" s="266">
        <f t="shared" si="20"/>
        <v>11294</v>
      </c>
      <c r="AR68" s="288"/>
      <c r="AS68" s="266">
        <f t="shared" si="21"/>
        <v>0</v>
      </c>
      <c r="AT68" s="287">
        <f t="shared" si="22"/>
        <v>422065.18</v>
      </c>
      <c r="AU68" s="244">
        <v>49.25</v>
      </c>
      <c r="AV68" s="285">
        <f t="shared" si="23"/>
        <v>310767.5</v>
      </c>
      <c r="AW68" s="236">
        <f>AW34</f>
        <v>14.35</v>
      </c>
      <c r="AX68" s="285">
        <f t="shared" si="24"/>
        <v>90405</v>
      </c>
      <c r="AY68" s="236">
        <f>AY34</f>
        <v>3.18</v>
      </c>
      <c r="AZ68" s="285">
        <f t="shared" si="25"/>
        <v>17076.600000000002</v>
      </c>
      <c r="BA68" s="241">
        <f>BA34</f>
        <v>0</v>
      </c>
      <c r="BB68" s="285">
        <f t="shared" si="26"/>
        <v>0</v>
      </c>
      <c r="BC68" s="236">
        <f>BC34</f>
        <v>1.95</v>
      </c>
      <c r="BD68" s="285">
        <f t="shared" si="27"/>
        <v>12304.5</v>
      </c>
      <c r="BE68" s="236">
        <v>17.5</v>
      </c>
      <c r="BF68" s="285">
        <f t="shared" si="28"/>
        <v>117897.5</v>
      </c>
      <c r="BG68" s="236">
        <v>7.25</v>
      </c>
      <c r="BH68" s="285">
        <f t="shared" si="29"/>
        <v>48843.25</v>
      </c>
      <c r="BI68" s="236">
        <v>2.75</v>
      </c>
      <c r="BJ68" s="285">
        <f t="shared" si="30"/>
        <v>36335.75</v>
      </c>
      <c r="BK68" s="236">
        <v>8</v>
      </c>
      <c r="BL68" s="266">
        <f t="shared" si="31"/>
        <v>46056</v>
      </c>
      <c r="BM68" s="288"/>
      <c r="BN68" s="92">
        <f t="shared" si="32"/>
        <v>0</v>
      </c>
      <c r="BO68" s="93">
        <f t="shared" si="33"/>
        <v>679686.1</v>
      </c>
      <c r="BP68" s="223">
        <f t="shared" si="34"/>
        <v>1101751.28</v>
      </c>
      <c r="BQ68" s="280">
        <f t="shared" si="35"/>
        <v>1077764.9999999998</v>
      </c>
      <c r="BR68" s="34">
        <f t="shared" si="36"/>
        <v>165.80999999999997</v>
      </c>
    </row>
    <row r="69" spans="1:82" ht="19.5" thickBot="1" x14ac:dyDescent="0.35">
      <c r="A69" s="708"/>
      <c r="B69" s="708"/>
      <c r="C69" s="143">
        <v>1000</v>
      </c>
      <c r="D69" s="141">
        <f t="shared" si="103"/>
        <v>8</v>
      </c>
      <c r="E69" s="95">
        <f t="shared" si="0"/>
        <v>0</v>
      </c>
      <c r="F69" s="103">
        <v>12</v>
      </c>
      <c r="G69" s="95">
        <f t="shared" si="1"/>
        <v>0</v>
      </c>
      <c r="H69" s="104">
        <v>2</v>
      </c>
      <c r="I69" s="95">
        <f t="shared" si="2"/>
        <v>0</v>
      </c>
      <c r="J69" s="84">
        <f t="shared" si="109"/>
        <v>0</v>
      </c>
      <c r="K69" s="334" t="str">
        <f t="shared" si="108"/>
        <v>1000RDC15KV</v>
      </c>
      <c r="L69" s="248">
        <v>2.5</v>
      </c>
      <c r="M69" s="285">
        <f t="shared" si="5"/>
        <v>17695</v>
      </c>
      <c r="N69" s="241">
        <v>0.35</v>
      </c>
      <c r="O69" s="285">
        <f t="shared" si="6"/>
        <v>2477.2999999999997</v>
      </c>
      <c r="P69" s="241">
        <v>0.5</v>
      </c>
      <c r="Q69" s="285">
        <f t="shared" si="7"/>
        <v>2674</v>
      </c>
      <c r="R69" s="241">
        <v>1.5</v>
      </c>
      <c r="S69" s="285">
        <f t="shared" si="8"/>
        <v>10839</v>
      </c>
      <c r="T69" s="241">
        <v>1.5</v>
      </c>
      <c r="U69" s="266">
        <f t="shared" si="9"/>
        <v>10617</v>
      </c>
      <c r="V69" s="241">
        <v>1.25</v>
      </c>
      <c r="W69" s="266">
        <f t="shared" si="10"/>
        <v>6685</v>
      </c>
      <c r="X69" s="241">
        <v>9</v>
      </c>
      <c r="Y69" s="266">
        <f t="shared" si="11"/>
        <v>65034</v>
      </c>
      <c r="Z69" s="241">
        <v>1.25</v>
      </c>
      <c r="AA69" s="266">
        <f t="shared" si="12"/>
        <v>7058.75</v>
      </c>
      <c r="AB69" s="241">
        <v>1.5</v>
      </c>
      <c r="AC69" s="266">
        <f t="shared" si="13"/>
        <v>10381.5</v>
      </c>
      <c r="AD69" s="236">
        <v>7</v>
      </c>
      <c r="AE69" s="266">
        <f t="shared" si="14"/>
        <v>49546</v>
      </c>
      <c r="AF69" s="236">
        <v>3</v>
      </c>
      <c r="AG69" s="266">
        <f t="shared" si="15"/>
        <v>16044</v>
      </c>
      <c r="AH69" s="236">
        <v>32</v>
      </c>
      <c r="AI69" s="266">
        <f t="shared" si="16"/>
        <v>231232</v>
      </c>
      <c r="AJ69" s="236"/>
      <c r="AK69" s="266">
        <f t="shared" si="17"/>
        <v>0</v>
      </c>
      <c r="AL69" s="236">
        <v>2.25</v>
      </c>
      <c r="AM69" s="266">
        <f t="shared" si="18"/>
        <v>12705.75</v>
      </c>
      <c r="AN69" s="236">
        <v>2.5</v>
      </c>
      <c r="AO69" s="266">
        <f t="shared" si="19"/>
        <v>17302.5</v>
      </c>
      <c r="AP69" s="236">
        <v>3</v>
      </c>
      <c r="AQ69" s="266">
        <f t="shared" si="20"/>
        <v>14117.5</v>
      </c>
      <c r="AR69" s="288"/>
      <c r="AS69" s="266">
        <f t="shared" si="21"/>
        <v>0</v>
      </c>
      <c r="AT69" s="287">
        <f t="shared" si="22"/>
        <v>474409.3</v>
      </c>
      <c r="AU69" s="244">
        <v>55.8</v>
      </c>
      <c r="AV69" s="285">
        <f t="shared" si="23"/>
        <v>352098</v>
      </c>
      <c r="AW69" s="236">
        <f>AW35</f>
        <v>15.85</v>
      </c>
      <c r="AX69" s="285">
        <f t="shared" si="24"/>
        <v>99855</v>
      </c>
      <c r="AY69" s="236">
        <f>AY35</f>
        <v>3.55</v>
      </c>
      <c r="AZ69" s="285">
        <f t="shared" si="25"/>
        <v>19063.5</v>
      </c>
      <c r="BA69" s="241">
        <f>BA35</f>
        <v>0</v>
      </c>
      <c r="BB69" s="285">
        <f t="shared" si="26"/>
        <v>0</v>
      </c>
      <c r="BC69" s="236">
        <f>BC35</f>
        <v>2.95</v>
      </c>
      <c r="BD69" s="285">
        <f t="shared" si="27"/>
        <v>18614.5</v>
      </c>
      <c r="BE69" s="236">
        <v>23.5</v>
      </c>
      <c r="BF69" s="285">
        <f t="shared" si="28"/>
        <v>158319.5</v>
      </c>
      <c r="BG69" s="236">
        <v>7.63</v>
      </c>
      <c r="BH69" s="285">
        <f t="shared" si="29"/>
        <v>51403.31</v>
      </c>
      <c r="BI69" s="236">
        <v>2.75</v>
      </c>
      <c r="BJ69" s="285">
        <f t="shared" si="30"/>
        <v>36335.75</v>
      </c>
      <c r="BK69" s="236">
        <v>10</v>
      </c>
      <c r="BL69" s="266">
        <f t="shared" si="31"/>
        <v>57570</v>
      </c>
      <c r="BM69" s="288"/>
      <c r="BN69" s="92">
        <f t="shared" si="32"/>
        <v>0</v>
      </c>
      <c r="BO69" s="93">
        <f t="shared" si="33"/>
        <v>793259.56</v>
      </c>
      <c r="BP69" s="223">
        <f t="shared" si="34"/>
        <v>1267668.8600000001</v>
      </c>
      <c r="BQ69" s="280">
        <f t="shared" si="35"/>
        <v>1242345</v>
      </c>
      <c r="BR69" s="34">
        <f t="shared" si="36"/>
        <v>191.13</v>
      </c>
    </row>
    <row r="70" spans="1:82" ht="19.5" thickBot="1" x14ac:dyDescent="0.35">
      <c r="A70" s="708"/>
      <c r="B70" s="708"/>
      <c r="C70" s="144">
        <v>1250</v>
      </c>
      <c r="D70" s="141">
        <f t="shared" si="103"/>
        <v>8</v>
      </c>
      <c r="E70" s="95">
        <f t="shared" si="0"/>
        <v>0</v>
      </c>
      <c r="F70" s="103">
        <v>12</v>
      </c>
      <c r="G70" s="95">
        <f t="shared" si="1"/>
        <v>0</v>
      </c>
      <c r="H70" s="104">
        <v>4</v>
      </c>
      <c r="I70" s="95">
        <f t="shared" si="2"/>
        <v>0</v>
      </c>
      <c r="J70" s="84">
        <f t="shared" si="109"/>
        <v>0</v>
      </c>
      <c r="K70" s="334" t="str">
        <f t="shared" si="108"/>
        <v>1250RDC15KV</v>
      </c>
      <c r="L70" s="248">
        <v>2.5</v>
      </c>
      <c r="M70" s="285">
        <f t="shared" si="5"/>
        <v>17695</v>
      </c>
      <c r="N70" s="241">
        <v>0.35</v>
      </c>
      <c r="O70" s="285">
        <f t="shared" si="6"/>
        <v>2477.2999999999997</v>
      </c>
      <c r="P70" s="241">
        <v>0.5</v>
      </c>
      <c r="Q70" s="285">
        <f t="shared" si="7"/>
        <v>2674</v>
      </c>
      <c r="R70" s="241">
        <v>1.5</v>
      </c>
      <c r="S70" s="285">
        <f t="shared" si="8"/>
        <v>10839</v>
      </c>
      <c r="T70" s="241">
        <v>1.5</v>
      </c>
      <c r="U70" s="266">
        <f t="shared" si="9"/>
        <v>10617</v>
      </c>
      <c r="V70" s="241">
        <v>1.25</v>
      </c>
      <c r="W70" s="266">
        <f t="shared" si="10"/>
        <v>6685</v>
      </c>
      <c r="X70" s="241">
        <v>9</v>
      </c>
      <c r="Y70" s="266">
        <f t="shared" si="11"/>
        <v>65034</v>
      </c>
      <c r="Z70" s="241">
        <v>1.5</v>
      </c>
      <c r="AA70" s="266">
        <f t="shared" si="12"/>
        <v>8470.5</v>
      </c>
      <c r="AB70" s="241">
        <v>1.5</v>
      </c>
      <c r="AC70" s="266">
        <f t="shared" si="13"/>
        <v>10381.5</v>
      </c>
      <c r="AD70" s="236">
        <v>9</v>
      </c>
      <c r="AE70" s="266">
        <f t="shared" si="14"/>
        <v>63702</v>
      </c>
      <c r="AF70" s="236">
        <v>3</v>
      </c>
      <c r="AG70" s="266">
        <f t="shared" si="15"/>
        <v>16044</v>
      </c>
      <c r="AH70" s="236">
        <v>32</v>
      </c>
      <c r="AI70" s="266">
        <f t="shared" si="16"/>
        <v>231232</v>
      </c>
      <c r="AJ70" s="236"/>
      <c r="AK70" s="266">
        <f t="shared" si="17"/>
        <v>0</v>
      </c>
      <c r="AL70" s="236">
        <v>2.25</v>
      </c>
      <c r="AM70" s="266">
        <f t="shared" si="18"/>
        <v>12705.75</v>
      </c>
      <c r="AN70" s="236">
        <v>2.5</v>
      </c>
      <c r="AO70" s="266">
        <f t="shared" si="19"/>
        <v>17302.5</v>
      </c>
      <c r="AP70" s="236">
        <v>3</v>
      </c>
      <c r="AQ70" s="266">
        <f t="shared" si="20"/>
        <v>14117.5</v>
      </c>
      <c r="AR70" s="288"/>
      <c r="AS70" s="266">
        <f t="shared" si="21"/>
        <v>0</v>
      </c>
      <c r="AT70" s="287">
        <f t="shared" si="22"/>
        <v>489977.05</v>
      </c>
      <c r="AU70" s="244">
        <v>59.25</v>
      </c>
      <c r="AV70" s="285">
        <f t="shared" si="23"/>
        <v>373867.5</v>
      </c>
      <c r="AW70" s="236">
        <f>AW36</f>
        <v>15.85</v>
      </c>
      <c r="AX70" s="285">
        <f t="shared" si="24"/>
        <v>99855</v>
      </c>
      <c r="AY70" s="236">
        <f>AY36</f>
        <v>3.55</v>
      </c>
      <c r="AZ70" s="285">
        <f t="shared" si="25"/>
        <v>19063.5</v>
      </c>
      <c r="BA70" s="241">
        <f>BA36</f>
        <v>0</v>
      </c>
      <c r="BB70" s="285">
        <f t="shared" si="26"/>
        <v>0</v>
      </c>
      <c r="BC70" s="236">
        <f>BC36</f>
        <v>2.95</v>
      </c>
      <c r="BD70" s="285">
        <f t="shared" si="27"/>
        <v>18614.5</v>
      </c>
      <c r="BE70" s="236">
        <v>24.25</v>
      </c>
      <c r="BF70" s="285">
        <f t="shared" si="28"/>
        <v>163372.25</v>
      </c>
      <c r="BG70" s="236">
        <v>9.5</v>
      </c>
      <c r="BH70" s="285">
        <f t="shared" si="29"/>
        <v>64001.5</v>
      </c>
      <c r="BI70" s="236">
        <v>3</v>
      </c>
      <c r="BJ70" s="285">
        <f t="shared" si="30"/>
        <v>39639</v>
      </c>
      <c r="BK70" s="236">
        <v>10</v>
      </c>
      <c r="BL70" s="266">
        <f t="shared" si="31"/>
        <v>57570</v>
      </c>
      <c r="BM70" s="288"/>
      <c r="BN70" s="92">
        <f t="shared" si="32"/>
        <v>0</v>
      </c>
      <c r="BO70" s="93">
        <f t="shared" si="33"/>
        <v>835983.25</v>
      </c>
      <c r="BP70" s="223">
        <f t="shared" si="34"/>
        <v>1325960.3</v>
      </c>
      <c r="BQ70" s="280">
        <f t="shared" si="35"/>
        <v>1298050</v>
      </c>
      <c r="BR70" s="34">
        <f t="shared" si="36"/>
        <v>199.7</v>
      </c>
    </row>
    <row r="71" spans="1:82" ht="19.5" thickBot="1" x14ac:dyDescent="0.35">
      <c r="A71" s="708"/>
      <c r="B71" s="708"/>
      <c r="C71" s="144">
        <v>1600</v>
      </c>
      <c r="D71" s="141">
        <f t="shared" si="103"/>
        <v>12</v>
      </c>
      <c r="E71" s="95">
        <f t="shared" si="0"/>
        <v>0</v>
      </c>
      <c r="F71" s="103">
        <v>16</v>
      </c>
      <c r="G71" s="95">
        <f t="shared" si="1"/>
        <v>0</v>
      </c>
      <c r="H71" s="104">
        <v>4</v>
      </c>
      <c r="I71" s="95">
        <f t="shared" si="2"/>
        <v>0</v>
      </c>
      <c r="J71" s="84">
        <f t="shared" si="109"/>
        <v>0</v>
      </c>
      <c r="K71" s="334" t="str">
        <f t="shared" si="108"/>
        <v>1600RDC15KV</v>
      </c>
      <c r="L71" s="248">
        <v>2.5</v>
      </c>
      <c r="M71" s="285">
        <f t="shared" si="5"/>
        <v>17695</v>
      </c>
      <c r="N71" s="241">
        <v>0.35</v>
      </c>
      <c r="O71" s="285">
        <f t="shared" si="6"/>
        <v>2477.2999999999997</v>
      </c>
      <c r="P71" s="241">
        <v>0.5</v>
      </c>
      <c r="Q71" s="285">
        <f t="shared" si="7"/>
        <v>2674</v>
      </c>
      <c r="R71" s="241">
        <v>1.5</v>
      </c>
      <c r="S71" s="285">
        <f t="shared" si="8"/>
        <v>10839</v>
      </c>
      <c r="T71" s="241">
        <v>1.5</v>
      </c>
      <c r="U71" s="266">
        <f t="shared" si="9"/>
        <v>10617</v>
      </c>
      <c r="V71" s="241">
        <v>1.25</v>
      </c>
      <c r="W71" s="266">
        <f t="shared" si="10"/>
        <v>6685</v>
      </c>
      <c r="X71" s="241">
        <v>10</v>
      </c>
      <c r="Y71" s="266">
        <f t="shared" si="11"/>
        <v>72260</v>
      </c>
      <c r="Z71" s="241">
        <v>1.5</v>
      </c>
      <c r="AA71" s="266">
        <f t="shared" si="12"/>
        <v>8470.5</v>
      </c>
      <c r="AB71" s="241">
        <v>1.75</v>
      </c>
      <c r="AC71" s="266">
        <f t="shared" si="13"/>
        <v>12111.75</v>
      </c>
      <c r="AD71" s="236">
        <v>9</v>
      </c>
      <c r="AE71" s="266">
        <f t="shared" si="14"/>
        <v>63702</v>
      </c>
      <c r="AF71" s="236">
        <v>3</v>
      </c>
      <c r="AG71" s="266">
        <f t="shared" si="15"/>
        <v>16044</v>
      </c>
      <c r="AH71" s="236">
        <v>35</v>
      </c>
      <c r="AI71" s="266">
        <f t="shared" si="16"/>
        <v>252910</v>
      </c>
      <c r="AJ71" s="236"/>
      <c r="AK71" s="266">
        <f t="shared" si="17"/>
        <v>0</v>
      </c>
      <c r="AL71" s="236">
        <v>3</v>
      </c>
      <c r="AM71" s="266">
        <f t="shared" si="18"/>
        <v>16941</v>
      </c>
      <c r="AN71" s="236">
        <v>3</v>
      </c>
      <c r="AO71" s="266">
        <f t="shared" si="19"/>
        <v>20763</v>
      </c>
      <c r="AP71" s="236">
        <v>3.5</v>
      </c>
      <c r="AQ71" s="266">
        <f t="shared" si="20"/>
        <v>16941</v>
      </c>
      <c r="AR71" s="288"/>
      <c r="AS71" s="266">
        <f t="shared" si="21"/>
        <v>0</v>
      </c>
      <c r="AT71" s="287">
        <f t="shared" si="22"/>
        <v>531130.55000000005</v>
      </c>
      <c r="AU71" s="244">
        <v>68.5</v>
      </c>
      <c r="AV71" s="285">
        <f t="shared" si="23"/>
        <v>432235</v>
      </c>
      <c r="AW71" s="236">
        <f>AW37</f>
        <v>17</v>
      </c>
      <c r="AX71" s="285">
        <f t="shared" si="24"/>
        <v>107100</v>
      </c>
      <c r="AY71" s="236">
        <f>AY37</f>
        <v>62.5</v>
      </c>
      <c r="AZ71" s="285">
        <f t="shared" si="25"/>
        <v>335625</v>
      </c>
      <c r="BA71" s="241">
        <f>BA37</f>
        <v>23</v>
      </c>
      <c r="BB71" s="285">
        <f t="shared" si="26"/>
        <v>123510</v>
      </c>
      <c r="BC71" s="236">
        <f>BC37</f>
        <v>4</v>
      </c>
      <c r="BD71" s="285">
        <f t="shared" si="27"/>
        <v>25240</v>
      </c>
      <c r="BE71" s="236">
        <v>25.5</v>
      </c>
      <c r="BF71" s="285">
        <f t="shared" si="28"/>
        <v>171793.5</v>
      </c>
      <c r="BG71" s="236">
        <v>9.5</v>
      </c>
      <c r="BH71" s="285">
        <f t="shared" si="29"/>
        <v>64001.5</v>
      </c>
      <c r="BI71" s="236">
        <v>3</v>
      </c>
      <c r="BJ71" s="285">
        <f t="shared" si="30"/>
        <v>39639</v>
      </c>
      <c r="BK71" s="236">
        <v>10</v>
      </c>
      <c r="BL71" s="266">
        <f t="shared" si="31"/>
        <v>57570</v>
      </c>
      <c r="BM71" s="288"/>
      <c r="BN71" s="92">
        <f t="shared" si="32"/>
        <v>0</v>
      </c>
      <c r="BO71" s="93">
        <f t="shared" si="33"/>
        <v>1356714</v>
      </c>
      <c r="BP71" s="223">
        <f t="shared" si="34"/>
        <v>1887844.55</v>
      </c>
      <c r="BQ71" s="280">
        <f t="shared" si="35"/>
        <v>1952275.0000000002</v>
      </c>
      <c r="BR71" s="34">
        <f t="shared" si="36"/>
        <v>300.35000000000002</v>
      </c>
    </row>
    <row r="72" spans="1:82" ht="19.5" thickBot="1" x14ac:dyDescent="0.35">
      <c r="A72" s="709"/>
      <c r="B72" s="709"/>
      <c r="C72" s="145">
        <v>2000</v>
      </c>
      <c r="D72" s="142">
        <f t="shared" si="103"/>
        <v>12</v>
      </c>
      <c r="E72" s="96">
        <f t="shared" si="0"/>
        <v>0</v>
      </c>
      <c r="F72" s="107">
        <v>20</v>
      </c>
      <c r="G72" s="96">
        <f t="shared" si="1"/>
        <v>0</v>
      </c>
      <c r="H72" s="106">
        <v>4</v>
      </c>
      <c r="I72" s="96">
        <f t="shared" si="2"/>
        <v>0</v>
      </c>
      <c r="J72" s="99">
        <f t="shared" si="109"/>
        <v>0</v>
      </c>
      <c r="K72" s="334" t="str">
        <f t="shared" si="108"/>
        <v>2000RDC15KV</v>
      </c>
      <c r="L72" s="290">
        <v>2.5</v>
      </c>
      <c r="M72" s="285">
        <f t="shared" si="5"/>
        <v>17695</v>
      </c>
      <c r="N72" s="291">
        <v>0.35</v>
      </c>
      <c r="O72" s="285">
        <f t="shared" si="6"/>
        <v>2477.2999999999997</v>
      </c>
      <c r="P72" s="291">
        <v>0.5</v>
      </c>
      <c r="Q72" s="285">
        <f t="shared" si="7"/>
        <v>2674</v>
      </c>
      <c r="R72" s="291">
        <v>1.5</v>
      </c>
      <c r="S72" s="285">
        <f t="shared" si="8"/>
        <v>10839</v>
      </c>
      <c r="T72" s="291">
        <v>1.5</v>
      </c>
      <c r="U72" s="266">
        <f t="shared" si="9"/>
        <v>10617</v>
      </c>
      <c r="V72" s="291">
        <v>1.25</v>
      </c>
      <c r="W72" s="266">
        <f t="shared" si="10"/>
        <v>6685</v>
      </c>
      <c r="X72" s="291">
        <v>10</v>
      </c>
      <c r="Y72" s="266">
        <f t="shared" si="11"/>
        <v>72260</v>
      </c>
      <c r="Z72" s="291">
        <v>1.5</v>
      </c>
      <c r="AA72" s="266">
        <f t="shared" si="12"/>
        <v>8470.5</v>
      </c>
      <c r="AB72" s="291">
        <v>1.75</v>
      </c>
      <c r="AC72" s="266">
        <f t="shared" si="13"/>
        <v>12111.75</v>
      </c>
      <c r="AD72" s="292">
        <v>15</v>
      </c>
      <c r="AE72" s="266">
        <f t="shared" si="14"/>
        <v>106170</v>
      </c>
      <c r="AF72" s="292">
        <v>5</v>
      </c>
      <c r="AG72" s="266">
        <f t="shared" si="15"/>
        <v>26740</v>
      </c>
      <c r="AH72" s="292">
        <v>35</v>
      </c>
      <c r="AI72" s="266">
        <f t="shared" si="16"/>
        <v>252910</v>
      </c>
      <c r="AJ72" s="292"/>
      <c r="AK72" s="266">
        <f t="shared" si="17"/>
        <v>0</v>
      </c>
      <c r="AL72" s="292">
        <v>3</v>
      </c>
      <c r="AM72" s="266">
        <f t="shared" si="18"/>
        <v>16941</v>
      </c>
      <c r="AN72" s="292">
        <v>3</v>
      </c>
      <c r="AO72" s="266">
        <f t="shared" si="19"/>
        <v>20763</v>
      </c>
      <c r="AP72" s="292">
        <v>3.5</v>
      </c>
      <c r="AQ72" s="266">
        <f t="shared" si="20"/>
        <v>16941</v>
      </c>
      <c r="AR72" s="293"/>
      <c r="AS72" s="266">
        <f t="shared" si="21"/>
        <v>0</v>
      </c>
      <c r="AT72" s="287">
        <f t="shared" si="22"/>
        <v>584294.55000000005</v>
      </c>
      <c r="AU72" s="294">
        <v>72.8</v>
      </c>
      <c r="AV72" s="285">
        <f t="shared" si="23"/>
        <v>459368</v>
      </c>
      <c r="AW72" s="292">
        <f>AW38</f>
        <v>17</v>
      </c>
      <c r="AX72" s="285">
        <f t="shared" si="24"/>
        <v>107100</v>
      </c>
      <c r="AY72" s="292">
        <f>AY38</f>
        <v>65.5</v>
      </c>
      <c r="AZ72" s="285">
        <f t="shared" si="25"/>
        <v>351735</v>
      </c>
      <c r="BA72" s="291">
        <f>BA38</f>
        <v>23</v>
      </c>
      <c r="BB72" s="285">
        <f t="shared" si="26"/>
        <v>123510</v>
      </c>
      <c r="BC72" s="292">
        <f>BC38</f>
        <v>4</v>
      </c>
      <c r="BD72" s="285">
        <f t="shared" si="27"/>
        <v>25240</v>
      </c>
      <c r="BE72" s="292">
        <v>26.75</v>
      </c>
      <c r="BF72" s="285">
        <f t="shared" si="28"/>
        <v>180214.75</v>
      </c>
      <c r="BG72" s="292">
        <v>9.5</v>
      </c>
      <c r="BH72" s="285">
        <f t="shared" si="29"/>
        <v>64001.5</v>
      </c>
      <c r="BI72" s="292">
        <v>3</v>
      </c>
      <c r="BJ72" s="285">
        <f t="shared" si="30"/>
        <v>39639</v>
      </c>
      <c r="BK72" s="292">
        <v>10</v>
      </c>
      <c r="BL72" s="266">
        <f t="shared" si="31"/>
        <v>57570</v>
      </c>
      <c r="BM72" s="293"/>
      <c r="BN72" s="92">
        <f t="shared" si="32"/>
        <v>0</v>
      </c>
      <c r="BO72" s="93">
        <f t="shared" si="33"/>
        <v>1408378.25</v>
      </c>
      <c r="BP72" s="223">
        <f t="shared" si="34"/>
        <v>1992672.8</v>
      </c>
      <c r="BQ72" s="280">
        <f t="shared" si="35"/>
        <v>2059849.9999999998</v>
      </c>
      <c r="BR72" s="34">
        <f t="shared" si="36"/>
        <v>316.89999999999998</v>
      </c>
    </row>
    <row r="73" spans="1:82" ht="19.5" thickBot="1" x14ac:dyDescent="0.35">
      <c r="A73" s="704" t="s">
        <v>21</v>
      </c>
      <c r="B73" s="704" t="s">
        <v>34</v>
      </c>
      <c r="C73" s="132">
        <v>15</v>
      </c>
      <c r="D73" s="140">
        <f t="shared" ref="D73:D89" si="144">D56</f>
        <v>4</v>
      </c>
      <c r="E73" s="92">
        <f t="shared" si="0"/>
        <v>0</v>
      </c>
      <c r="F73" s="101">
        <f t="shared" ref="F73:F89" si="145">F56</f>
        <v>8</v>
      </c>
      <c r="G73" s="92">
        <f t="shared" si="1"/>
        <v>0</v>
      </c>
      <c r="H73" s="105">
        <v>2</v>
      </c>
      <c r="I73" s="92">
        <f t="shared" si="2"/>
        <v>0</v>
      </c>
      <c r="J73" s="98">
        <f t="shared" si="109"/>
        <v>0</v>
      </c>
      <c r="K73" s="334" t="str">
        <f>C73&amp;$B$73&amp;$A$73</f>
        <v>15MLL15KV</v>
      </c>
      <c r="L73" s="269">
        <v>2.5</v>
      </c>
      <c r="M73" s="285">
        <f t="shared" si="5"/>
        <v>17695</v>
      </c>
      <c r="N73" s="264">
        <v>0.25</v>
      </c>
      <c r="O73" s="285">
        <f t="shared" si="6"/>
        <v>1769.5</v>
      </c>
      <c r="P73" s="264">
        <v>0.25</v>
      </c>
      <c r="Q73" s="285">
        <f t="shared" si="7"/>
        <v>1337</v>
      </c>
      <c r="R73" s="241">
        <v>0</v>
      </c>
      <c r="S73" s="285">
        <f t="shared" si="8"/>
        <v>0</v>
      </c>
      <c r="T73" s="264">
        <v>0.75</v>
      </c>
      <c r="U73" s="266">
        <f t="shared" si="9"/>
        <v>5308.5</v>
      </c>
      <c r="V73" s="264">
        <v>0.65</v>
      </c>
      <c r="W73" s="266">
        <f t="shared" si="10"/>
        <v>3476.2000000000003</v>
      </c>
      <c r="X73" s="264">
        <v>6</v>
      </c>
      <c r="Y73" s="266">
        <f t="shared" si="11"/>
        <v>43356</v>
      </c>
      <c r="Z73" s="264">
        <v>0.75</v>
      </c>
      <c r="AA73" s="266">
        <f t="shared" si="12"/>
        <v>4235.25</v>
      </c>
      <c r="AB73" s="264">
        <v>0.75</v>
      </c>
      <c r="AC73" s="266">
        <f t="shared" si="13"/>
        <v>5190.75</v>
      </c>
      <c r="AD73" s="295">
        <v>2</v>
      </c>
      <c r="AE73" s="266">
        <f t="shared" si="14"/>
        <v>14156</v>
      </c>
      <c r="AF73" s="295">
        <v>1</v>
      </c>
      <c r="AG73" s="266">
        <f t="shared" si="15"/>
        <v>5348</v>
      </c>
      <c r="AH73" s="242">
        <v>19</v>
      </c>
      <c r="AI73" s="266">
        <f t="shared" si="16"/>
        <v>137294</v>
      </c>
      <c r="AJ73" s="242"/>
      <c r="AK73" s="266">
        <f t="shared" si="17"/>
        <v>0</v>
      </c>
      <c r="AL73" s="242">
        <v>1</v>
      </c>
      <c r="AM73" s="266">
        <f t="shared" si="18"/>
        <v>5647</v>
      </c>
      <c r="AN73" s="242">
        <v>1</v>
      </c>
      <c r="AO73" s="266">
        <f t="shared" si="19"/>
        <v>6921</v>
      </c>
      <c r="AP73" s="264">
        <v>1.5</v>
      </c>
      <c r="AQ73" s="266">
        <f t="shared" si="20"/>
        <v>5647</v>
      </c>
      <c r="AR73" s="286"/>
      <c r="AS73" s="266">
        <f t="shared" si="21"/>
        <v>0</v>
      </c>
      <c r="AT73" s="287">
        <f t="shared" si="22"/>
        <v>257381.2</v>
      </c>
      <c r="AU73" s="296">
        <v>26.25</v>
      </c>
      <c r="AV73" s="285">
        <f t="shared" si="23"/>
        <v>165637.5</v>
      </c>
      <c r="AW73" s="242">
        <f t="shared" ref="AW73:AW83" si="146">AW56</f>
        <v>6.85</v>
      </c>
      <c r="AX73" s="285">
        <f t="shared" si="24"/>
        <v>43155</v>
      </c>
      <c r="AY73" s="242">
        <f t="shared" ref="AY73:AY83" si="147">AY56</f>
        <v>1.2</v>
      </c>
      <c r="AZ73" s="285">
        <f t="shared" si="25"/>
        <v>6444</v>
      </c>
      <c r="BA73" s="264">
        <f t="shared" ref="BA73:BA83" si="148">BA56</f>
        <v>0</v>
      </c>
      <c r="BB73" s="285">
        <f t="shared" si="26"/>
        <v>0</v>
      </c>
      <c r="BC73" s="242">
        <f t="shared" ref="BC73:BC83" si="149">BC56</f>
        <v>1.95</v>
      </c>
      <c r="BD73" s="285">
        <f t="shared" si="27"/>
        <v>12304.5</v>
      </c>
      <c r="BE73" s="242">
        <v>9.5</v>
      </c>
      <c r="BF73" s="285">
        <f t="shared" si="28"/>
        <v>64001.5</v>
      </c>
      <c r="BG73" s="242">
        <v>3.45</v>
      </c>
      <c r="BH73" s="285">
        <f t="shared" si="29"/>
        <v>23242.65</v>
      </c>
      <c r="BI73" s="242">
        <v>1.5</v>
      </c>
      <c r="BJ73" s="285">
        <f t="shared" si="30"/>
        <v>19819.5</v>
      </c>
      <c r="BK73" s="242">
        <v>7</v>
      </c>
      <c r="BL73" s="266">
        <f t="shared" si="31"/>
        <v>40299</v>
      </c>
      <c r="BM73" s="286"/>
      <c r="BN73" s="92">
        <f t="shared" si="32"/>
        <v>0</v>
      </c>
      <c r="BO73" s="93">
        <f t="shared" si="33"/>
        <v>374903.65</v>
      </c>
      <c r="BP73" s="223">
        <f t="shared" si="34"/>
        <v>632284.85000000009</v>
      </c>
      <c r="BQ73" s="280">
        <f t="shared" si="35"/>
        <v>618150</v>
      </c>
      <c r="BR73" s="34">
        <f t="shared" si="36"/>
        <v>95.100000000000009</v>
      </c>
      <c r="CB73" s="277">
        <v>42902.267627314817</v>
      </c>
      <c r="CC73" s="276" t="s">
        <v>162</v>
      </c>
    </row>
    <row r="74" spans="1:82" ht="19.5" thickBot="1" x14ac:dyDescent="0.35">
      <c r="A74" s="705"/>
      <c r="B74" s="705"/>
      <c r="C74" s="133">
        <v>30</v>
      </c>
      <c r="D74" s="141">
        <f t="shared" si="144"/>
        <v>4</v>
      </c>
      <c r="E74" s="95">
        <f t="shared" si="0"/>
        <v>0</v>
      </c>
      <c r="F74" s="100">
        <f t="shared" si="145"/>
        <v>8</v>
      </c>
      <c r="G74" s="95">
        <f t="shared" si="1"/>
        <v>0</v>
      </c>
      <c r="H74" s="103">
        <v>2</v>
      </c>
      <c r="I74" s="95">
        <f t="shared" si="2"/>
        <v>0</v>
      </c>
      <c r="J74" s="137">
        <f t="shared" si="109"/>
        <v>0</v>
      </c>
      <c r="K74" s="334" t="str">
        <f t="shared" ref="K74:K89" si="150">C74&amp;$B$73&amp;$A$73</f>
        <v>30MLL15KV</v>
      </c>
      <c r="L74" s="248">
        <v>2.5</v>
      </c>
      <c r="M74" s="285">
        <f t="shared" ref="M74:M125" si="151">$M$5*L74</f>
        <v>17695</v>
      </c>
      <c r="N74" s="241">
        <v>0.25</v>
      </c>
      <c r="O74" s="285">
        <f t="shared" ref="O74:O125" si="152">$O$5*N74</f>
        <v>1769.5</v>
      </c>
      <c r="P74" s="241">
        <v>0.25</v>
      </c>
      <c r="Q74" s="285">
        <f t="shared" ref="Q74:Q125" si="153">$Q$5*P74</f>
        <v>1337</v>
      </c>
      <c r="R74" s="241">
        <v>0</v>
      </c>
      <c r="S74" s="285">
        <f t="shared" ref="S74:S125" si="154">$S$5*R74</f>
        <v>0</v>
      </c>
      <c r="T74" s="241">
        <v>0.75</v>
      </c>
      <c r="U74" s="266">
        <f t="shared" ref="U74:U125" si="155">$U$5*T74</f>
        <v>5308.5</v>
      </c>
      <c r="V74" s="241">
        <v>0.65</v>
      </c>
      <c r="W74" s="266">
        <f t="shared" ref="W74:W125" si="156">$W$5*V74</f>
        <v>3476.2000000000003</v>
      </c>
      <c r="X74" s="241">
        <v>7</v>
      </c>
      <c r="Y74" s="266">
        <f t="shared" ref="Y74:Y125" si="157">$Y$5*X74</f>
        <v>50582</v>
      </c>
      <c r="Z74" s="241">
        <v>0.75</v>
      </c>
      <c r="AA74" s="266">
        <f t="shared" ref="AA74:AA125" si="158">$AA$5*Z74</f>
        <v>4235.25</v>
      </c>
      <c r="AB74" s="241">
        <v>0.75</v>
      </c>
      <c r="AC74" s="266">
        <f t="shared" ref="AC74:AC125" si="159">$AC$5*AB74</f>
        <v>5190.75</v>
      </c>
      <c r="AD74" s="236">
        <v>2</v>
      </c>
      <c r="AE74" s="266">
        <f t="shared" ref="AE74:AE125" si="160">$AE$5*AD74</f>
        <v>14156</v>
      </c>
      <c r="AF74" s="236">
        <v>1</v>
      </c>
      <c r="AG74" s="266">
        <f t="shared" ref="AG74:AG125" si="161">$AG$5*AF74</f>
        <v>5348</v>
      </c>
      <c r="AH74" s="236">
        <v>20</v>
      </c>
      <c r="AI74" s="266">
        <f t="shared" ref="AI74:AI125" si="162">$AI$5*AH74</f>
        <v>144520</v>
      </c>
      <c r="AJ74" s="236"/>
      <c r="AK74" s="266">
        <f t="shared" ref="AK74:AK125" si="163">$AK$5*AJ74</f>
        <v>0</v>
      </c>
      <c r="AL74" s="236">
        <v>1</v>
      </c>
      <c r="AM74" s="266">
        <f t="shared" ref="AM74:AM125" si="164">$AM$5*AL74</f>
        <v>5647</v>
      </c>
      <c r="AN74" s="236">
        <v>1</v>
      </c>
      <c r="AO74" s="266">
        <f t="shared" ref="AO74:AO125" si="165">$AO$5*AN74</f>
        <v>6921</v>
      </c>
      <c r="AP74" s="241">
        <v>1.5</v>
      </c>
      <c r="AQ74" s="266">
        <f t="shared" ref="AQ74:AQ125" si="166">$AQ$5*AN74</f>
        <v>5647</v>
      </c>
      <c r="AR74" s="288"/>
      <c r="AS74" s="266">
        <f t="shared" ref="AS74:AS126" si="167">$AS$5*AR74</f>
        <v>0</v>
      </c>
      <c r="AT74" s="287">
        <f t="shared" ref="AT74:AT125" si="168">+M74+O74+Q74+S74+U74+W74+Y74+AA74+AC74+AE74+AG74+AI74+AK74+AM74+AO74+AQ74+AS74</f>
        <v>271833.2</v>
      </c>
      <c r="AU74" s="244">
        <v>26.25</v>
      </c>
      <c r="AV74" s="285">
        <f t="shared" ref="AV74:AV125" si="169">$AV$5*AU74</f>
        <v>165637.5</v>
      </c>
      <c r="AW74" s="236">
        <f t="shared" si="146"/>
        <v>6.85</v>
      </c>
      <c r="AX74" s="285">
        <f t="shared" ref="AX74:AX125" si="170">$AX$5*AW74</f>
        <v>43155</v>
      </c>
      <c r="AY74" s="236">
        <f t="shared" si="147"/>
        <v>1.2</v>
      </c>
      <c r="AZ74" s="285">
        <f t="shared" ref="AZ74:AZ125" si="171">$AZ$5*AY74</f>
        <v>6444</v>
      </c>
      <c r="BA74" s="241">
        <f t="shared" si="148"/>
        <v>0</v>
      </c>
      <c r="BB74" s="285">
        <f t="shared" ref="BB74:BB125" si="172">$BB$5*BA74</f>
        <v>0</v>
      </c>
      <c r="BC74" s="236">
        <f t="shared" si="149"/>
        <v>1.95</v>
      </c>
      <c r="BD74" s="285">
        <f t="shared" ref="BD74:BD126" si="173">$BD$5*BC74</f>
        <v>12304.5</v>
      </c>
      <c r="BE74" s="236">
        <v>9.75</v>
      </c>
      <c r="BF74" s="285">
        <f t="shared" ref="BF74:BF125" si="174">$BF$5*BE74</f>
        <v>65685.75</v>
      </c>
      <c r="BG74" s="236">
        <v>3.45</v>
      </c>
      <c r="BH74" s="285">
        <f t="shared" ref="BH74:BH125" si="175">$BH$5*BG74</f>
        <v>23242.65</v>
      </c>
      <c r="BI74" s="236">
        <v>1.5</v>
      </c>
      <c r="BJ74" s="285">
        <f t="shared" ref="BJ74:BJ125" si="176">$BJ$5*BI74</f>
        <v>19819.5</v>
      </c>
      <c r="BK74" s="236">
        <v>8</v>
      </c>
      <c r="BL74" s="266">
        <f t="shared" ref="BL74:BL125" si="177">$BL$5*BK74</f>
        <v>46056</v>
      </c>
      <c r="BM74" s="288"/>
      <c r="BN74" s="92">
        <f t="shared" ref="BN74:BN127" si="178">+$BN$5*BM74</f>
        <v>0</v>
      </c>
      <c r="BO74" s="93">
        <f t="shared" ref="BO74:BO125" si="179">+AV74+AX74+AZ74+BB74+BD74+BF74+BH74+BJ74+BL74+BN74</f>
        <v>382344.9</v>
      </c>
      <c r="BP74" s="223">
        <f t="shared" ref="BP74:BP125" si="180">AT74+BO74</f>
        <v>654178.10000000009</v>
      </c>
      <c r="BQ74" s="280">
        <f t="shared" ref="BQ74:BQ105" si="181">+$BQ$1*BR74</f>
        <v>639275</v>
      </c>
      <c r="BR74" s="34">
        <f t="shared" ref="BR74:BR127" si="182">+L74+N74+P74+R74+T74+V74+X74+Z74+AB74+AD74+AF74+AH74+AJ74+AL74+AN74+AP74+AR74+AU74+AW74+AY74+BA74+BC74+BE74+BG74+BI74+BK74+BM74</f>
        <v>98.350000000000009</v>
      </c>
      <c r="CB74" s="277">
        <v>42745.425497685188</v>
      </c>
      <c r="CC74" s="276" t="s">
        <v>115</v>
      </c>
    </row>
    <row r="75" spans="1:82" ht="19.5" thickBot="1" x14ac:dyDescent="0.35">
      <c r="A75" s="705"/>
      <c r="B75" s="705"/>
      <c r="C75" s="133">
        <v>45</v>
      </c>
      <c r="D75" s="141">
        <f t="shared" si="144"/>
        <v>4</v>
      </c>
      <c r="E75" s="95">
        <f t="shared" ref="E75:E105" si="183">$E$5</f>
        <v>0</v>
      </c>
      <c r="F75" s="100">
        <f t="shared" si="145"/>
        <v>8</v>
      </c>
      <c r="G75" s="95">
        <f t="shared" ref="G75:G105" si="184">$G$5</f>
        <v>0</v>
      </c>
      <c r="H75" s="103">
        <v>2</v>
      </c>
      <c r="I75" s="95">
        <f t="shared" ref="I75:I105" si="185">$I$5</f>
        <v>0</v>
      </c>
      <c r="J75" s="137">
        <f t="shared" si="109"/>
        <v>0</v>
      </c>
      <c r="K75" s="334" t="str">
        <f t="shared" si="150"/>
        <v>45MLL15KV</v>
      </c>
      <c r="L75" s="248">
        <v>2.5</v>
      </c>
      <c r="M75" s="285">
        <f t="shared" si="151"/>
        <v>17695</v>
      </c>
      <c r="N75" s="241">
        <v>0.25</v>
      </c>
      <c r="O75" s="285">
        <f t="shared" si="152"/>
        <v>1769.5</v>
      </c>
      <c r="P75" s="241">
        <v>0.25</v>
      </c>
      <c r="Q75" s="285">
        <f t="shared" si="153"/>
        <v>1337</v>
      </c>
      <c r="R75" s="241">
        <v>0</v>
      </c>
      <c r="S75" s="285">
        <f t="shared" si="154"/>
        <v>0</v>
      </c>
      <c r="T75" s="241">
        <v>0.75</v>
      </c>
      <c r="U75" s="266">
        <f t="shared" si="155"/>
        <v>5308.5</v>
      </c>
      <c r="V75" s="241">
        <v>0.75</v>
      </c>
      <c r="W75" s="266">
        <f t="shared" si="156"/>
        <v>4011</v>
      </c>
      <c r="X75" s="241">
        <v>7</v>
      </c>
      <c r="Y75" s="266">
        <f t="shared" si="157"/>
        <v>50582</v>
      </c>
      <c r="Z75" s="241">
        <v>0.75</v>
      </c>
      <c r="AA75" s="266">
        <f t="shared" si="158"/>
        <v>4235.25</v>
      </c>
      <c r="AB75" s="241">
        <v>0.75</v>
      </c>
      <c r="AC75" s="266">
        <f t="shared" si="159"/>
        <v>5190.75</v>
      </c>
      <c r="AD75" s="236">
        <v>2</v>
      </c>
      <c r="AE75" s="266">
        <f t="shared" si="160"/>
        <v>14156</v>
      </c>
      <c r="AF75" s="236">
        <v>1</v>
      </c>
      <c r="AG75" s="266">
        <f t="shared" si="161"/>
        <v>5348</v>
      </c>
      <c r="AH75" s="236">
        <v>21</v>
      </c>
      <c r="AI75" s="266">
        <f t="shared" si="162"/>
        <v>151746</v>
      </c>
      <c r="AJ75" s="236"/>
      <c r="AK75" s="266">
        <f t="shared" si="163"/>
        <v>0</v>
      </c>
      <c r="AL75" s="236">
        <v>1.5</v>
      </c>
      <c r="AM75" s="266">
        <f t="shared" si="164"/>
        <v>8470.5</v>
      </c>
      <c r="AN75" s="236">
        <v>1.25</v>
      </c>
      <c r="AO75" s="266">
        <f t="shared" si="165"/>
        <v>8651.25</v>
      </c>
      <c r="AP75" s="241">
        <v>1.5</v>
      </c>
      <c r="AQ75" s="266">
        <f t="shared" si="166"/>
        <v>7058.75</v>
      </c>
      <c r="AR75" s="288"/>
      <c r="AS75" s="266">
        <f t="shared" si="167"/>
        <v>0</v>
      </c>
      <c r="AT75" s="287">
        <f t="shared" si="168"/>
        <v>285559.5</v>
      </c>
      <c r="AU75" s="244">
        <v>23.75</v>
      </c>
      <c r="AV75" s="285">
        <f t="shared" si="169"/>
        <v>149862.5</v>
      </c>
      <c r="AW75" s="236">
        <f t="shared" si="146"/>
        <v>6.85</v>
      </c>
      <c r="AX75" s="285">
        <f t="shared" si="170"/>
        <v>43155</v>
      </c>
      <c r="AY75" s="236">
        <f t="shared" si="147"/>
        <v>1.2</v>
      </c>
      <c r="AZ75" s="285">
        <f t="shared" si="171"/>
        <v>6444</v>
      </c>
      <c r="BA75" s="241">
        <f t="shared" si="148"/>
        <v>0</v>
      </c>
      <c r="BB75" s="285">
        <f t="shared" si="172"/>
        <v>0</v>
      </c>
      <c r="BC75" s="236">
        <f t="shared" si="149"/>
        <v>1.95</v>
      </c>
      <c r="BD75" s="285">
        <f t="shared" si="173"/>
        <v>12304.5</v>
      </c>
      <c r="BE75" s="236">
        <v>10</v>
      </c>
      <c r="BF75" s="285">
        <f t="shared" si="174"/>
        <v>67370</v>
      </c>
      <c r="BG75" s="236">
        <v>3.45</v>
      </c>
      <c r="BH75" s="285">
        <f t="shared" si="175"/>
        <v>23242.65</v>
      </c>
      <c r="BI75" s="236">
        <v>1.5</v>
      </c>
      <c r="BJ75" s="285">
        <f t="shared" si="176"/>
        <v>19819.5</v>
      </c>
      <c r="BK75" s="236">
        <v>8</v>
      </c>
      <c r="BL75" s="266">
        <f t="shared" si="177"/>
        <v>46056</v>
      </c>
      <c r="BM75" s="288"/>
      <c r="BN75" s="92">
        <f t="shared" si="178"/>
        <v>0</v>
      </c>
      <c r="BO75" s="93">
        <f t="shared" si="179"/>
        <v>368254.15</v>
      </c>
      <c r="BP75" s="223">
        <f t="shared" si="180"/>
        <v>653813.65</v>
      </c>
      <c r="BQ75" s="280">
        <f t="shared" si="181"/>
        <v>636675</v>
      </c>
      <c r="BR75" s="34">
        <f t="shared" si="182"/>
        <v>97.95</v>
      </c>
      <c r="CC75" s="277">
        <v>42745.401643518519</v>
      </c>
      <c r="CD75" s="276" t="s">
        <v>115</v>
      </c>
    </row>
    <row r="76" spans="1:82" ht="19.5" thickBot="1" x14ac:dyDescent="0.35">
      <c r="A76" s="705"/>
      <c r="B76" s="705"/>
      <c r="C76" s="133">
        <v>75</v>
      </c>
      <c r="D76" s="141">
        <f t="shared" si="144"/>
        <v>4</v>
      </c>
      <c r="E76" s="95">
        <f t="shared" si="183"/>
        <v>0</v>
      </c>
      <c r="F76" s="100">
        <f t="shared" si="145"/>
        <v>8</v>
      </c>
      <c r="G76" s="95">
        <f t="shared" si="184"/>
        <v>0</v>
      </c>
      <c r="H76" s="103">
        <v>2</v>
      </c>
      <c r="I76" s="95">
        <f t="shared" si="185"/>
        <v>0</v>
      </c>
      <c r="J76" s="137">
        <f t="shared" si="109"/>
        <v>0</v>
      </c>
      <c r="K76" s="334" t="str">
        <f t="shared" si="150"/>
        <v>75MLL15KV</v>
      </c>
      <c r="L76" s="248">
        <v>2.5</v>
      </c>
      <c r="M76" s="285">
        <f t="shared" si="151"/>
        <v>17695</v>
      </c>
      <c r="N76" s="241">
        <v>0.25</v>
      </c>
      <c r="O76" s="285">
        <f t="shared" si="152"/>
        <v>1769.5</v>
      </c>
      <c r="P76" s="241">
        <v>0.25</v>
      </c>
      <c r="Q76" s="285">
        <f t="shared" si="153"/>
        <v>1337</v>
      </c>
      <c r="R76" s="241">
        <v>0</v>
      </c>
      <c r="S76" s="285">
        <f t="shared" si="154"/>
        <v>0</v>
      </c>
      <c r="T76" s="241">
        <v>0.75</v>
      </c>
      <c r="U76" s="266">
        <f t="shared" si="155"/>
        <v>5308.5</v>
      </c>
      <c r="V76" s="241">
        <v>0.8</v>
      </c>
      <c r="W76" s="266">
        <f t="shared" si="156"/>
        <v>4278.4000000000005</v>
      </c>
      <c r="X76" s="241">
        <v>8</v>
      </c>
      <c r="Y76" s="266">
        <f t="shared" si="157"/>
        <v>57808</v>
      </c>
      <c r="Z76" s="241">
        <v>0.75</v>
      </c>
      <c r="AA76" s="266">
        <f t="shared" si="158"/>
        <v>4235.25</v>
      </c>
      <c r="AB76" s="241">
        <v>0.75</v>
      </c>
      <c r="AC76" s="266">
        <f t="shared" si="159"/>
        <v>5190.75</v>
      </c>
      <c r="AD76" s="236">
        <v>2</v>
      </c>
      <c r="AE76" s="266">
        <f t="shared" si="160"/>
        <v>14156</v>
      </c>
      <c r="AF76" s="236">
        <v>1</v>
      </c>
      <c r="AG76" s="266">
        <f t="shared" si="161"/>
        <v>5348</v>
      </c>
      <c r="AH76" s="236">
        <v>23</v>
      </c>
      <c r="AI76" s="266">
        <f t="shared" si="162"/>
        <v>166198</v>
      </c>
      <c r="AJ76" s="236"/>
      <c r="AK76" s="266">
        <f t="shared" si="163"/>
        <v>0</v>
      </c>
      <c r="AL76" s="236">
        <v>1.5</v>
      </c>
      <c r="AM76" s="266">
        <f t="shared" si="164"/>
        <v>8470.5</v>
      </c>
      <c r="AN76" s="236">
        <v>1.25</v>
      </c>
      <c r="AO76" s="266">
        <f t="shared" si="165"/>
        <v>8651.25</v>
      </c>
      <c r="AP76" s="241">
        <v>1.5</v>
      </c>
      <c r="AQ76" s="266">
        <f t="shared" si="166"/>
        <v>7058.75</v>
      </c>
      <c r="AR76" s="288"/>
      <c r="AS76" s="266">
        <f t="shared" si="167"/>
        <v>0</v>
      </c>
      <c r="AT76" s="287">
        <f t="shared" si="168"/>
        <v>307504.90000000002</v>
      </c>
      <c r="AU76" s="244">
        <v>21.75</v>
      </c>
      <c r="AV76" s="285">
        <f t="shared" si="169"/>
        <v>137242.5</v>
      </c>
      <c r="AW76" s="236">
        <f t="shared" si="146"/>
        <v>6.96</v>
      </c>
      <c r="AX76" s="285">
        <f t="shared" si="170"/>
        <v>43848</v>
      </c>
      <c r="AY76" s="236">
        <f t="shared" si="147"/>
        <v>1.45</v>
      </c>
      <c r="AZ76" s="285">
        <f t="shared" si="171"/>
        <v>7786.5</v>
      </c>
      <c r="BA76" s="241">
        <f t="shared" si="148"/>
        <v>0</v>
      </c>
      <c r="BB76" s="285">
        <f t="shared" si="172"/>
        <v>0</v>
      </c>
      <c r="BC76" s="236">
        <f t="shared" si="149"/>
        <v>1.95</v>
      </c>
      <c r="BD76" s="285">
        <f t="shared" si="173"/>
        <v>12304.5</v>
      </c>
      <c r="BE76" s="236">
        <v>10.25</v>
      </c>
      <c r="BF76" s="285">
        <f t="shared" si="174"/>
        <v>69054.25</v>
      </c>
      <c r="BG76" s="236">
        <v>3.65</v>
      </c>
      <c r="BH76" s="285">
        <f t="shared" si="175"/>
        <v>24590.05</v>
      </c>
      <c r="BI76" s="236">
        <v>1.5</v>
      </c>
      <c r="BJ76" s="285">
        <f t="shared" si="176"/>
        <v>19819.5</v>
      </c>
      <c r="BK76" s="236">
        <v>8</v>
      </c>
      <c r="BL76" s="266">
        <f t="shared" si="177"/>
        <v>46056</v>
      </c>
      <c r="BM76" s="288"/>
      <c r="BN76" s="92">
        <f t="shared" si="178"/>
        <v>0</v>
      </c>
      <c r="BO76" s="93">
        <f t="shared" si="179"/>
        <v>360701.3</v>
      </c>
      <c r="BP76" s="223">
        <f t="shared" si="180"/>
        <v>668206.19999999995</v>
      </c>
      <c r="BQ76" s="280">
        <f t="shared" si="181"/>
        <v>648765</v>
      </c>
      <c r="BR76" s="34">
        <f t="shared" si="182"/>
        <v>99.81</v>
      </c>
    </row>
    <row r="77" spans="1:82" ht="19.5" thickBot="1" x14ac:dyDescent="0.35">
      <c r="A77" s="705"/>
      <c r="B77" s="705"/>
      <c r="C77" s="133">
        <v>112.5</v>
      </c>
      <c r="D77" s="141">
        <f t="shared" si="144"/>
        <v>4</v>
      </c>
      <c r="E77" s="95">
        <f t="shared" si="183"/>
        <v>0</v>
      </c>
      <c r="F77" s="100">
        <f t="shared" si="145"/>
        <v>8</v>
      </c>
      <c r="G77" s="95">
        <f t="shared" si="184"/>
        <v>0</v>
      </c>
      <c r="H77" s="103">
        <v>2</v>
      </c>
      <c r="I77" s="95">
        <f t="shared" si="185"/>
        <v>0</v>
      </c>
      <c r="J77" s="137">
        <f>D77*E77+F77*G77+H77*I77</f>
        <v>0</v>
      </c>
      <c r="K77" s="334" t="str">
        <f t="shared" si="150"/>
        <v>112.5MLL15KV</v>
      </c>
      <c r="L77" s="248">
        <v>2.5</v>
      </c>
      <c r="M77" s="285">
        <f t="shared" si="151"/>
        <v>17695</v>
      </c>
      <c r="N77" s="241">
        <v>0.25</v>
      </c>
      <c r="O77" s="285">
        <f t="shared" si="152"/>
        <v>1769.5</v>
      </c>
      <c r="P77" s="241">
        <v>0.25</v>
      </c>
      <c r="Q77" s="285">
        <f t="shared" si="153"/>
        <v>1337</v>
      </c>
      <c r="R77" s="241">
        <v>0</v>
      </c>
      <c r="S77" s="285">
        <f t="shared" si="154"/>
        <v>0</v>
      </c>
      <c r="T77" s="241">
        <v>0.75</v>
      </c>
      <c r="U77" s="266">
        <f t="shared" si="155"/>
        <v>5308.5</v>
      </c>
      <c r="V77" s="241">
        <v>0.8</v>
      </c>
      <c r="W77" s="266">
        <f t="shared" si="156"/>
        <v>4278.4000000000005</v>
      </c>
      <c r="X77" s="241">
        <v>8</v>
      </c>
      <c r="Y77" s="266">
        <f t="shared" si="157"/>
        <v>57808</v>
      </c>
      <c r="Z77" s="241">
        <v>0.75</v>
      </c>
      <c r="AA77" s="266">
        <f t="shared" si="158"/>
        <v>4235.25</v>
      </c>
      <c r="AB77" s="241">
        <v>1</v>
      </c>
      <c r="AC77" s="266">
        <f t="shared" si="159"/>
        <v>6921</v>
      </c>
      <c r="AD77" s="236">
        <v>2</v>
      </c>
      <c r="AE77" s="266">
        <f t="shared" si="160"/>
        <v>14156</v>
      </c>
      <c r="AF77" s="236">
        <v>1</v>
      </c>
      <c r="AG77" s="266">
        <f t="shared" si="161"/>
        <v>5348</v>
      </c>
      <c r="AH77" s="236">
        <v>24</v>
      </c>
      <c r="AI77" s="266">
        <f t="shared" si="162"/>
        <v>173424</v>
      </c>
      <c r="AJ77" s="236"/>
      <c r="AK77" s="266">
        <f t="shared" si="163"/>
        <v>0</v>
      </c>
      <c r="AL77" s="236">
        <v>1.5</v>
      </c>
      <c r="AM77" s="266">
        <f t="shared" si="164"/>
        <v>8470.5</v>
      </c>
      <c r="AN77" s="236">
        <v>1.25</v>
      </c>
      <c r="AO77" s="266">
        <f t="shared" si="165"/>
        <v>8651.25</v>
      </c>
      <c r="AP77" s="241">
        <v>1.5</v>
      </c>
      <c r="AQ77" s="266">
        <f t="shared" si="166"/>
        <v>7058.75</v>
      </c>
      <c r="AR77" s="288"/>
      <c r="AS77" s="266">
        <f t="shared" si="167"/>
        <v>0</v>
      </c>
      <c r="AT77" s="287">
        <f t="shared" si="168"/>
        <v>316461.15000000002</v>
      </c>
      <c r="AU77" s="244">
        <v>22.5</v>
      </c>
      <c r="AV77" s="285">
        <f t="shared" si="169"/>
        <v>141975</v>
      </c>
      <c r="AW77" s="236">
        <f t="shared" si="146"/>
        <v>7.75</v>
      </c>
      <c r="AX77" s="285">
        <f t="shared" si="170"/>
        <v>48825</v>
      </c>
      <c r="AY77" s="236">
        <f t="shared" si="147"/>
        <v>1.57</v>
      </c>
      <c r="AZ77" s="285">
        <f t="shared" si="171"/>
        <v>8430.9</v>
      </c>
      <c r="BA77" s="241">
        <f t="shared" si="148"/>
        <v>0</v>
      </c>
      <c r="BB77" s="285">
        <f t="shared" si="172"/>
        <v>0</v>
      </c>
      <c r="BC77" s="236">
        <f t="shared" si="149"/>
        <v>1.95</v>
      </c>
      <c r="BD77" s="285">
        <f t="shared" si="173"/>
        <v>12304.5</v>
      </c>
      <c r="BE77" s="236">
        <v>10.75</v>
      </c>
      <c r="BF77" s="285">
        <f t="shared" si="174"/>
        <v>72422.75</v>
      </c>
      <c r="BG77" s="236">
        <v>3.71</v>
      </c>
      <c r="BH77" s="285">
        <f t="shared" si="175"/>
        <v>24994.27</v>
      </c>
      <c r="BI77" s="236">
        <v>2</v>
      </c>
      <c r="BJ77" s="285">
        <f t="shared" si="176"/>
        <v>26426</v>
      </c>
      <c r="BK77" s="236">
        <v>7</v>
      </c>
      <c r="BL77" s="266">
        <f t="shared" si="177"/>
        <v>40299</v>
      </c>
      <c r="BM77" s="288"/>
      <c r="BN77" s="92">
        <f t="shared" si="178"/>
        <v>0</v>
      </c>
      <c r="BO77" s="93">
        <f t="shared" si="179"/>
        <v>375677.42000000004</v>
      </c>
      <c r="BP77" s="223">
        <f t="shared" si="180"/>
        <v>692138.57000000007</v>
      </c>
      <c r="BQ77" s="280">
        <f t="shared" si="181"/>
        <v>668069.99999999988</v>
      </c>
      <c r="BR77" s="34">
        <f t="shared" si="182"/>
        <v>102.77999999999999</v>
      </c>
    </row>
    <row r="78" spans="1:82" ht="19.5" thickBot="1" x14ac:dyDescent="0.35">
      <c r="A78" s="705"/>
      <c r="B78" s="705"/>
      <c r="C78" s="133">
        <v>150</v>
      </c>
      <c r="D78" s="141">
        <f t="shared" si="144"/>
        <v>4</v>
      </c>
      <c r="E78" s="95">
        <f t="shared" si="183"/>
        <v>0</v>
      </c>
      <c r="F78" s="100">
        <f t="shared" si="145"/>
        <v>8</v>
      </c>
      <c r="G78" s="95">
        <f t="shared" si="184"/>
        <v>0</v>
      </c>
      <c r="H78" s="103">
        <v>2</v>
      </c>
      <c r="I78" s="95">
        <f t="shared" si="185"/>
        <v>0</v>
      </c>
      <c r="J78" s="137">
        <f>D78*E78+F78*G78+H78*I78</f>
        <v>0</v>
      </c>
      <c r="K78" s="334" t="str">
        <f t="shared" si="150"/>
        <v>150MLL15KV</v>
      </c>
      <c r="L78" s="248">
        <v>2.5</v>
      </c>
      <c r="M78" s="285">
        <f t="shared" si="151"/>
        <v>17695</v>
      </c>
      <c r="N78" s="241">
        <v>0.25</v>
      </c>
      <c r="O78" s="285">
        <f t="shared" si="152"/>
        <v>1769.5</v>
      </c>
      <c r="P78" s="241">
        <v>0.25</v>
      </c>
      <c r="Q78" s="285">
        <f t="shared" si="153"/>
        <v>1337</v>
      </c>
      <c r="R78" s="241">
        <v>0</v>
      </c>
      <c r="S78" s="285">
        <f t="shared" si="154"/>
        <v>0</v>
      </c>
      <c r="T78" s="241">
        <v>1</v>
      </c>
      <c r="U78" s="266">
        <f t="shared" si="155"/>
        <v>7078</v>
      </c>
      <c r="V78" s="241">
        <v>0.8</v>
      </c>
      <c r="W78" s="266">
        <f t="shared" si="156"/>
        <v>4278.4000000000005</v>
      </c>
      <c r="X78" s="241">
        <v>8</v>
      </c>
      <c r="Y78" s="266">
        <f t="shared" si="157"/>
        <v>57808</v>
      </c>
      <c r="Z78" s="241">
        <v>0.75</v>
      </c>
      <c r="AA78" s="266">
        <f t="shared" si="158"/>
        <v>4235.25</v>
      </c>
      <c r="AB78" s="241">
        <v>1</v>
      </c>
      <c r="AC78" s="266">
        <f t="shared" si="159"/>
        <v>6921</v>
      </c>
      <c r="AD78" s="236">
        <v>2.25</v>
      </c>
      <c r="AE78" s="266">
        <f t="shared" si="160"/>
        <v>15925.5</v>
      </c>
      <c r="AF78" s="236">
        <v>1.5</v>
      </c>
      <c r="AG78" s="266">
        <f t="shared" si="161"/>
        <v>8022</v>
      </c>
      <c r="AH78" s="236">
        <v>24</v>
      </c>
      <c r="AI78" s="266">
        <f t="shared" si="162"/>
        <v>173424</v>
      </c>
      <c r="AJ78" s="236"/>
      <c r="AK78" s="266">
        <f t="shared" si="163"/>
        <v>0</v>
      </c>
      <c r="AL78" s="236">
        <v>1.5</v>
      </c>
      <c r="AM78" s="266">
        <f t="shared" si="164"/>
        <v>8470.5</v>
      </c>
      <c r="AN78" s="236">
        <v>1.5</v>
      </c>
      <c r="AO78" s="266">
        <f t="shared" si="165"/>
        <v>10381.5</v>
      </c>
      <c r="AP78" s="241">
        <v>1.5</v>
      </c>
      <c r="AQ78" s="266">
        <f t="shared" si="166"/>
        <v>8470.5</v>
      </c>
      <c r="AR78" s="288"/>
      <c r="AS78" s="266">
        <f t="shared" si="167"/>
        <v>0</v>
      </c>
      <c r="AT78" s="287">
        <f t="shared" si="168"/>
        <v>325816.15000000002</v>
      </c>
      <c r="AU78" s="244">
        <v>22.75</v>
      </c>
      <c r="AV78" s="285">
        <f t="shared" si="169"/>
        <v>143552.5</v>
      </c>
      <c r="AW78" s="236">
        <f t="shared" si="146"/>
        <v>7.98</v>
      </c>
      <c r="AX78" s="285">
        <f t="shared" si="170"/>
        <v>50274</v>
      </c>
      <c r="AY78" s="236">
        <f t="shared" si="147"/>
        <v>1.77</v>
      </c>
      <c r="AZ78" s="285">
        <f t="shared" si="171"/>
        <v>9504.9</v>
      </c>
      <c r="BA78" s="241">
        <f t="shared" si="148"/>
        <v>0</v>
      </c>
      <c r="BB78" s="285">
        <f t="shared" si="172"/>
        <v>0</v>
      </c>
      <c r="BC78" s="236">
        <f t="shared" si="149"/>
        <v>1.95</v>
      </c>
      <c r="BD78" s="285">
        <f t="shared" si="173"/>
        <v>12304.5</v>
      </c>
      <c r="BE78" s="236">
        <v>11.25</v>
      </c>
      <c r="BF78" s="285">
        <f t="shared" si="174"/>
        <v>75791.25</v>
      </c>
      <c r="BG78" s="236">
        <v>3.97</v>
      </c>
      <c r="BH78" s="285">
        <f t="shared" si="175"/>
        <v>26745.890000000003</v>
      </c>
      <c r="BI78" s="236">
        <v>2</v>
      </c>
      <c r="BJ78" s="285">
        <f t="shared" si="176"/>
        <v>26426</v>
      </c>
      <c r="BK78" s="236">
        <v>8</v>
      </c>
      <c r="BL78" s="266">
        <f t="shared" si="177"/>
        <v>46056</v>
      </c>
      <c r="BM78" s="288"/>
      <c r="BN78" s="92">
        <f t="shared" si="178"/>
        <v>0</v>
      </c>
      <c r="BO78" s="93">
        <f t="shared" si="179"/>
        <v>390655.04000000004</v>
      </c>
      <c r="BP78" s="223">
        <f t="shared" si="180"/>
        <v>716471.19000000006</v>
      </c>
      <c r="BQ78" s="280">
        <f t="shared" si="181"/>
        <v>692055</v>
      </c>
      <c r="BR78" s="34">
        <f t="shared" si="182"/>
        <v>106.47</v>
      </c>
    </row>
    <row r="79" spans="1:82" ht="19.5" thickBot="1" x14ac:dyDescent="0.35">
      <c r="A79" s="705"/>
      <c r="B79" s="705"/>
      <c r="C79" s="133">
        <v>225</v>
      </c>
      <c r="D79" s="141">
        <f t="shared" si="144"/>
        <v>4</v>
      </c>
      <c r="E79" s="95">
        <f t="shared" si="183"/>
        <v>0</v>
      </c>
      <c r="F79" s="100">
        <f t="shared" si="145"/>
        <v>8</v>
      </c>
      <c r="G79" s="95">
        <f t="shared" si="184"/>
        <v>0</v>
      </c>
      <c r="H79" s="103">
        <v>2</v>
      </c>
      <c r="I79" s="95">
        <f t="shared" si="185"/>
        <v>0</v>
      </c>
      <c r="J79" s="137">
        <f>D79*E79+F79*G79+H79*I79</f>
        <v>0</v>
      </c>
      <c r="K79" s="334" t="str">
        <f t="shared" si="150"/>
        <v>225MLL15KV</v>
      </c>
      <c r="L79" s="248">
        <v>2.5</v>
      </c>
      <c r="M79" s="285">
        <f t="shared" si="151"/>
        <v>17695</v>
      </c>
      <c r="N79" s="241">
        <v>0.25</v>
      </c>
      <c r="O79" s="285">
        <f t="shared" si="152"/>
        <v>1769.5</v>
      </c>
      <c r="P79" s="241">
        <v>0.25</v>
      </c>
      <c r="Q79" s="285">
        <f t="shared" si="153"/>
        <v>1337</v>
      </c>
      <c r="R79" s="241">
        <v>0</v>
      </c>
      <c r="S79" s="285">
        <f t="shared" si="154"/>
        <v>0</v>
      </c>
      <c r="T79" s="241">
        <v>1</v>
      </c>
      <c r="U79" s="266">
        <f t="shared" si="155"/>
        <v>7078</v>
      </c>
      <c r="V79" s="241">
        <v>1</v>
      </c>
      <c r="W79" s="266">
        <f t="shared" si="156"/>
        <v>5348</v>
      </c>
      <c r="X79" s="241">
        <v>8</v>
      </c>
      <c r="Y79" s="266">
        <f t="shared" si="157"/>
        <v>57808</v>
      </c>
      <c r="Z79" s="241">
        <v>1</v>
      </c>
      <c r="AA79" s="266">
        <f t="shared" si="158"/>
        <v>5647</v>
      </c>
      <c r="AB79" s="241">
        <v>1</v>
      </c>
      <c r="AC79" s="266">
        <f t="shared" si="159"/>
        <v>6921</v>
      </c>
      <c r="AD79" s="236">
        <v>2.25</v>
      </c>
      <c r="AE79" s="266">
        <f t="shared" si="160"/>
        <v>15925.5</v>
      </c>
      <c r="AF79" s="236">
        <v>1.5</v>
      </c>
      <c r="AG79" s="266">
        <f t="shared" si="161"/>
        <v>8022</v>
      </c>
      <c r="AH79" s="236">
        <v>24</v>
      </c>
      <c r="AI79" s="266">
        <f t="shared" si="162"/>
        <v>173424</v>
      </c>
      <c r="AJ79" s="236"/>
      <c r="AK79" s="266">
        <f t="shared" si="163"/>
        <v>0</v>
      </c>
      <c r="AL79" s="236">
        <v>1.5</v>
      </c>
      <c r="AM79" s="266">
        <f t="shared" si="164"/>
        <v>8470.5</v>
      </c>
      <c r="AN79" s="236">
        <v>1.5</v>
      </c>
      <c r="AO79" s="266">
        <f t="shared" si="165"/>
        <v>10381.5</v>
      </c>
      <c r="AP79" s="241">
        <v>2</v>
      </c>
      <c r="AQ79" s="266">
        <f t="shared" si="166"/>
        <v>8470.5</v>
      </c>
      <c r="AR79" s="288"/>
      <c r="AS79" s="266">
        <f t="shared" si="167"/>
        <v>0</v>
      </c>
      <c r="AT79" s="287">
        <f t="shared" si="168"/>
        <v>328297.5</v>
      </c>
      <c r="AU79" s="244">
        <v>23.25</v>
      </c>
      <c r="AV79" s="285">
        <f t="shared" si="169"/>
        <v>146707.5</v>
      </c>
      <c r="AW79" s="236">
        <f t="shared" si="146"/>
        <v>8.0500000000000007</v>
      </c>
      <c r="AX79" s="285">
        <f t="shared" si="170"/>
        <v>50715.000000000007</v>
      </c>
      <c r="AY79" s="236">
        <f t="shared" si="147"/>
        <v>1.98</v>
      </c>
      <c r="AZ79" s="285">
        <f t="shared" si="171"/>
        <v>10632.6</v>
      </c>
      <c r="BA79" s="241">
        <f t="shared" si="148"/>
        <v>0</v>
      </c>
      <c r="BB79" s="285">
        <f t="shared" si="172"/>
        <v>0</v>
      </c>
      <c r="BC79" s="236">
        <f t="shared" si="149"/>
        <v>1.95</v>
      </c>
      <c r="BD79" s="285">
        <f t="shared" si="173"/>
        <v>12304.5</v>
      </c>
      <c r="BE79" s="236">
        <v>12</v>
      </c>
      <c r="BF79" s="285">
        <f t="shared" si="174"/>
        <v>80844</v>
      </c>
      <c r="BG79" s="236">
        <v>4.1399999999999997</v>
      </c>
      <c r="BH79" s="285">
        <f t="shared" si="175"/>
        <v>27891.179999999997</v>
      </c>
      <c r="BI79" s="236">
        <v>2</v>
      </c>
      <c r="BJ79" s="285">
        <f t="shared" si="176"/>
        <v>26426</v>
      </c>
      <c r="BK79" s="236">
        <v>8</v>
      </c>
      <c r="BL79" s="266">
        <f t="shared" si="177"/>
        <v>46056</v>
      </c>
      <c r="BM79" s="288"/>
      <c r="BN79" s="92">
        <f t="shared" si="178"/>
        <v>0</v>
      </c>
      <c r="BO79" s="93">
        <f t="shared" si="179"/>
        <v>401576.77999999997</v>
      </c>
      <c r="BP79" s="223">
        <f t="shared" si="180"/>
        <v>729874.28</v>
      </c>
      <c r="BQ79" s="280">
        <f t="shared" si="181"/>
        <v>709280</v>
      </c>
      <c r="BR79" s="34">
        <f t="shared" si="182"/>
        <v>109.12</v>
      </c>
    </row>
    <row r="80" spans="1:82" ht="19.5" thickBot="1" x14ac:dyDescent="0.35">
      <c r="A80" s="705"/>
      <c r="B80" s="705"/>
      <c r="C80" s="133">
        <v>300</v>
      </c>
      <c r="D80" s="141">
        <f t="shared" si="144"/>
        <v>4</v>
      </c>
      <c r="E80" s="95">
        <f t="shared" si="183"/>
        <v>0</v>
      </c>
      <c r="F80" s="100">
        <f t="shared" si="145"/>
        <v>8</v>
      </c>
      <c r="G80" s="95">
        <f t="shared" si="184"/>
        <v>0</v>
      </c>
      <c r="H80" s="103">
        <v>2</v>
      </c>
      <c r="I80" s="95">
        <f t="shared" si="185"/>
        <v>0</v>
      </c>
      <c r="J80" s="137">
        <f>D80*E80+F80*G80+H80*I80</f>
        <v>0</v>
      </c>
      <c r="K80" s="334" t="str">
        <f t="shared" si="150"/>
        <v>300MLL15KV</v>
      </c>
      <c r="L80" s="248">
        <v>2.5</v>
      </c>
      <c r="M80" s="285">
        <f t="shared" si="151"/>
        <v>17695</v>
      </c>
      <c r="N80" s="241">
        <v>0.25</v>
      </c>
      <c r="O80" s="285">
        <f t="shared" si="152"/>
        <v>1769.5</v>
      </c>
      <c r="P80" s="241">
        <v>0.25</v>
      </c>
      <c r="Q80" s="285">
        <f t="shared" si="153"/>
        <v>1337</v>
      </c>
      <c r="R80" s="241">
        <v>0</v>
      </c>
      <c r="S80" s="285">
        <f t="shared" si="154"/>
        <v>0</v>
      </c>
      <c r="T80" s="241">
        <v>1</v>
      </c>
      <c r="U80" s="266">
        <f t="shared" si="155"/>
        <v>7078</v>
      </c>
      <c r="V80" s="241">
        <v>1.25</v>
      </c>
      <c r="W80" s="266">
        <f t="shared" si="156"/>
        <v>6685</v>
      </c>
      <c r="X80" s="241">
        <v>8</v>
      </c>
      <c r="Y80" s="266">
        <f t="shared" si="157"/>
        <v>57808</v>
      </c>
      <c r="Z80" s="241">
        <v>1</v>
      </c>
      <c r="AA80" s="266">
        <f t="shared" si="158"/>
        <v>5647</v>
      </c>
      <c r="AB80" s="241">
        <v>1</v>
      </c>
      <c r="AC80" s="266">
        <f t="shared" si="159"/>
        <v>6921</v>
      </c>
      <c r="AD80" s="236">
        <v>2.25</v>
      </c>
      <c r="AE80" s="266">
        <f t="shared" si="160"/>
        <v>15925.5</v>
      </c>
      <c r="AF80" s="236">
        <v>2</v>
      </c>
      <c r="AG80" s="266">
        <f t="shared" si="161"/>
        <v>10696</v>
      </c>
      <c r="AH80" s="236">
        <v>24</v>
      </c>
      <c r="AI80" s="266">
        <f t="shared" si="162"/>
        <v>173424</v>
      </c>
      <c r="AJ80" s="236"/>
      <c r="AK80" s="266">
        <f t="shared" si="163"/>
        <v>0</v>
      </c>
      <c r="AL80" s="236">
        <v>1.75</v>
      </c>
      <c r="AM80" s="266">
        <f t="shared" si="164"/>
        <v>9882.25</v>
      </c>
      <c r="AN80" s="236">
        <v>1.75</v>
      </c>
      <c r="AO80" s="266">
        <f t="shared" si="165"/>
        <v>12111.75</v>
      </c>
      <c r="AP80" s="241">
        <v>2</v>
      </c>
      <c r="AQ80" s="266">
        <f t="shared" si="166"/>
        <v>9882.25</v>
      </c>
      <c r="AR80" s="288"/>
      <c r="AS80" s="266">
        <f t="shared" si="167"/>
        <v>0</v>
      </c>
      <c r="AT80" s="287">
        <f t="shared" si="168"/>
        <v>336862.25</v>
      </c>
      <c r="AU80" s="244">
        <v>25.5</v>
      </c>
      <c r="AV80" s="285">
        <f t="shared" si="169"/>
        <v>160905</v>
      </c>
      <c r="AW80" s="236">
        <f t="shared" si="146"/>
        <v>10.25</v>
      </c>
      <c r="AX80" s="285">
        <f t="shared" si="170"/>
        <v>64575</v>
      </c>
      <c r="AY80" s="236">
        <f t="shared" si="147"/>
        <v>2.4500000000000002</v>
      </c>
      <c r="AZ80" s="285">
        <f t="shared" si="171"/>
        <v>13156.500000000002</v>
      </c>
      <c r="BA80" s="241">
        <f t="shared" si="148"/>
        <v>0</v>
      </c>
      <c r="BB80" s="285">
        <f t="shared" si="172"/>
        <v>0</v>
      </c>
      <c r="BC80" s="236">
        <f t="shared" si="149"/>
        <v>1.95</v>
      </c>
      <c r="BD80" s="285">
        <f t="shared" si="173"/>
        <v>12304.5</v>
      </c>
      <c r="BE80" s="236">
        <v>13.5</v>
      </c>
      <c r="BF80" s="285">
        <f t="shared" si="174"/>
        <v>90949.5</v>
      </c>
      <c r="BG80" s="236">
        <v>4.47</v>
      </c>
      <c r="BH80" s="285">
        <f t="shared" si="175"/>
        <v>30114.39</v>
      </c>
      <c r="BI80" s="236">
        <v>2</v>
      </c>
      <c r="BJ80" s="285">
        <f t="shared" si="176"/>
        <v>26426</v>
      </c>
      <c r="BK80" s="236">
        <v>8</v>
      </c>
      <c r="BL80" s="266">
        <f t="shared" si="177"/>
        <v>46056</v>
      </c>
      <c r="BM80" s="288"/>
      <c r="BN80" s="92">
        <f t="shared" si="178"/>
        <v>0</v>
      </c>
      <c r="BO80" s="93">
        <f t="shared" si="179"/>
        <v>444486.89</v>
      </c>
      <c r="BP80" s="223">
        <f t="shared" si="180"/>
        <v>781349.14</v>
      </c>
      <c r="BQ80" s="280">
        <f t="shared" si="181"/>
        <v>761280</v>
      </c>
      <c r="BR80" s="34">
        <f t="shared" si="182"/>
        <v>117.12</v>
      </c>
    </row>
    <row r="81" spans="1:81" ht="19.5" thickBot="1" x14ac:dyDescent="0.35">
      <c r="A81" s="705"/>
      <c r="B81" s="705"/>
      <c r="C81" s="133">
        <v>400</v>
      </c>
      <c r="D81" s="141">
        <f t="shared" si="144"/>
        <v>4</v>
      </c>
      <c r="E81" s="95">
        <f t="shared" si="183"/>
        <v>0</v>
      </c>
      <c r="F81" s="100">
        <f t="shared" si="145"/>
        <v>10</v>
      </c>
      <c r="G81" s="95">
        <f t="shared" si="184"/>
        <v>0</v>
      </c>
      <c r="H81" s="104">
        <v>2</v>
      </c>
      <c r="I81" s="95">
        <f t="shared" si="185"/>
        <v>0</v>
      </c>
      <c r="J81" s="137">
        <f>D81*E81+F81*G81+H81*I81</f>
        <v>0</v>
      </c>
      <c r="K81" s="334" t="str">
        <f t="shared" si="150"/>
        <v>400MLL15KV</v>
      </c>
      <c r="L81" s="248">
        <v>2.5</v>
      </c>
      <c r="M81" s="285">
        <f t="shared" si="151"/>
        <v>17695</v>
      </c>
      <c r="N81" s="241">
        <v>0.25</v>
      </c>
      <c r="O81" s="285">
        <f t="shared" si="152"/>
        <v>1769.5</v>
      </c>
      <c r="P81" s="241">
        <v>0.5</v>
      </c>
      <c r="Q81" s="285">
        <f t="shared" si="153"/>
        <v>2674</v>
      </c>
      <c r="R81" s="241">
        <v>0</v>
      </c>
      <c r="S81" s="285">
        <f t="shared" si="154"/>
        <v>0</v>
      </c>
      <c r="T81" s="241">
        <v>1.5</v>
      </c>
      <c r="U81" s="266">
        <f t="shared" si="155"/>
        <v>10617</v>
      </c>
      <c r="V81" s="241">
        <v>1.25</v>
      </c>
      <c r="W81" s="266">
        <f t="shared" si="156"/>
        <v>6685</v>
      </c>
      <c r="X81" s="241">
        <v>8</v>
      </c>
      <c r="Y81" s="266">
        <f t="shared" si="157"/>
        <v>57808</v>
      </c>
      <c r="Z81" s="241">
        <v>1</v>
      </c>
      <c r="AA81" s="266">
        <f t="shared" si="158"/>
        <v>5647</v>
      </c>
      <c r="AB81" s="241">
        <v>1</v>
      </c>
      <c r="AC81" s="266">
        <f t="shared" si="159"/>
        <v>6921</v>
      </c>
      <c r="AD81" s="236">
        <v>2.25</v>
      </c>
      <c r="AE81" s="266">
        <f t="shared" si="160"/>
        <v>15925.5</v>
      </c>
      <c r="AF81" s="236">
        <v>2</v>
      </c>
      <c r="AG81" s="266">
        <f t="shared" si="161"/>
        <v>10696</v>
      </c>
      <c r="AH81" s="236">
        <v>26</v>
      </c>
      <c r="AI81" s="266">
        <f t="shared" si="162"/>
        <v>187876</v>
      </c>
      <c r="AJ81" s="236"/>
      <c r="AK81" s="266">
        <f t="shared" si="163"/>
        <v>0</v>
      </c>
      <c r="AL81" s="236">
        <v>1.75</v>
      </c>
      <c r="AM81" s="266">
        <f t="shared" si="164"/>
        <v>9882.25</v>
      </c>
      <c r="AN81" s="236">
        <v>1.75</v>
      </c>
      <c r="AO81" s="266">
        <f t="shared" si="165"/>
        <v>12111.75</v>
      </c>
      <c r="AP81" s="236">
        <v>2.25</v>
      </c>
      <c r="AQ81" s="266">
        <f t="shared" si="166"/>
        <v>9882.25</v>
      </c>
      <c r="AR81" s="288"/>
      <c r="AS81" s="266">
        <f t="shared" si="167"/>
        <v>0</v>
      </c>
      <c r="AT81" s="287">
        <f t="shared" si="168"/>
        <v>356190.25</v>
      </c>
      <c r="AU81" s="244">
        <v>32.5</v>
      </c>
      <c r="AV81" s="285">
        <f t="shared" si="169"/>
        <v>205075</v>
      </c>
      <c r="AW81" s="236">
        <f t="shared" si="146"/>
        <v>10.75</v>
      </c>
      <c r="AX81" s="285">
        <f t="shared" si="170"/>
        <v>67725</v>
      </c>
      <c r="AY81" s="236">
        <f t="shared" si="147"/>
        <v>2.48</v>
      </c>
      <c r="AZ81" s="285">
        <f t="shared" si="171"/>
        <v>13317.6</v>
      </c>
      <c r="BA81" s="241">
        <f t="shared" si="148"/>
        <v>0</v>
      </c>
      <c r="BB81" s="285">
        <f t="shared" si="172"/>
        <v>0</v>
      </c>
      <c r="BC81" s="236">
        <f t="shared" si="149"/>
        <v>1.95</v>
      </c>
      <c r="BD81" s="285">
        <f t="shared" si="173"/>
        <v>12304.5</v>
      </c>
      <c r="BE81" s="236">
        <v>14.25</v>
      </c>
      <c r="BF81" s="285">
        <f t="shared" si="174"/>
        <v>96002.25</v>
      </c>
      <c r="BG81" s="236">
        <v>4.75</v>
      </c>
      <c r="BH81" s="285">
        <f t="shared" si="175"/>
        <v>32000.75</v>
      </c>
      <c r="BI81" s="236">
        <v>2</v>
      </c>
      <c r="BJ81" s="285">
        <f t="shared" si="176"/>
        <v>26426</v>
      </c>
      <c r="BK81" s="236">
        <v>8</v>
      </c>
      <c r="BL81" s="266">
        <f t="shared" si="177"/>
        <v>46056</v>
      </c>
      <c r="BM81" s="288"/>
      <c r="BN81" s="92">
        <f t="shared" si="178"/>
        <v>0</v>
      </c>
      <c r="BO81" s="93">
        <f t="shared" si="179"/>
        <v>498907.1</v>
      </c>
      <c r="BP81" s="223">
        <f t="shared" si="180"/>
        <v>855097.35</v>
      </c>
      <c r="BQ81" s="280">
        <f t="shared" si="181"/>
        <v>836420</v>
      </c>
      <c r="BR81" s="34">
        <f t="shared" si="182"/>
        <v>128.68</v>
      </c>
    </row>
    <row r="82" spans="1:81" ht="19.5" thickBot="1" x14ac:dyDescent="0.35">
      <c r="A82" s="705"/>
      <c r="B82" s="705"/>
      <c r="C82" s="133">
        <v>500</v>
      </c>
      <c r="D82" s="141">
        <f t="shared" si="144"/>
        <v>4</v>
      </c>
      <c r="E82" s="95">
        <f t="shared" si="183"/>
        <v>0</v>
      </c>
      <c r="F82" s="100">
        <f t="shared" si="145"/>
        <v>10</v>
      </c>
      <c r="G82" s="95">
        <f t="shared" si="184"/>
        <v>0</v>
      </c>
      <c r="H82" s="104">
        <v>2</v>
      </c>
      <c r="I82" s="95">
        <f t="shared" si="185"/>
        <v>0</v>
      </c>
      <c r="J82" s="137">
        <f t="shared" ref="J82:J93" si="186">D82*E82+F82*G82+H82*I82</f>
        <v>0</v>
      </c>
      <c r="K82" s="334" t="str">
        <f t="shared" si="150"/>
        <v>500MLL15KV</v>
      </c>
      <c r="L82" s="248">
        <v>2.5</v>
      </c>
      <c r="M82" s="285">
        <f t="shared" si="151"/>
        <v>17695</v>
      </c>
      <c r="N82" s="241">
        <v>0.25</v>
      </c>
      <c r="O82" s="285">
        <f t="shared" si="152"/>
        <v>1769.5</v>
      </c>
      <c r="P82" s="241">
        <v>0.5</v>
      </c>
      <c r="Q82" s="285">
        <f t="shared" si="153"/>
        <v>2674</v>
      </c>
      <c r="R82" s="241">
        <v>0</v>
      </c>
      <c r="S82" s="285">
        <f t="shared" si="154"/>
        <v>0</v>
      </c>
      <c r="T82" s="241">
        <v>1.5</v>
      </c>
      <c r="U82" s="266">
        <f t="shared" si="155"/>
        <v>10617</v>
      </c>
      <c r="V82" s="241">
        <v>1.25</v>
      </c>
      <c r="W82" s="266">
        <f t="shared" si="156"/>
        <v>6685</v>
      </c>
      <c r="X82" s="241">
        <v>8</v>
      </c>
      <c r="Y82" s="266">
        <f t="shared" si="157"/>
        <v>57808</v>
      </c>
      <c r="Z82" s="241">
        <v>1</v>
      </c>
      <c r="AA82" s="266">
        <f t="shared" si="158"/>
        <v>5647</v>
      </c>
      <c r="AB82" s="241">
        <v>1.25</v>
      </c>
      <c r="AC82" s="266">
        <f t="shared" si="159"/>
        <v>8651.25</v>
      </c>
      <c r="AD82" s="236">
        <v>2.75</v>
      </c>
      <c r="AE82" s="266">
        <f t="shared" si="160"/>
        <v>19464.5</v>
      </c>
      <c r="AF82" s="236">
        <v>2</v>
      </c>
      <c r="AG82" s="266">
        <f t="shared" si="161"/>
        <v>10696</v>
      </c>
      <c r="AH82" s="236">
        <v>28</v>
      </c>
      <c r="AI82" s="266">
        <f t="shared" si="162"/>
        <v>202328</v>
      </c>
      <c r="AJ82" s="236"/>
      <c r="AK82" s="266">
        <f t="shared" si="163"/>
        <v>0</v>
      </c>
      <c r="AL82" s="236">
        <v>1.75</v>
      </c>
      <c r="AM82" s="266">
        <f t="shared" si="164"/>
        <v>9882.25</v>
      </c>
      <c r="AN82" s="236">
        <v>2</v>
      </c>
      <c r="AO82" s="266">
        <f t="shared" si="165"/>
        <v>13842</v>
      </c>
      <c r="AP82" s="236">
        <v>2.25</v>
      </c>
      <c r="AQ82" s="266">
        <f t="shared" si="166"/>
        <v>11294</v>
      </c>
      <c r="AR82" s="288"/>
      <c r="AS82" s="266">
        <f t="shared" si="167"/>
        <v>0</v>
      </c>
      <c r="AT82" s="287">
        <f t="shared" si="168"/>
        <v>379053.5</v>
      </c>
      <c r="AU82" s="244">
        <v>38.450000000000003</v>
      </c>
      <c r="AV82" s="285">
        <f t="shared" si="169"/>
        <v>242619.50000000003</v>
      </c>
      <c r="AW82" s="236">
        <f t="shared" si="146"/>
        <v>11.73</v>
      </c>
      <c r="AX82" s="285">
        <f t="shared" si="170"/>
        <v>73899</v>
      </c>
      <c r="AY82" s="236">
        <f t="shared" si="147"/>
        <v>2.72</v>
      </c>
      <c r="AZ82" s="285">
        <f t="shared" si="171"/>
        <v>14606.400000000001</v>
      </c>
      <c r="BA82" s="241">
        <f t="shared" si="148"/>
        <v>0</v>
      </c>
      <c r="BB82" s="285">
        <f t="shared" si="172"/>
        <v>0</v>
      </c>
      <c r="BC82" s="236">
        <f t="shared" si="149"/>
        <v>1.95</v>
      </c>
      <c r="BD82" s="285">
        <f t="shared" si="173"/>
        <v>12304.5</v>
      </c>
      <c r="BE82" s="236">
        <v>14.75</v>
      </c>
      <c r="BF82" s="285">
        <f t="shared" si="174"/>
        <v>99370.75</v>
      </c>
      <c r="BG82" s="236">
        <v>5.05</v>
      </c>
      <c r="BH82" s="285">
        <f t="shared" si="175"/>
        <v>34021.85</v>
      </c>
      <c r="BI82" s="236">
        <v>2</v>
      </c>
      <c r="BJ82" s="285">
        <f t="shared" si="176"/>
        <v>26426</v>
      </c>
      <c r="BK82" s="236">
        <v>8</v>
      </c>
      <c r="BL82" s="266">
        <f t="shared" si="177"/>
        <v>46056</v>
      </c>
      <c r="BM82" s="288"/>
      <c r="BN82" s="92">
        <f t="shared" si="178"/>
        <v>0</v>
      </c>
      <c r="BO82" s="93">
        <f t="shared" si="179"/>
        <v>549304</v>
      </c>
      <c r="BP82" s="223">
        <f t="shared" si="180"/>
        <v>928357.5</v>
      </c>
      <c r="BQ82" s="280">
        <f t="shared" si="181"/>
        <v>907725</v>
      </c>
      <c r="BR82" s="34">
        <f t="shared" si="182"/>
        <v>139.65</v>
      </c>
      <c r="CB82" s="277">
        <v>42783.673379629632</v>
      </c>
      <c r="CC82" s="276" t="s">
        <v>115</v>
      </c>
    </row>
    <row r="83" spans="1:81" ht="19.5" thickBot="1" x14ac:dyDescent="0.35">
      <c r="A83" s="705"/>
      <c r="B83" s="705"/>
      <c r="C83" s="133">
        <v>630</v>
      </c>
      <c r="D83" s="141">
        <f t="shared" si="144"/>
        <v>6</v>
      </c>
      <c r="E83" s="95">
        <f t="shared" si="183"/>
        <v>0</v>
      </c>
      <c r="F83" s="100">
        <f t="shared" si="145"/>
        <v>10</v>
      </c>
      <c r="G83" s="95">
        <f t="shared" si="184"/>
        <v>0</v>
      </c>
      <c r="H83" s="104">
        <v>2</v>
      </c>
      <c r="I83" s="95">
        <f t="shared" si="185"/>
        <v>0</v>
      </c>
      <c r="J83" s="137">
        <f t="shared" si="186"/>
        <v>0</v>
      </c>
      <c r="K83" s="334" t="str">
        <f t="shared" si="150"/>
        <v>630MLL15KV</v>
      </c>
      <c r="L83" s="248">
        <v>2.5</v>
      </c>
      <c r="M83" s="285">
        <f t="shared" si="151"/>
        <v>17695</v>
      </c>
      <c r="N83" s="241">
        <v>0.25</v>
      </c>
      <c r="O83" s="285">
        <f t="shared" si="152"/>
        <v>1769.5</v>
      </c>
      <c r="P83" s="241">
        <v>0.5</v>
      </c>
      <c r="Q83" s="285">
        <f t="shared" si="153"/>
        <v>2674</v>
      </c>
      <c r="R83" s="241">
        <v>1.5</v>
      </c>
      <c r="S83" s="285">
        <f t="shared" si="154"/>
        <v>10839</v>
      </c>
      <c r="T83" s="241">
        <v>1.5</v>
      </c>
      <c r="U83" s="266">
        <f t="shared" si="155"/>
        <v>10617</v>
      </c>
      <c r="V83" s="241">
        <v>1.25</v>
      </c>
      <c r="W83" s="266">
        <f t="shared" si="156"/>
        <v>6685</v>
      </c>
      <c r="X83" s="241">
        <v>9</v>
      </c>
      <c r="Y83" s="266">
        <f t="shared" si="157"/>
        <v>65034</v>
      </c>
      <c r="Z83" s="241">
        <v>1</v>
      </c>
      <c r="AA83" s="266">
        <f t="shared" si="158"/>
        <v>5647</v>
      </c>
      <c r="AB83" s="241">
        <v>1.25</v>
      </c>
      <c r="AC83" s="266">
        <f t="shared" si="159"/>
        <v>8651.25</v>
      </c>
      <c r="AD83" s="236">
        <v>2.75</v>
      </c>
      <c r="AE83" s="266">
        <f t="shared" si="160"/>
        <v>19464.5</v>
      </c>
      <c r="AF83" s="236">
        <v>3</v>
      </c>
      <c r="AG83" s="266">
        <f t="shared" si="161"/>
        <v>16044</v>
      </c>
      <c r="AH83" s="236">
        <v>30</v>
      </c>
      <c r="AI83" s="266">
        <f t="shared" si="162"/>
        <v>216780</v>
      </c>
      <c r="AJ83" s="236"/>
      <c r="AK83" s="266">
        <f t="shared" si="163"/>
        <v>0</v>
      </c>
      <c r="AL83" s="236">
        <v>2</v>
      </c>
      <c r="AM83" s="266">
        <f t="shared" si="164"/>
        <v>11294</v>
      </c>
      <c r="AN83" s="236">
        <v>2</v>
      </c>
      <c r="AO83" s="266">
        <f t="shared" si="165"/>
        <v>13842</v>
      </c>
      <c r="AP83" s="236">
        <v>2.5</v>
      </c>
      <c r="AQ83" s="266">
        <f t="shared" si="166"/>
        <v>11294</v>
      </c>
      <c r="AR83" s="288"/>
      <c r="AS83" s="266">
        <f t="shared" si="167"/>
        <v>0</v>
      </c>
      <c r="AT83" s="287">
        <f t="shared" si="168"/>
        <v>418330.25</v>
      </c>
      <c r="AU83" s="244">
        <v>43.75</v>
      </c>
      <c r="AV83" s="285">
        <f t="shared" si="169"/>
        <v>276062.5</v>
      </c>
      <c r="AW83" s="236">
        <f t="shared" si="146"/>
        <v>13.45</v>
      </c>
      <c r="AX83" s="285">
        <f t="shared" si="170"/>
        <v>84735</v>
      </c>
      <c r="AY83" s="236">
        <f t="shared" si="147"/>
        <v>2.93</v>
      </c>
      <c r="AZ83" s="285">
        <f t="shared" si="171"/>
        <v>15734.1</v>
      </c>
      <c r="BA83" s="241">
        <f t="shared" si="148"/>
        <v>0</v>
      </c>
      <c r="BB83" s="285">
        <f t="shared" si="172"/>
        <v>0</v>
      </c>
      <c r="BC83" s="236">
        <f t="shared" si="149"/>
        <v>1.95</v>
      </c>
      <c r="BD83" s="285">
        <f t="shared" si="173"/>
        <v>12304.5</v>
      </c>
      <c r="BE83" s="236">
        <v>16.25</v>
      </c>
      <c r="BF83" s="285">
        <f t="shared" si="174"/>
        <v>109476.25</v>
      </c>
      <c r="BG83" s="236">
        <v>5.98</v>
      </c>
      <c r="BH83" s="285">
        <f t="shared" si="175"/>
        <v>40287.26</v>
      </c>
      <c r="BI83" s="236">
        <v>2.75</v>
      </c>
      <c r="BJ83" s="285">
        <f t="shared" si="176"/>
        <v>36335.75</v>
      </c>
      <c r="BK83" s="236">
        <v>8</v>
      </c>
      <c r="BL83" s="266">
        <f t="shared" si="177"/>
        <v>46056</v>
      </c>
      <c r="BM83" s="288">
        <v>3</v>
      </c>
      <c r="BN83" s="92">
        <f t="shared" si="178"/>
        <v>20196</v>
      </c>
      <c r="BO83" s="93">
        <f t="shared" si="179"/>
        <v>641187.36</v>
      </c>
      <c r="BP83" s="223">
        <f t="shared" si="180"/>
        <v>1059517.6099999999</v>
      </c>
      <c r="BQ83" s="280">
        <f t="shared" si="181"/>
        <v>1033890</v>
      </c>
      <c r="BR83" s="34">
        <f t="shared" si="182"/>
        <v>159.06</v>
      </c>
    </row>
    <row r="84" spans="1:81" ht="19.5" thickBot="1" x14ac:dyDescent="0.35">
      <c r="A84" s="705"/>
      <c r="B84" s="705"/>
      <c r="C84" s="133">
        <v>750</v>
      </c>
      <c r="D84" s="141">
        <f t="shared" si="144"/>
        <v>6</v>
      </c>
      <c r="E84" s="95">
        <f t="shared" si="183"/>
        <v>0</v>
      </c>
      <c r="F84" s="100">
        <f t="shared" si="145"/>
        <v>10</v>
      </c>
      <c r="G84" s="95">
        <f t="shared" si="184"/>
        <v>0</v>
      </c>
      <c r="H84" s="104">
        <v>2</v>
      </c>
      <c r="I84" s="95">
        <f t="shared" si="185"/>
        <v>0</v>
      </c>
      <c r="J84" s="137">
        <f t="shared" ref="J84" si="187">D84*E84+F84*G84+H84*I84</f>
        <v>0</v>
      </c>
      <c r="K84" s="334" t="str">
        <f t="shared" ref="K84" si="188">C84&amp;$B$73&amp;$A$73</f>
        <v>750MLL15KV</v>
      </c>
      <c r="L84" s="248"/>
      <c r="M84" s="285">
        <f t="shared" ref="M84" si="189">$M$5*L84</f>
        <v>0</v>
      </c>
      <c r="N84" s="241"/>
      <c r="O84" s="285">
        <f t="shared" ref="O84" si="190">$O$5*N84</f>
        <v>0</v>
      </c>
      <c r="P84" s="241"/>
      <c r="Q84" s="285">
        <f t="shared" ref="Q84" si="191">$Q$5*P84</f>
        <v>0</v>
      </c>
      <c r="R84" s="241"/>
      <c r="S84" s="285">
        <f t="shared" ref="S84" si="192">$S$5*R84</f>
        <v>0</v>
      </c>
      <c r="T84" s="241"/>
      <c r="U84" s="266">
        <f t="shared" ref="U84" si="193">$U$5*T84</f>
        <v>0</v>
      </c>
      <c r="V84" s="241"/>
      <c r="W84" s="266">
        <f t="shared" ref="W84" si="194">$W$5*V84</f>
        <v>0</v>
      </c>
      <c r="X84" s="241"/>
      <c r="Y84" s="266">
        <f t="shared" ref="Y84" si="195">$Y$5*X84</f>
        <v>0</v>
      </c>
      <c r="Z84" s="241"/>
      <c r="AA84" s="266">
        <f t="shared" ref="AA84" si="196">$AA$5*Z84</f>
        <v>0</v>
      </c>
      <c r="AB84" s="241"/>
      <c r="AC84" s="266">
        <f t="shared" ref="AC84" si="197">$AC$5*AB84</f>
        <v>0</v>
      </c>
      <c r="AD84" s="236"/>
      <c r="AE84" s="266">
        <f t="shared" ref="AE84" si="198">$AE$5*AD84</f>
        <v>0</v>
      </c>
      <c r="AF84" s="236"/>
      <c r="AG84" s="266">
        <f t="shared" ref="AG84" si="199">$AG$5*AF84</f>
        <v>0</v>
      </c>
      <c r="AH84" s="236"/>
      <c r="AI84" s="266">
        <f t="shared" ref="AI84" si="200">$AI$5*AH84</f>
        <v>0</v>
      </c>
      <c r="AJ84" s="236"/>
      <c r="AK84" s="266">
        <f t="shared" ref="AK84" si="201">$AK$5*AJ84</f>
        <v>0</v>
      </c>
      <c r="AL84" s="236"/>
      <c r="AM84" s="266">
        <f t="shared" ref="AM84" si="202">$AM$5*AL84</f>
        <v>0</v>
      </c>
      <c r="AN84" s="236"/>
      <c r="AO84" s="266">
        <f t="shared" ref="AO84" si="203">$AO$5*AN84</f>
        <v>0</v>
      </c>
      <c r="AP84" s="236"/>
      <c r="AQ84" s="266">
        <f t="shared" ref="AQ84" si="204">$AQ$5*AN84</f>
        <v>0</v>
      </c>
      <c r="AR84" s="288"/>
      <c r="AS84" s="266">
        <f t="shared" ref="AS84" si="205">$AS$5*AR84</f>
        <v>0</v>
      </c>
      <c r="AT84" s="287">
        <f t="shared" ref="AT84" si="206">+M84+O84+Q84+S84+U84+W84+Y84+AA84+AC84+AE84+AG84+AI84+AK84+AM84+AO84+AQ84+AS84</f>
        <v>0</v>
      </c>
      <c r="AU84" s="244"/>
      <c r="AV84" s="285">
        <f t="shared" ref="AV84" si="207">$AV$5*AU84</f>
        <v>0</v>
      </c>
      <c r="AW84" s="236"/>
      <c r="AX84" s="285">
        <f t="shared" ref="AX84" si="208">$AX$5*AW84</f>
        <v>0</v>
      </c>
      <c r="AY84" s="236"/>
      <c r="AZ84" s="285">
        <f t="shared" ref="AZ84" si="209">$AZ$5*AY84</f>
        <v>0</v>
      </c>
      <c r="BA84" s="241"/>
      <c r="BB84" s="285">
        <f t="shared" ref="BB84" si="210">$BB$5*BA84</f>
        <v>0</v>
      </c>
      <c r="BC84" s="236"/>
      <c r="BD84" s="285">
        <f t="shared" ref="BD84" si="211">$BD$5*BC84</f>
        <v>0</v>
      </c>
      <c r="BE84" s="236"/>
      <c r="BF84" s="285">
        <f t="shared" ref="BF84" si="212">$BF$5*BE84</f>
        <v>0</v>
      </c>
      <c r="BG84" s="236"/>
      <c r="BH84" s="285">
        <f t="shared" ref="BH84" si="213">$BH$5*BG84</f>
        <v>0</v>
      </c>
      <c r="BI84" s="236"/>
      <c r="BJ84" s="285">
        <f t="shared" ref="BJ84" si="214">$BJ$5*BI84</f>
        <v>0</v>
      </c>
      <c r="BK84" s="236"/>
      <c r="BL84" s="266">
        <f t="shared" ref="BL84" si="215">$BL$5*BK84</f>
        <v>0</v>
      </c>
      <c r="BM84" s="288">
        <v>3</v>
      </c>
      <c r="BN84" s="92">
        <f t="shared" ref="BN84" si="216">+$BN$5*BM84</f>
        <v>20196</v>
      </c>
      <c r="BO84" s="93">
        <f t="shared" ref="BO84" si="217">+AV84+AX84+AZ84+BB84+BD84+BF84+BH84+BJ84+BL84+BN84</f>
        <v>20196</v>
      </c>
      <c r="BP84" s="223">
        <f t="shared" ref="BP84" si="218">AT84+BO84</f>
        <v>20196</v>
      </c>
      <c r="BQ84" s="280">
        <f t="shared" ref="BQ84" si="219">+$BQ$1*BR84</f>
        <v>19500</v>
      </c>
      <c r="BR84" s="34">
        <f t="shared" ref="BR84" si="220">+L84+N84+P84+R84+T84+V84+X84+Z84+AB84+AD84+AF84+AH84+AJ84+AL84+AN84+AP84+AR84+AU84+AW84+AY84+BA84+BC84+BE84+BG84+BI84+BK84+BM84</f>
        <v>3</v>
      </c>
      <c r="CB84" s="277">
        <v>42745.504953703705</v>
      </c>
      <c r="CC84" s="276" t="s">
        <v>115</v>
      </c>
    </row>
    <row r="85" spans="1:81" ht="19.5" thickBot="1" x14ac:dyDescent="0.35">
      <c r="A85" s="705"/>
      <c r="B85" s="705"/>
      <c r="C85" s="133">
        <v>800</v>
      </c>
      <c r="D85" s="141">
        <f t="shared" si="144"/>
        <v>6</v>
      </c>
      <c r="E85" s="95">
        <f t="shared" si="183"/>
        <v>0</v>
      </c>
      <c r="F85" s="100">
        <f t="shared" si="145"/>
        <v>10</v>
      </c>
      <c r="G85" s="95">
        <f t="shared" si="184"/>
        <v>0</v>
      </c>
      <c r="H85" s="104">
        <v>2</v>
      </c>
      <c r="I85" s="95">
        <f t="shared" si="185"/>
        <v>0</v>
      </c>
      <c r="J85" s="137">
        <f t="shared" si="186"/>
        <v>0</v>
      </c>
      <c r="K85" s="334" t="str">
        <f t="shared" si="150"/>
        <v>800MLL15KV</v>
      </c>
      <c r="L85" s="248">
        <v>2.5</v>
      </c>
      <c r="M85" s="285">
        <f t="shared" si="151"/>
        <v>17695</v>
      </c>
      <c r="N85" s="241">
        <v>0.25</v>
      </c>
      <c r="O85" s="285">
        <f t="shared" si="152"/>
        <v>1769.5</v>
      </c>
      <c r="P85" s="241">
        <v>0.5</v>
      </c>
      <c r="Q85" s="285">
        <f t="shared" si="153"/>
        <v>2674</v>
      </c>
      <c r="R85" s="241">
        <v>1.5</v>
      </c>
      <c r="S85" s="285">
        <f t="shared" si="154"/>
        <v>10839</v>
      </c>
      <c r="T85" s="241">
        <v>1.5</v>
      </c>
      <c r="U85" s="266">
        <f t="shared" si="155"/>
        <v>10617</v>
      </c>
      <c r="V85" s="241">
        <v>1.25</v>
      </c>
      <c r="W85" s="266">
        <f t="shared" si="156"/>
        <v>6685</v>
      </c>
      <c r="X85" s="241">
        <v>9</v>
      </c>
      <c r="Y85" s="266">
        <f t="shared" si="157"/>
        <v>65034</v>
      </c>
      <c r="Z85" s="241">
        <v>1.25</v>
      </c>
      <c r="AA85" s="266">
        <f t="shared" si="158"/>
        <v>7058.75</v>
      </c>
      <c r="AB85" s="241">
        <v>1.25</v>
      </c>
      <c r="AC85" s="266">
        <f t="shared" si="159"/>
        <v>8651.25</v>
      </c>
      <c r="AD85" s="236">
        <v>3</v>
      </c>
      <c r="AE85" s="266">
        <f t="shared" si="160"/>
        <v>21234</v>
      </c>
      <c r="AF85" s="236">
        <v>3</v>
      </c>
      <c r="AG85" s="266">
        <f t="shared" si="161"/>
        <v>16044</v>
      </c>
      <c r="AH85" s="236">
        <v>30</v>
      </c>
      <c r="AI85" s="266">
        <f t="shared" si="162"/>
        <v>216780</v>
      </c>
      <c r="AJ85" s="236"/>
      <c r="AK85" s="266">
        <f t="shared" si="163"/>
        <v>0</v>
      </c>
      <c r="AL85" s="236">
        <v>2</v>
      </c>
      <c r="AM85" s="266">
        <f t="shared" si="164"/>
        <v>11294</v>
      </c>
      <c r="AN85" s="236">
        <v>2</v>
      </c>
      <c r="AO85" s="266">
        <f t="shared" si="165"/>
        <v>13842</v>
      </c>
      <c r="AP85" s="236">
        <v>2.5</v>
      </c>
      <c r="AQ85" s="266">
        <f t="shared" si="166"/>
        <v>11294</v>
      </c>
      <c r="AR85" s="288"/>
      <c r="AS85" s="266">
        <f t="shared" si="167"/>
        <v>0</v>
      </c>
      <c r="AT85" s="287">
        <f t="shared" si="168"/>
        <v>421511.5</v>
      </c>
      <c r="AU85" s="244">
        <v>49.25</v>
      </c>
      <c r="AV85" s="285">
        <f t="shared" si="169"/>
        <v>310767.5</v>
      </c>
      <c r="AW85" s="236">
        <f>AW68</f>
        <v>14.35</v>
      </c>
      <c r="AX85" s="285">
        <f t="shared" si="170"/>
        <v>90405</v>
      </c>
      <c r="AY85" s="236">
        <f>AY68</f>
        <v>3.18</v>
      </c>
      <c r="AZ85" s="285">
        <f t="shared" si="171"/>
        <v>17076.600000000002</v>
      </c>
      <c r="BA85" s="241">
        <f>BA68</f>
        <v>0</v>
      </c>
      <c r="BB85" s="285">
        <f t="shared" si="172"/>
        <v>0</v>
      </c>
      <c r="BC85" s="236">
        <f>BC68</f>
        <v>1.95</v>
      </c>
      <c r="BD85" s="285">
        <f t="shared" si="173"/>
        <v>12304.5</v>
      </c>
      <c r="BE85" s="236">
        <v>17.5</v>
      </c>
      <c r="BF85" s="285">
        <f t="shared" si="174"/>
        <v>117897.5</v>
      </c>
      <c r="BG85" s="236">
        <v>6.25</v>
      </c>
      <c r="BH85" s="285">
        <f t="shared" si="175"/>
        <v>42106.25</v>
      </c>
      <c r="BI85" s="236">
        <v>2.75</v>
      </c>
      <c r="BJ85" s="285">
        <f t="shared" si="176"/>
        <v>36335.75</v>
      </c>
      <c r="BK85" s="236">
        <v>8</v>
      </c>
      <c r="BL85" s="266">
        <f t="shared" si="177"/>
        <v>46056</v>
      </c>
      <c r="BM85" s="288">
        <v>3</v>
      </c>
      <c r="BN85" s="92">
        <f t="shared" si="178"/>
        <v>20196</v>
      </c>
      <c r="BO85" s="93">
        <f t="shared" si="179"/>
        <v>693145.1</v>
      </c>
      <c r="BP85" s="223">
        <f t="shared" si="180"/>
        <v>1114656.6000000001</v>
      </c>
      <c r="BQ85" s="280">
        <f t="shared" si="181"/>
        <v>1090245</v>
      </c>
      <c r="BR85" s="34">
        <f t="shared" si="182"/>
        <v>167.73</v>
      </c>
    </row>
    <row r="86" spans="1:81" ht="19.5" thickBot="1" x14ac:dyDescent="0.35">
      <c r="A86" s="705"/>
      <c r="B86" s="705"/>
      <c r="C86" s="133">
        <v>1000</v>
      </c>
      <c r="D86" s="141">
        <f t="shared" si="144"/>
        <v>8</v>
      </c>
      <c r="E86" s="95">
        <f t="shared" si="183"/>
        <v>0</v>
      </c>
      <c r="F86" s="100">
        <f t="shared" si="145"/>
        <v>12</v>
      </c>
      <c r="G86" s="95">
        <f t="shared" si="184"/>
        <v>0</v>
      </c>
      <c r="H86" s="104">
        <v>2</v>
      </c>
      <c r="I86" s="95">
        <f t="shared" si="185"/>
        <v>0</v>
      </c>
      <c r="J86" s="137">
        <f t="shared" si="186"/>
        <v>0</v>
      </c>
      <c r="K86" s="334" t="str">
        <f t="shared" si="150"/>
        <v>1000MLL15KV</v>
      </c>
      <c r="L86" s="248">
        <v>2.5</v>
      </c>
      <c r="M86" s="285">
        <f t="shared" si="151"/>
        <v>17695</v>
      </c>
      <c r="N86" s="241">
        <v>0.35</v>
      </c>
      <c r="O86" s="285">
        <f t="shared" si="152"/>
        <v>2477.2999999999997</v>
      </c>
      <c r="P86" s="241">
        <v>0.5</v>
      </c>
      <c r="Q86" s="285">
        <f t="shared" si="153"/>
        <v>2674</v>
      </c>
      <c r="R86" s="241">
        <v>1.5</v>
      </c>
      <c r="S86" s="285">
        <f t="shared" si="154"/>
        <v>10839</v>
      </c>
      <c r="T86" s="241">
        <v>1.5</v>
      </c>
      <c r="U86" s="266">
        <f t="shared" si="155"/>
        <v>10617</v>
      </c>
      <c r="V86" s="241">
        <v>1.25</v>
      </c>
      <c r="W86" s="266">
        <f t="shared" si="156"/>
        <v>6685</v>
      </c>
      <c r="X86" s="241">
        <v>9</v>
      </c>
      <c r="Y86" s="266">
        <f t="shared" si="157"/>
        <v>65034</v>
      </c>
      <c r="Z86" s="241">
        <v>1.25</v>
      </c>
      <c r="AA86" s="266">
        <f t="shared" si="158"/>
        <v>7058.75</v>
      </c>
      <c r="AB86" s="241">
        <v>1.5</v>
      </c>
      <c r="AC86" s="266">
        <f t="shared" si="159"/>
        <v>10381.5</v>
      </c>
      <c r="AD86" s="236">
        <v>7</v>
      </c>
      <c r="AE86" s="266">
        <f t="shared" si="160"/>
        <v>49546</v>
      </c>
      <c r="AF86" s="236">
        <v>3</v>
      </c>
      <c r="AG86" s="266">
        <f t="shared" si="161"/>
        <v>16044</v>
      </c>
      <c r="AH86" s="236">
        <v>32</v>
      </c>
      <c r="AI86" s="266">
        <f t="shared" si="162"/>
        <v>231232</v>
      </c>
      <c r="AJ86" s="236"/>
      <c r="AK86" s="266">
        <f t="shared" si="163"/>
        <v>0</v>
      </c>
      <c r="AL86" s="236">
        <v>2.25</v>
      </c>
      <c r="AM86" s="266">
        <f t="shared" si="164"/>
        <v>12705.75</v>
      </c>
      <c r="AN86" s="236">
        <v>2.5</v>
      </c>
      <c r="AO86" s="266">
        <f t="shared" si="165"/>
        <v>17302.5</v>
      </c>
      <c r="AP86" s="236">
        <v>3</v>
      </c>
      <c r="AQ86" s="266">
        <f t="shared" si="166"/>
        <v>14117.5</v>
      </c>
      <c r="AR86" s="288"/>
      <c r="AS86" s="266">
        <f t="shared" si="167"/>
        <v>0</v>
      </c>
      <c r="AT86" s="287">
        <f t="shared" si="168"/>
        <v>474409.3</v>
      </c>
      <c r="AU86" s="244">
        <v>55.8</v>
      </c>
      <c r="AV86" s="285">
        <f t="shared" si="169"/>
        <v>352098</v>
      </c>
      <c r="AW86" s="236">
        <f>AW69</f>
        <v>15.85</v>
      </c>
      <c r="AX86" s="285">
        <f t="shared" si="170"/>
        <v>99855</v>
      </c>
      <c r="AY86" s="236">
        <f>AY69</f>
        <v>3.55</v>
      </c>
      <c r="AZ86" s="285">
        <f t="shared" si="171"/>
        <v>19063.5</v>
      </c>
      <c r="BA86" s="241">
        <f>BA69</f>
        <v>0</v>
      </c>
      <c r="BB86" s="285">
        <f t="shared" si="172"/>
        <v>0</v>
      </c>
      <c r="BC86" s="236">
        <f>BC69</f>
        <v>2.95</v>
      </c>
      <c r="BD86" s="285">
        <f t="shared" si="173"/>
        <v>18614.5</v>
      </c>
      <c r="BE86" s="236">
        <v>23.5</v>
      </c>
      <c r="BF86" s="285">
        <f t="shared" si="174"/>
        <v>158319.5</v>
      </c>
      <c r="BG86" s="236">
        <v>6.63</v>
      </c>
      <c r="BH86" s="285">
        <f t="shared" si="175"/>
        <v>44666.31</v>
      </c>
      <c r="BI86" s="236">
        <v>2.75</v>
      </c>
      <c r="BJ86" s="285">
        <f t="shared" si="176"/>
        <v>36335.75</v>
      </c>
      <c r="BK86" s="236">
        <v>10</v>
      </c>
      <c r="BL86" s="266">
        <f t="shared" si="177"/>
        <v>57570</v>
      </c>
      <c r="BM86" s="288">
        <v>3</v>
      </c>
      <c r="BN86" s="92">
        <f t="shared" si="178"/>
        <v>20196</v>
      </c>
      <c r="BO86" s="93">
        <f t="shared" si="179"/>
        <v>806718.56</v>
      </c>
      <c r="BP86" s="223">
        <f t="shared" si="180"/>
        <v>1281127.8600000001</v>
      </c>
      <c r="BQ86" s="280">
        <f t="shared" si="181"/>
        <v>1255345</v>
      </c>
      <c r="BR86" s="34">
        <f t="shared" si="182"/>
        <v>193.13</v>
      </c>
    </row>
    <row r="87" spans="1:81" ht="19.5" thickBot="1" x14ac:dyDescent="0.35">
      <c r="A87" s="705"/>
      <c r="B87" s="705"/>
      <c r="C87" s="144">
        <v>1250</v>
      </c>
      <c r="D87" s="141">
        <f t="shared" si="144"/>
        <v>8</v>
      </c>
      <c r="E87" s="95">
        <f t="shared" si="183"/>
        <v>0</v>
      </c>
      <c r="F87" s="100">
        <f t="shared" si="145"/>
        <v>12</v>
      </c>
      <c r="G87" s="95">
        <f t="shared" si="184"/>
        <v>0</v>
      </c>
      <c r="H87" s="104">
        <v>4</v>
      </c>
      <c r="I87" s="95">
        <f t="shared" si="185"/>
        <v>0</v>
      </c>
      <c r="J87" s="137">
        <f t="shared" si="186"/>
        <v>0</v>
      </c>
      <c r="K87" s="334" t="str">
        <f t="shared" si="150"/>
        <v>1250MLL15KV</v>
      </c>
      <c r="L87" s="248">
        <v>2.5</v>
      </c>
      <c r="M87" s="285">
        <f t="shared" si="151"/>
        <v>17695</v>
      </c>
      <c r="N87" s="241">
        <v>0.35</v>
      </c>
      <c r="O87" s="285">
        <f t="shared" si="152"/>
        <v>2477.2999999999997</v>
      </c>
      <c r="P87" s="241">
        <v>0.5</v>
      </c>
      <c r="Q87" s="285">
        <f t="shared" si="153"/>
        <v>2674</v>
      </c>
      <c r="R87" s="241">
        <v>1.5</v>
      </c>
      <c r="S87" s="285">
        <f t="shared" si="154"/>
        <v>10839</v>
      </c>
      <c r="T87" s="241">
        <v>1.5</v>
      </c>
      <c r="U87" s="266">
        <f t="shared" si="155"/>
        <v>10617</v>
      </c>
      <c r="V87" s="241">
        <v>1.25</v>
      </c>
      <c r="W87" s="266">
        <f t="shared" si="156"/>
        <v>6685</v>
      </c>
      <c r="X87" s="241">
        <v>9</v>
      </c>
      <c r="Y87" s="266">
        <f t="shared" si="157"/>
        <v>65034</v>
      </c>
      <c r="Z87" s="241">
        <v>1.5</v>
      </c>
      <c r="AA87" s="266">
        <f t="shared" si="158"/>
        <v>8470.5</v>
      </c>
      <c r="AB87" s="241">
        <v>1.5</v>
      </c>
      <c r="AC87" s="266">
        <f t="shared" si="159"/>
        <v>10381.5</v>
      </c>
      <c r="AD87" s="236">
        <v>9</v>
      </c>
      <c r="AE87" s="266">
        <f t="shared" si="160"/>
        <v>63702</v>
      </c>
      <c r="AF87" s="236">
        <v>3</v>
      </c>
      <c r="AG87" s="266">
        <f t="shared" si="161"/>
        <v>16044</v>
      </c>
      <c r="AH87" s="236">
        <v>32</v>
      </c>
      <c r="AI87" s="266">
        <f t="shared" si="162"/>
        <v>231232</v>
      </c>
      <c r="AJ87" s="236"/>
      <c r="AK87" s="266">
        <f t="shared" si="163"/>
        <v>0</v>
      </c>
      <c r="AL87" s="236">
        <v>2.25</v>
      </c>
      <c r="AM87" s="266">
        <f t="shared" si="164"/>
        <v>12705.75</v>
      </c>
      <c r="AN87" s="236">
        <v>2.5</v>
      </c>
      <c r="AO87" s="266">
        <f t="shared" si="165"/>
        <v>17302.5</v>
      </c>
      <c r="AP87" s="236">
        <v>3</v>
      </c>
      <c r="AQ87" s="266">
        <f t="shared" si="166"/>
        <v>14117.5</v>
      </c>
      <c r="AR87" s="288"/>
      <c r="AS87" s="266">
        <f t="shared" si="167"/>
        <v>0</v>
      </c>
      <c r="AT87" s="287">
        <f t="shared" si="168"/>
        <v>489977.05</v>
      </c>
      <c r="AU87" s="244">
        <v>59.25</v>
      </c>
      <c r="AV87" s="285">
        <f t="shared" si="169"/>
        <v>373867.5</v>
      </c>
      <c r="AW87" s="236">
        <f>AW70</f>
        <v>15.85</v>
      </c>
      <c r="AX87" s="285">
        <f t="shared" si="170"/>
        <v>99855</v>
      </c>
      <c r="AY87" s="236">
        <f>AY70</f>
        <v>3.55</v>
      </c>
      <c r="AZ87" s="285">
        <f t="shared" si="171"/>
        <v>19063.5</v>
      </c>
      <c r="BA87" s="241">
        <f>BA70</f>
        <v>0</v>
      </c>
      <c r="BB87" s="285">
        <f t="shared" si="172"/>
        <v>0</v>
      </c>
      <c r="BC87" s="236">
        <f>BC70</f>
        <v>2.95</v>
      </c>
      <c r="BD87" s="285">
        <f t="shared" si="173"/>
        <v>18614.5</v>
      </c>
      <c r="BE87" s="236">
        <v>24.25</v>
      </c>
      <c r="BF87" s="285">
        <f t="shared" si="174"/>
        <v>163372.25</v>
      </c>
      <c r="BG87" s="236">
        <v>9.5</v>
      </c>
      <c r="BH87" s="285">
        <f t="shared" si="175"/>
        <v>64001.5</v>
      </c>
      <c r="BI87" s="236">
        <v>3</v>
      </c>
      <c r="BJ87" s="285">
        <f t="shared" si="176"/>
        <v>39639</v>
      </c>
      <c r="BK87" s="236">
        <v>10</v>
      </c>
      <c r="BL87" s="266">
        <f t="shared" si="177"/>
        <v>57570</v>
      </c>
      <c r="BM87" s="288">
        <v>3</v>
      </c>
      <c r="BN87" s="92">
        <f t="shared" si="178"/>
        <v>20196</v>
      </c>
      <c r="BO87" s="93">
        <f t="shared" si="179"/>
        <v>856179.25</v>
      </c>
      <c r="BP87" s="223">
        <f t="shared" si="180"/>
        <v>1346156.3</v>
      </c>
      <c r="BQ87" s="280">
        <f t="shared" si="181"/>
        <v>1317550</v>
      </c>
      <c r="BR87" s="34">
        <f t="shared" si="182"/>
        <v>202.7</v>
      </c>
    </row>
    <row r="88" spans="1:81" ht="19.5" thickBot="1" x14ac:dyDescent="0.35">
      <c r="A88" s="705"/>
      <c r="B88" s="705"/>
      <c r="C88" s="144">
        <v>1600</v>
      </c>
      <c r="D88" s="141">
        <f t="shared" si="144"/>
        <v>12</v>
      </c>
      <c r="E88" s="95">
        <f t="shared" si="183"/>
        <v>0</v>
      </c>
      <c r="F88" s="100">
        <f t="shared" si="145"/>
        <v>16</v>
      </c>
      <c r="G88" s="95">
        <f t="shared" si="184"/>
        <v>0</v>
      </c>
      <c r="H88" s="104">
        <v>4</v>
      </c>
      <c r="I88" s="95">
        <f t="shared" si="185"/>
        <v>0</v>
      </c>
      <c r="J88" s="137">
        <f t="shared" si="186"/>
        <v>0</v>
      </c>
      <c r="K88" s="334" t="str">
        <f t="shared" si="150"/>
        <v>1600MLL15KV</v>
      </c>
      <c r="L88" s="248">
        <v>2.5</v>
      </c>
      <c r="M88" s="285">
        <f t="shared" si="151"/>
        <v>17695</v>
      </c>
      <c r="N88" s="241">
        <v>0.35</v>
      </c>
      <c r="O88" s="285">
        <f t="shared" si="152"/>
        <v>2477.2999999999997</v>
      </c>
      <c r="P88" s="241">
        <v>0.5</v>
      </c>
      <c r="Q88" s="285">
        <f t="shared" si="153"/>
        <v>2674</v>
      </c>
      <c r="R88" s="241">
        <v>1.5</v>
      </c>
      <c r="S88" s="285">
        <f t="shared" si="154"/>
        <v>10839</v>
      </c>
      <c r="T88" s="241">
        <v>1.5</v>
      </c>
      <c r="U88" s="266">
        <f t="shared" si="155"/>
        <v>10617</v>
      </c>
      <c r="V88" s="241">
        <v>1.25</v>
      </c>
      <c r="W88" s="266">
        <f t="shared" si="156"/>
        <v>6685</v>
      </c>
      <c r="X88" s="241">
        <v>10</v>
      </c>
      <c r="Y88" s="266">
        <f t="shared" si="157"/>
        <v>72260</v>
      </c>
      <c r="Z88" s="241">
        <v>1.5</v>
      </c>
      <c r="AA88" s="266">
        <f t="shared" si="158"/>
        <v>8470.5</v>
      </c>
      <c r="AB88" s="241">
        <v>1.75</v>
      </c>
      <c r="AC88" s="266">
        <f t="shared" si="159"/>
        <v>12111.75</v>
      </c>
      <c r="AD88" s="236">
        <v>9</v>
      </c>
      <c r="AE88" s="266">
        <f t="shared" si="160"/>
        <v>63702</v>
      </c>
      <c r="AF88" s="236">
        <v>3</v>
      </c>
      <c r="AG88" s="266">
        <f t="shared" si="161"/>
        <v>16044</v>
      </c>
      <c r="AH88" s="236">
        <v>35</v>
      </c>
      <c r="AI88" s="266">
        <f t="shared" si="162"/>
        <v>252910</v>
      </c>
      <c r="AJ88" s="236"/>
      <c r="AK88" s="266">
        <f t="shared" si="163"/>
        <v>0</v>
      </c>
      <c r="AL88" s="236">
        <v>3</v>
      </c>
      <c r="AM88" s="266">
        <f t="shared" si="164"/>
        <v>16941</v>
      </c>
      <c r="AN88" s="236">
        <v>3</v>
      </c>
      <c r="AO88" s="266">
        <f t="shared" si="165"/>
        <v>20763</v>
      </c>
      <c r="AP88" s="236">
        <v>3.5</v>
      </c>
      <c r="AQ88" s="266">
        <f t="shared" si="166"/>
        <v>16941</v>
      </c>
      <c r="AR88" s="288"/>
      <c r="AS88" s="266">
        <f t="shared" si="167"/>
        <v>0</v>
      </c>
      <c r="AT88" s="287">
        <f t="shared" si="168"/>
        <v>531130.55000000005</v>
      </c>
      <c r="AU88" s="244">
        <v>68.5</v>
      </c>
      <c r="AV88" s="285">
        <f t="shared" si="169"/>
        <v>432235</v>
      </c>
      <c r="AW88" s="236">
        <f>AW71</f>
        <v>17</v>
      </c>
      <c r="AX88" s="285">
        <f t="shared" si="170"/>
        <v>107100</v>
      </c>
      <c r="AY88" s="236">
        <f>AY71</f>
        <v>62.5</v>
      </c>
      <c r="AZ88" s="285">
        <f t="shared" si="171"/>
        <v>335625</v>
      </c>
      <c r="BA88" s="241">
        <f>BA71</f>
        <v>23</v>
      </c>
      <c r="BB88" s="285">
        <f t="shared" si="172"/>
        <v>123510</v>
      </c>
      <c r="BC88" s="236">
        <f>BC71</f>
        <v>4</v>
      </c>
      <c r="BD88" s="285">
        <f t="shared" si="173"/>
        <v>25240</v>
      </c>
      <c r="BE88" s="236">
        <v>25.5</v>
      </c>
      <c r="BF88" s="285">
        <f t="shared" si="174"/>
        <v>171793.5</v>
      </c>
      <c r="BG88" s="236">
        <v>9.5</v>
      </c>
      <c r="BH88" s="285">
        <f t="shared" si="175"/>
        <v>64001.5</v>
      </c>
      <c r="BI88" s="236">
        <v>3</v>
      </c>
      <c r="BJ88" s="285">
        <f t="shared" si="176"/>
        <v>39639</v>
      </c>
      <c r="BK88" s="236">
        <v>10</v>
      </c>
      <c r="BL88" s="266">
        <f t="shared" si="177"/>
        <v>57570</v>
      </c>
      <c r="BM88" s="288">
        <v>3</v>
      </c>
      <c r="BN88" s="92">
        <f t="shared" si="178"/>
        <v>20196</v>
      </c>
      <c r="BO88" s="93">
        <f t="shared" si="179"/>
        <v>1376910</v>
      </c>
      <c r="BP88" s="223">
        <f t="shared" si="180"/>
        <v>1908040.55</v>
      </c>
      <c r="BQ88" s="280">
        <f t="shared" si="181"/>
        <v>1971775.0000000002</v>
      </c>
      <c r="BR88" s="34">
        <f t="shared" si="182"/>
        <v>303.35000000000002</v>
      </c>
    </row>
    <row r="89" spans="1:81" ht="19.5" thickBot="1" x14ac:dyDescent="0.35">
      <c r="A89" s="706"/>
      <c r="B89" s="706"/>
      <c r="C89" s="145">
        <v>2000</v>
      </c>
      <c r="D89" s="142">
        <f t="shared" si="144"/>
        <v>12</v>
      </c>
      <c r="E89" s="96">
        <f t="shared" si="183"/>
        <v>0</v>
      </c>
      <c r="F89" s="102">
        <f t="shared" si="145"/>
        <v>20</v>
      </c>
      <c r="G89" s="96">
        <f t="shared" si="184"/>
        <v>0</v>
      </c>
      <c r="H89" s="106">
        <v>4</v>
      </c>
      <c r="I89" s="96">
        <f t="shared" si="185"/>
        <v>0</v>
      </c>
      <c r="J89" s="127">
        <f t="shared" si="186"/>
        <v>0</v>
      </c>
      <c r="K89" s="334" t="str">
        <f t="shared" si="150"/>
        <v>2000MLL15KV</v>
      </c>
      <c r="L89" s="290">
        <v>2.5</v>
      </c>
      <c r="M89" s="285">
        <f t="shared" si="151"/>
        <v>17695</v>
      </c>
      <c r="N89" s="291">
        <v>0.35</v>
      </c>
      <c r="O89" s="285">
        <f t="shared" si="152"/>
        <v>2477.2999999999997</v>
      </c>
      <c r="P89" s="291">
        <v>0.5</v>
      </c>
      <c r="Q89" s="285">
        <f t="shared" si="153"/>
        <v>2674</v>
      </c>
      <c r="R89" s="291">
        <v>1.5</v>
      </c>
      <c r="S89" s="285">
        <f t="shared" si="154"/>
        <v>10839</v>
      </c>
      <c r="T89" s="291">
        <v>1.5</v>
      </c>
      <c r="U89" s="266">
        <f t="shared" si="155"/>
        <v>10617</v>
      </c>
      <c r="V89" s="291">
        <v>1.25</v>
      </c>
      <c r="W89" s="266">
        <f t="shared" si="156"/>
        <v>6685</v>
      </c>
      <c r="X89" s="291">
        <v>10</v>
      </c>
      <c r="Y89" s="266">
        <f t="shared" si="157"/>
        <v>72260</v>
      </c>
      <c r="Z89" s="291">
        <v>1.5</v>
      </c>
      <c r="AA89" s="266">
        <f t="shared" si="158"/>
        <v>8470.5</v>
      </c>
      <c r="AB89" s="291">
        <v>1.75</v>
      </c>
      <c r="AC89" s="266">
        <f t="shared" si="159"/>
        <v>12111.75</v>
      </c>
      <c r="AD89" s="292">
        <v>15</v>
      </c>
      <c r="AE89" s="266">
        <f t="shared" si="160"/>
        <v>106170</v>
      </c>
      <c r="AF89" s="292">
        <v>5</v>
      </c>
      <c r="AG89" s="266">
        <f t="shared" si="161"/>
        <v>26740</v>
      </c>
      <c r="AH89" s="292">
        <v>35</v>
      </c>
      <c r="AI89" s="266">
        <f t="shared" si="162"/>
        <v>252910</v>
      </c>
      <c r="AJ89" s="292"/>
      <c r="AK89" s="266">
        <f t="shared" si="163"/>
        <v>0</v>
      </c>
      <c r="AL89" s="292">
        <v>3</v>
      </c>
      <c r="AM89" s="266">
        <f t="shared" si="164"/>
        <v>16941</v>
      </c>
      <c r="AN89" s="292">
        <v>3</v>
      </c>
      <c r="AO89" s="266">
        <f t="shared" si="165"/>
        <v>20763</v>
      </c>
      <c r="AP89" s="292">
        <v>3.5</v>
      </c>
      <c r="AQ89" s="266">
        <f t="shared" si="166"/>
        <v>16941</v>
      </c>
      <c r="AR89" s="293"/>
      <c r="AS89" s="266">
        <f t="shared" si="167"/>
        <v>0</v>
      </c>
      <c r="AT89" s="287">
        <f t="shared" si="168"/>
        <v>584294.55000000005</v>
      </c>
      <c r="AU89" s="294">
        <v>72.8</v>
      </c>
      <c r="AV89" s="285">
        <f t="shared" si="169"/>
        <v>459368</v>
      </c>
      <c r="AW89" s="292">
        <f>AW72</f>
        <v>17</v>
      </c>
      <c r="AX89" s="285">
        <f t="shared" si="170"/>
        <v>107100</v>
      </c>
      <c r="AY89" s="292">
        <f>AY72</f>
        <v>65.5</v>
      </c>
      <c r="AZ89" s="285">
        <f t="shared" si="171"/>
        <v>351735</v>
      </c>
      <c r="BA89" s="291">
        <f>BA72</f>
        <v>23</v>
      </c>
      <c r="BB89" s="285">
        <f t="shared" si="172"/>
        <v>123510</v>
      </c>
      <c r="BC89" s="292">
        <f>BC72</f>
        <v>4</v>
      </c>
      <c r="BD89" s="285">
        <f t="shared" si="173"/>
        <v>25240</v>
      </c>
      <c r="BE89" s="292">
        <v>26.75</v>
      </c>
      <c r="BF89" s="285">
        <f t="shared" si="174"/>
        <v>180214.75</v>
      </c>
      <c r="BG89" s="292">
        <v>9.5</v>
      </c>
      <c r="BH89" s="285">
        <f t="shared" si="175"/>
        <v>64001.5</v>
      </c>
      <c r="BI89" s="292">
        <v>3</v>
      </c>
      <c r="BJ89" s="285">
        <f t="shared" si="176"/>
        <v>39639</v>
      </c>
      <c r="BK89" s="292">
        <v>10</v>
      </c>
      <c r="BL89" s="266">
        <f t="shared" si="177"/>
        <v>57570</v>
      </c>
      <c r="BM89" s="293">
        <v>3</v>
      </c>
      <c r="BN89" s="92">
        <f t="shared" si="178"/>
        <v>20196</v>
      </c>
      <c r="BO89" s="93">
        <f t="shared" si="179"/>
        <v>1428574.25</v>
      </c>
      <c r="BP89" s="223">
        <f t="shared" si="180"/>
        <v>2012868.8</v>
      </c>
      <c r="BQ89" s="280">
        <f t="shared" si="181"/>
        <v>2079349.9999999998</v>
      </c>
      <c r="BR89" s="34">
        <f t="shared" si="182"/>
        <v>319.89999999999998</v>
      </c>
    </row>
    <row r="90" spans="1:81" ht="19.5" thickBot="1" x14ac:dyDescent="0.35">
      <c r="A90" s="707" t="s">
        <v>30</v>
      </c>
      <c r="B90" s="707" t="s">
        <v>33</v>
      </c>
      <c r="C90" s="132">
        <v>15</v>
      </c>
      <c r="D90" s="140">
        <f t="shared" ref="D90:D105" si="221">D39</f>
        <v>4</v>
      </c>
      <c r="E90" s="92">
        <f t="shared" si="183"/>
        <v>0</v>
      </c>
      <c r="F90" s="105">
        <v>12</v>
      </c>
      <c r="G90" s="92">
        <f t="shared" si="184"/>
        <v>0</v>
      </c>
      <c r="H90" s="105">
        <v>2</v>
      </c>
      <c r="I90" s="92">
        <f t="shared" si="185"/>
        <v>0</v>
      </c>
      <c r="J90" s="98">
        <f t="shared" si="186"/>
        <v>0</v>
      </c>
      <c r="K90" s="334" t="str">
        <f>C90&amp;$B$90&amp;$A$90</f>
        <v>15RDC36KV</v>
      </c>
      <c r="L90" s="269">
        <v>2.5</v>
      </c>
      <c r="M90" s="285">
        <f t="shared" si="151"/>
        <v>17695</v>
      </c>
      <c r="N90" s="264">
        <v>0.25</v>
      </c>
      <c r="O90" s="285">
        <f t="shared" si="152"/>
        <v>1769.5</v>
      </c>
      <c r="P90" s="264">
        <v>0.25</v>
      </c>
      <c r="Q90" s="285">
        <f t="shared" si="153"/>
        <v>1337</v>
      </c>
      <c r="R90" s="241">
        <v>0</v>
      </c>
      <c r="S90" s="285">
        <f t="shared" si="154"/>
        <v>0</v>
      </c>
      <c r="T90" s="264">
        <v>0.75</v>
      </c>
      <c r="U90" s="266">
        <f t="shared" si="155"/>
        <v>5308.5</v>
      </c>
      <c r="V90" s="264">
        <v>0.65</v>
      </c>
      <c r="W90" s="266">
        <f t="shared" si="156"/>
        <v>3476.2000000000003</v>
      </c>
      <c r="X90" s="264">
        <v>6</v>
      </c>
      <c r="Y90" s="266">
        <f t="shared" si="157"/>
        <v>43356</v>
      </c>
      <c r="Z90" s="264">
        <v>0.75</v>
      </c>
      <c r="AA90" s="266">
        <f t="shared" si="158"/>
        <v>4235.25</v>
      </c>
      <c r="AB90" s="264">
        <v>0.75</v>
      </c>
      <c r="AC90" s="266">
        <f t="shared" si="159"/>
        <v>5190.75</v>
      </c>
      <c r="AD90" s="295">
        <v>2</v>
      </c>
      <c r="AE90" s="266">
        <f t="shared" si="160"/>
        <v>14156</v>
      </c>
      <c r="AF90" s="295">
        <v>1</v>
      </c>
      <c r="AG90" s="266">
        <f t="shared" si="161"/>
        <v>5348</v>
      </c>
      <c r="AH90" s="242">
        <v>24</v>
      </c>
      <c r="AI90" s="266">
        <f t="shared" si="162"/>
        <v>173424</v>
      </c>
      <c r="AJ90" s="242"/>
      <c r="AK90" s="266">
        <f t="shared" si="163"/>
        <v>0</v>
      </c>
      <c r="AL90" s="242">
        <v>1</v>
      </c>
      <c r="AM90" s="266">
        <f t="shared" si="164"/>
        <v>5647</v>
      </c>
      <c r="AN90" s="242">
        <v>1</v>
      </c>
      <c r="AO90" s="266">
        <f t="shared" si="165"/>
        <v>6921</v>
      </c>
      <c r="AP90" s="264">
        <v>1.5</v>
      </c>
      <c r="AQ90" s="266">
        <f t="shared" si="166"/>
        <v>5647</v>
      </c>
      <c r="AR90" s="286"/>
      <c r="AS90" s="266">
        <f t="shared" si="167"/>
        <v>0</v>
      </c>
      <c r="AT90" s="287">
        <f t="shared" si="168"/>
        <v>293511.2</v>
      </c>
      <c r="AU90" s="296">
        <v>29.5</v>
      </c>
      <c r="AV90" s="285">
        <f t="shared" si="169"/>
        <v>186145</v>
      </c>
      <c r="AW90" s="242">
        <f t="shared" ref="AW90:AW105" si="222">AW39</f>
        <v>7.5350000000000001</v>
      </c>
      <c r="AX90" s="285">
        <f t="shared" si="170"/>
        <v>47470.5</v>
      </c>
      <c r="AY90" s="242">
        <f t="shared" ref="AY90:AY105" si="223">AY39</f>
        <v>1.56</v>
      </c>
      <c r="AZ90" s="285">
        <f t="shared" si="171"/>
        <v>8377.2000000000007</v>
      </c>
      <c r="BA90" s="264">
        <f t="shared" ref="BA90:BA105" si="224">BA39</f>
        <v>0</v>
      </c>
      <c r="BB90" s="285">
        <f t="shared" si="172"/>
        <v>0</v>
      </c>
      <c r="BC90" s="242">
        <f t="shared" ref="BC90:BC105" si="225">BC39</f>
        <v>1.95</v>
      </c>
      <c r="BD90" s="285">
        <f t="shared" si="173"/>
        <v>12304.5</v>
      </c>
      <c r="BE90" s="242">
        <v>10.25</v>
      </c>
      <c r="BF90" s="285">
        <f t="shared" si="174"/>
        <v>69054.25</v>
      </c>
      <c r="BG90" s="242">
        <v>3.45</v>
      </c>
      <c r="BH90" s="285">
        <f t="shared" si="175"/>
        <v>23242.65</v>
      </c>
      <c r="BI90" s="242">
        <v>1.5</v>
      </c>
      <c r="BJ90" s="285">
        <f t="shared" si="176"/>
        <v>19819.5</v>
      </c>
      <c r="BK90" s="242">
        <v>7</v>
      </c>
      <c r="BL90" s="266">
        <f t="shared" si="177"/>
        <v>40299</v>
      </c>
      <c r="BM90" s="286">
        <v>3</v>
      </c>
      <c r="BN90" s="92">
        <f t="shared" si="178"/>
        <v>20196</v>
      </c>
      <c r="BO90" s="93">
        <f t="shared" si="179"/>
        <v>426908.60000000003</v>
      </c>
      <c r="BP90" s="223">
        <f t="shared" si="180"/>
        <v>720419.8</v>
      </c>
      <c r="BQ90" s="280">
        <f t="shared" si="181"/>
        <v>702942.50000000012</v>
      </c>
      <c r="BR90" s="34">
        <f t="shared" si="182"/>
        <v>108.14500000000001</v>
      </c>
      <c r="CB90" s="277">
        <v>42902.26766203704</v>
      </c>
      <c r="CC90" s="276" t="s">
        <v>162</v>
      </c>
    </row>
    <row r="91" spans="1:81" ht="19.5" thickBot="1" x14ac:dyDescent="0.35">
      <c r="A91" s="708"/>
      <c r="B91" s="708"/>
      <c r="C91" s="133">
        <v>30</v>
      </c>
      <c r="D91" s="141">
        <f t="shared" si="221"/>
        <v>4</v>
      </c>
      <c r="E91" s="95">
        <f t="shared" si="183"/>
        <v>0</v>
      </c>
      <c r="F91" s="103">
        <v>12</v>
      </c>
      <c r="G91" s="95">
        <f t="shared" si="184"/>
        <v>0</v>
      </c>
      <c r="H91" s="103">
        <v>2</v>
      </c>
      <c r="I91" s="95">
        <f t="shared" si="185"/>
        <v>0</v>
      </c>
      <c r="J91" s="84">
        <f t="shared" si="186"/>
        <v>0</v>
      </c>
      <c r="K91" s="334" t="str">
        <f t="shared" ref="K91:K105" si="226">C91&amp;$B$90&amp;$A$90</f>
        <v>30RDC36KV</v>
      </c>
      <c r="L91" s="248">
        <v>2.5</v>
      </c>
      <c r="M91" s="285">
        <f t="shared" si="151"/>
        <v>17695</v>
      </c>
      <c r="N91" s="241">
        <v>0.25</v>
      </c>
      <c r="O91" s="285">
        <f t="shared" si="152"/>
        <v>1769.5</v>
      </c>
      <c r="P91" s="241">
        <v>0.25</v>
      </c>
      <c r="Q91" s="285">
        <f t="shared" si="153"/>
        <v>1337</v>
      </c>
      <c r="R91" s="241">
        <v>0</v>
      </c>
      <c r="S91" s="285">
        <f t="shared" si="154"/>
        <v>0</v>
      </c>
      <c r="T91" s="241">
        <v>0.75</v>
      </c>
      <c r="U91" s="266">
        <f t="shared" si="155"/>
        <v>5308.5</v>
      </c>
      <c r="V91" s="241">
        <v>0.65</v>
      </c>
      <c r="W91" s="266">
        <f t="shared" si="156"/>
        <v>3476.2000000000003</v>
      </c>
      <c r="X91" s="241">
        <v>7</v>
      </c>
      <c r="Y91" s="266">
        <f t="shared" si="157"/>
        <v>50582</v>
      </c>
      <c r="Z91" s="241">
        <v>0.75</v>
      </c>
      <c r="AA91" s="266">
        <f t="shared" si="158"/>
        <v>4235.25</v>
      </c>
      <c r="AB91" s="241">
        <v>0.75</v>
      </c>
      <c r="AC91" s="266">
        <f t="shared" si="159"/>
        <v>5190.75</v>
      </c>
      <c r="AD91" s="236">
        <v>2</v>
      </c>
      <c r="AE91" s="266">
        <f t="shared" si="160"/>
        <v>14156</v>
      </c>
      <c r="AF91" s="236">
        <v>1</v>
      </c>
      <c r="AG91" s="266">
        <f t="shared" si="161"/>
        <v>5348</v>
      </c>
      <c r="AH91" s="236">
        <v>24</v>
      </c>
      <c r="AI91" s="266">
        <f t="shared" si="162"/>
        <v>173424</v>
      </c>
      <c r="AJ91" s="236"/>
      <c r="AK91" s="266">
        <f t="shared" si="163"/>
        <v>0</v>
      </c>
      <c r="AL91" s="236">
        <v>1</v>
      </c>
      <c r="AM91" s="266">
        <f t="shared" si="164"/>
        <v>5647</v>
      </c>
      <c r="AN91" s="236">
        <v>1</v>
      </c>
      <c r="AO91" s="266">
        <f t="shared" si="165"/>
        <v>6921</v>
      </c>
      <c r="AP91" s="241">
        <v>1.5</v>
      </c>
      <c r="AQ91" s="266">
        <f t="shared" si="166"/>
        <v>5647</v>
      </c>
      <c r="AR91" s="288"/>
      <c r="AS91" s="266">
        <f t="shared" si="167"/>
        <v>0</v>
      </c>
      <c r="AT91" s="287">
        <f t="shared" si="168"/>
        <v>300737.2</v>
      </c>
      <c r="AU91" s="244">
        <v>29.5</v>
      </c>
      <c r="AV91" s="285">
        <f t="shared" si="169"/>
        <v>186145</v>
      </c>
      <c r="AW91" s="236">
        <f t="shared" si="222"/>
        <v>7.5350000000000001</v>
      </c>
      <c r="AX91" s="285">
        <f t="shared" si="170"/>
        <v>47470.5</v>
      </c>
      <c r="AY91" s="236">
        <f t="shared" si="223"/>
        <v>1.56</v>
      </c>
      <c r="AZ91" s="285">
        <f t="shared" si="171"/>
        <v>8377.2000000000007</v>
      </c>
      <c r="BA91" s="241">
        <f t="shared" si="224"/>
        <v>0</v>
      </c>
      <c r="BB91" s="285">
        <f t="shared" si="172"/>
        <v>0</v>
      </c>
      <c r="BC91" s="236">
        <f t="shared" si="225"/>
        <v>1.95</v>
      </c>
      <c r="BD91" s="285">
        <f t="shared" si="173"/>
        <v>12304.5</v>
      </c>
      <c r="BE91" s="236">
        <v>10.5</v>
      </c>
      <c r="BF91" s="285">
        <f t="shared" si="174"/>
        <v>70738.5</v>
      </c>
      <c r="BG91" s="236">
        <v>3.45</v>
      </c>
      <c r="BH91" s="285">
        <f t="shared" si="175"/>
        <v>23242.65</v>
      </c>
      <c r="BI91" s="236">
        <v>1.5</v>
      </c>
      <c r="BJ91" s="285">
        <f t="shared" si="176"/>
        <v>19819.5</v>
      </c>
      <c r="BK91" s="236">
        <v>8</v>
      </c>
      <c r="BL91" s="266">
        <f t="shared" si="177"/>
        <v>46056</v>
      </c>
      <c r="BM91" s="288">
        <v>3</v>
      </c>
      <c r="BN91" s="92">
        <f t="shared" si="178"/>
        <v>20196</v>
      </c>
      <c r="BO91" s="93">
        <f t="shared" si="179"/>
        <v>434349.85000000003</v>
      </c>
      <c r="BP91" s="223">
        <f t="shared" si="180"/>
        <v>735087.05</v>
      </c>
      <c r="BQ91" s="280">
        <f t="shared" si="181"/>
        <v>717567.50000000012</v>
      </c>
      <c r="BR91" s="34">
        <f t="shared" si="182"/>
        <v>110.39500000000001</v>
      </c>
      <c r="CB91" s="277">
        <v>42745.42564814815</v>
      </c>
      <c r="CC91" s="276" t="s">
        <v>115</v>
      </c>
    </row>
    <row r="92" spans="1:81" ht="19.5" thickBot="1" x14ac:dyDescent="0.35">
      <c r="A92" s="708"/>
      <c r="B92" s="708"/>
      <c r="C92" s="133">
        <v>45</v>
      </c>
      <c r="D92" s="141">
        <f t="shared" si="221"/>
        <v>4</v>
      </c>
      <c r="E92" s="95">
        <f t="shared" si="183"/>
        <v>0</v>
      </c>
      <c r="F92" s="103">
        <v>12</v>
      </c>
      <c r="G92" s="95">
        <f t="shared" si="184"/>
        <v>0</v>
      </c>
      <c r="H92" s="103">
        <v>2</v>
      </c>
      <c r="I92" s="95">
        <f t="shared" si="185"/>
        <v>0</v>
      </c>
      <c r="J92" s="84">
        <f t="shared" si="186"/>
        <v>0</v>
      </c>
      <c r="K92" s="334" t="str">
        <f t="shared" si="226"/>
        <v>45RDC36KV</v>
      </c>
      <c r="L92" s="248">
        <v>2.5</v>
      </c>
      <c r="M92" s="285">
        <f t="shared" si="151"/>
        <v>17695</v>
      </c>
      <c r="N92" s="241">
        <v>0.25</v>
      </c>
      <c r="O92" s="285">
        <f t="shared" si="152"/>
        <v>1769.5</v>
      </c>
      <c r="P92" s="241">
        <v>0.25</v>
      </c>
      <c r="Q92" s="285">
        <f t="shared" si="153"/>
        <v>1337</v>
      </c>
      <c r="R92" s="241">
        <v>0</v>
      </c>
      <c r="S92" s="285">
        <f t="shared" si="154"/>
        <v>0</v>
      </c>
      <c r="T92" s="241">
        <v>0.75</v>
      </c>
      <c r="U92" s="266">
        <f t="shared" si="155"/>
        <v>5308.5</v>
      </c>
      <c r="V92" s="241">
        <v>0.75</v>
      </c>
      <c r="W92" s="266">
        <f t="shared" si="156"/>
        <v>4011</v>
      </c>
      <c r="X92" s="241">
        <v>7</v>
      </c>
      <c r="Y92" s="266">
        <f t="shared" si="157"/>
        <v>50582</v>
      </c>
      <c r="Z92" s="241">
        <v>0.75</v>
      </c>
      <c r="AA92" s="266">
        <f t="shared" si="158"/>
        <v>4235.25</v>
      </c>
      <c r="AB92" s="241">
        <v>0.75</v>
      </c>
      <c r="AC92" s="266">
        <f t="shared" si="159"/>
        <v>5190.75</v>
      </c>
      <c r="AD92" s="236">
        <v>2</v>
      </c>
      <c r="AE92" s="266">
        <f t="shared" si="160"/>
        <v>14156</v>
      </c>
      <c r="AF92" s="236">
        <v>1</v>
      </c>
      <c r="AG92" s="266">
        <f t="shared" si="161"/>
        <v>5348</v>
      </c>
      <c r="AH92" s="236">
        <v>24</v>
      </c>
      <c r="AI92" s="266">
        <f t="shared" si="162"/>
        <v>173424</v>
      </c>
      <c r="AJ92" s="236"/>
      <c r="AK92" s="266">
        <f t="shared" si="163"/>
        <v>0</v>
      </c>
      <c r="AL92" s="236">
        <v>1.5</v>
      </c>
      <c r="AM92" s="266">
        <f t="shared" si="164"/>
        <v>8470.5</v>
      </c>
      <c r="AN92" s="236">
        <v>1.25</v>
      </c>
      <c r="AO92" s="266">
        <f t="shared" si="165"/>
        <v>8651.25</v>
      </c>
      <c r="AP92" s="241">
        <v>1.5</v>
      </c>
      <c r="AQ92" s="266">
        <f t="shared" si="166"/>
        <v>7058.75</v>
      </c>
      <c r="AR92" s="288"/>
      <c r="AS92" s="266">
        <f t="shared" si="167"/>
        <v>0</v>
      </c>
      <c r="AT92" s="287">
        <f t="shared" si="168"/>
        <v>307237.5</v>
      </c>
      <c r="AU92" s="244">
        <v>31.25</v>
      </c>
      <c r="AV92" s="285">
        <f t="shared" si="169"/>
        <v>197187.5</v>
      </c>
      <c r="AW92" s="236">
        <f t="shared" si="222"/>
        <v>7.5350000000000001</v>
      </c>
      <c r="AX92" s="285">
        <f t="shared" si="170"/>
        <v>47470.5</v>
      </c>
      <c r="AY92" s="236">
        <f t="shared" si="223"/>
        <v>1.56</v>
      </c>
      <c r="AZ92" s="285">
        <f t="shared" si="171"/>
        <v>8377.2000000000007</v>
      </c>
      <c r="BA92" s="241">
        <f t="shared" si="224"/>
        <v>0</v>
      </c>
      <c r="BB92" s="285">
        <f t="shared" si="172"/>
        <v>0</v>
      </c>
      <c r="BC92" s="236">
        <f t="shared" si="225"/>
        <v>1.95</v>
      </c>
      <c r="BD92" s="285">
        <f t="shared" si="173"/>
        <v>12304.5</v>
      </c>
      <c r="BE92" s="236">
        <v>11.25</v>
      </c>
      <c r="BF92" s="285">
        <f t="shared" si="174"/>
        <v>75791.25</v>
      </c>
      <c r="BG92" s="236">
        <v>3.45</v>
      </c>
      <c r="BH92" s="285">
        <f t="shared" si="175"/>
        <v>23242.65</v>
      </c>
      <c r="BI92" s="236">
        <v>1.5</v>
      </c>
      <c r="BJ92" s="285">
        <f t="shared" si="176"/>
        <v>19819.5</v>
      </c>
      <c r="BK92" s="236">
        <v>8</v>
      </c>
      <c r="BL92" s="266">
        <f t="shared" si="177"/>
        <v>46056</v>
      </c>
      <c r="BM92" s="288">
        <v>3</v>
      </c>
      <c r="BN92" s="92">
        <f t="shared" si="178"/>
        <v>20196</v>
      </c>
      <c r="BO92" s="93">
        <f t="shared" si="179"/>
        <v>450445.10000000003</v>
      </c>
      <c r="BP92" s="223">
        <f t="shared" si="180"/>
        <v>757682.60000000009</v>
      </c>
      <c r="BQ92" s="280">
        <f t="shared" si="181"/>
        <v>739342.5</v>
      </c>
      <c r="BR92" s="34">
        <f t="shared" si="182"/>
        <v>113.745</v>
      </c>
    </row>
    <row r="93" spans="1:81" ht="19.5" thickBot="1" x14ac:dyDescent="0.35">
      <c r="A93" s="708"/>
      <c r="B93" s="708"/>
      <c r="C93" s="133">
        <v>75</v>
      </c>
      <c r="D93" s="141">
        <f t="shared" si="221"/>
        <v>4</v>
      </c>
      <c r="E93" s="95">
        <f t="shared" si="183"/>
        <v>0</v>
      </c>
      <c r="F93" s="103">
        <v>12</v>
      </c>
      <c r="G93" s="95">
        <f t="shared" si="184"/>
        <v>0</v>
      </c>
      <c r="H93" s="103">
        <v>2</v>
      </c>
      <c r="I93" s="95">
        <f t="shared" si="185"/>
        <v>0</v>
      </c>
      <c r="J93" s="84">
        <f t="shared" si="186"/>
        <v>0</v>
      </c>
      <c r="K93" s="334" t="str">
        <f t="shared" si="226"/>
        <v>75RDC36KV</v>
      </c>
      <c r="L93" s="248">
        <v>2.5</v>
      </c>
      <c r="M93" s="285">
        <f t="shared" si="151"/>
        <v>17695</v>
      </c>
      <c r="N93" s="241">
        <v>0.25</v>
      </c>
      <c r="O93" s="285">
        <f t="shared" si="152"/>
        <v>1769.5</v>
      </c>
      <c r="P93" s="241">
        <v>0.25</v>
      </c>
      <c r="Q93" s="285">
        <f t="shared" si="153"/>
        <v>1337</v>
      </c>
      <c r="R93" s="241">
        <v>0</v>
      </c>
      <c r="S93" s="285">
        <f t="shared" si="154"/>
        <v>0</v>
      </c>
      <c r="T93" s="241">
        <v>0.75</v>
      </c>
      <c r="U93" s="266">
        <f t="shared" si="155"/>
        <v>5308.5</v>
      </c>
      <c r="V93" s="241">
        <v>0.8</v>
      </c>
      <c r="W93" s="266">
        <f t="shared" si="156"/>
        <v>4278.4000000000005</v>
      </c>
      <c r="X93" s="241">
        <v>8</v>
      </c>
      <c r="Y93" s="266">
        <f t="shared" si="157"/>
        <v>57808</v>
      </c>
      <c r="Z93" s="241">
        <v>0.75</v>
      </c>
      <c r="AA93" s="266">
        <f t="shared" si="158"/>
        <v>4235.25</v>
      </c>
      <c r="AB93" s="241">
        <v>0.75</v>
      </c>
      <c r="AC93" s="266">
        <f t="shared" si="159"/>
        <v>5190.75</v>
      </c>
      <c r="AD93" s="236">
        <v>2</v>
      </c>
      <c r="AE93" s="266">
        <f t="shared" si="160"/>
        <v>14156</v>
      </c>
      <c r="AF93" s="236">
        <v>1</v>
      </c>
      <c r="AG93" s="266">
        <f t="shared" si="161"/>
        <v>5348</v>
      </c>
      <c r="AH93" s="236">
        <v>24</v>
      </c>
      <c r="AI93" s="266">
        <f t="shared" si="162"/>
        <v>173424</v>
      </c>
      <c r="AJ93" s="236"/>
      <c r="AK93" s="266">
        <f t="shared" si="163"/>
        <v>0</v>
      </c>
      <c r="AL93" s="236">
        <v>1.5</v>
      </c>
      <c r="AM93" s="266">
        <f t="shared" si="164"/>
        <v>8470.5</v>
      </c>
      <c r="AN93" s="236">
        <v>1.25</v>
      </c>
      <c r="AO93" s="266">
        <f t="shared" si="165"/>
        <v>8651.25</v>
      </c>
      <c r="AP93" s="241">
        <v>1.5</v>
      </c>
      <c r="AQ93" s="266">
        <f t="shared" si="166"/>
        <v>7058.75</v>
      </c>
      <c r="AR93" s="288"/>
      <c r="AS93" s="266">
        <f t="shared" si="167"/>
        <v>0</v>
      </c>
      <c r="AT93" s="287">
        <f t="shared" si="168"/>
        <v>314730.90000000002</v>
      </c>
      <c r="AU93" s="244">
        <v>32.5</v>
      </c>
      <c r="AV93" s="285">
        <f t="shared" si="169"/>
        <v>205075</v>
      </c>
      <c r="AW93" s="236">
        <f t="shared" si="222"/>
        <v>7.6560000000000006</v>
      </c>
      <c r="AX93" s="285">
        <f t="shared" si="170"/>
        <v>48232.800000000003</v>
      </c>
      <c r="AY93" s="236">
        <f t="shared" si="223"/>
        <v>1.885</v>
      </c>
      <c r="AZ93" s="285">
        <f t="shared" si="171"/>
        <v>10122.450000000001</v>
      </c>
      <c r="BA93" s="241">
        <f t="shared" si="224"/>
        <v>0</v>
      </c>
      <c r="BB93" s="285">
        <f t="shared" si="172"/>
        <v>0</v>
      </c>
      <c r="BC93" s="236">
        <f t="shared" si="225"/>
        <v>1.95</v>
      </c>
      <c r="BD93" s="285">
        <f t="shared" si="173"/>
        <v>12304.5</v>
      </c>
      <c r="BE93" s="236">
        <v>11.25</v>
      </c>
      <c r="BF93" s="285">
        <f t="shared" si="174"/>
        <v>75791.25</v>
      </c>
      <c r="BG93" s="236">
        <v>3.65</v>
      </c>
      <c r="BH93" s="285">
        <f t="shared" si="175"/>
        <v>24590.05</v>
      </c>
      <c r="BI93" s="236">
        <v>1.5</v>
      </c>
      <c r="BJ93" s="285">
        <f t="shared" si="176"/>
        <v>19819.5</v>
      </c>
      <c r="BK93" s="236">
        <v>8</v>
      </c>
      <c r="BL93" s="266">
        <f t="shared" si="177"/>
        <v>46056</v>
      </c>
      <c r="BM93" s="288">
        <v>3</v>
      </c>
      <c r="BN93" s="92">
        <f t="shared" si="178"/>
        <v>20196</v>
      </c>
      <c r="BO93" s="93">
        <f t="shared" si="179"/>
        <v>462187.55</v>
      </c>
      <c r="BP93" s="223">
        <f t="shared" si="180"/>
        <v>776918.45</v>
      </c>
      <c r="BQ93" s="280">
        <f t="shared" si="181"/>
        <v>758491.50000000012</v>
      </c>
      <c r="BR93" s="34">
        <f t="shared" si="182"/>
        <v>116.69100000000002</v>
      </c>
    </row>
    <row r="94" spans="1:81" ht="19.5" thickBot="1" x14ac:dyDescent="0.35">
      <c r="A94" s="708"/>
      <c r="B94" s="708"/>
      <c r="C94" s="133">
        <v>112.5</v>
      </c>
      <c r="D94" s="141">
        <f t="shared" si="221"/>
        <v>4</v>
      </c>
      <c r="E94" s="95">
        <f t="shared" si="183"/>
        <v>0</v>
      </c>
      <c r="F94" s="103">
        <v>12</v>
      </c>
      <c r="G94" s="95">
        <f t="shared" si="184"/>
        <v>0</v>
      </c>
      <c r="H94" s="103">
        <v>2</v>
      </c>
      <c r="I94" s="95">
        <f t="shared" si="185"/>
        <v>0</v>
      </c>
      <c r="J94" s="84">
        <f>D94*E94+F94*G94+H94*I94</f>
        <v>0</v>
      </c>
      <c r="K94" s="334" t="str">
        <f t="shared" si="226"/>
        <v>112.5RDC36KV</v>
      </c>
      <c r="L94" s="248">
        <v>2.5</v>
      </c>
      <c r="M94" s="285">
        <f t="shared" si="151"/>
        <v>17695</v>
      </c>
      <c r="N94" s="241">
        <v>0.25</v>
      </c>
      <c r="O94" s="285">
        <f t="shared" si="152"/>
        <v>1769.5</v>
      </c>
      <c r="P94" s="241">
        <v>0.25</v>
      </c>
      <c r="Q94" s="285">
        <f t="shared" si="153"/>
        <v>1337</v>
      </c>
      <c r="R94" s="241">
        <v>0</v>
      </c>
      <c r="S94" s="285">
        <f t="shared" si="154"/>
        <v>0</v>
      </c>
      <c r="T94" s="241">
        <v>0.75</v>
      </c>
      <c r="U94" s="266">
        <f t="shared" si="155"/>
        <v>5308.5</v>
      </c>
      <c r="V94" s="241">
        <v>0.8</v>
      </c>
      <c r="W94" s="266">
        <f t="shared" si="156"/>
        <v>4278.4000000000005</v>
      </c>
      <c r="X94" s="241">
        <v>8</v>
      </c>
      <c r="Y94" s="266">
        <f t="shared" si="157"/>
        <v>57808</v>
      </c>
      <c r="Z94" s="241">
        <v>0.75</v>
      </c>
      <c r="AA94" s="266">
        <f t="shared" si="158"/>
        <v>4235.25</v>
      </c>
      <c r="AB94" s="241">
        <v>1</v>
      </c>
      <c r="AC94" s="266">
        <f t="shared" si="159"/>
        <v>6921</v>
      </c>
      <c r="AD94" s="236">
        <v>2</v>
      </c>
      <c r="AE94" s="266">
        <f t="shared" si="160"/>
        <v>14156</v>
      </c>
      <c r="AF94" s="236">
        <v>1</v>
      </c>
      <c r="AG94" s="266">
        <f t="shared" si="161"/>
        <v>5348</v>
      </c>
      <c r="AH94" s="236">
        <v>26</v>
      </c>
      <c r="AI94" s="266">
        <f t="shared" si="162"/>
        <v>187876</v>
      </c>
      <c r="AJ94" s="236"/>
      <c r="AK94" s="266">
        <f t="shared" si="163"/>
        <v>0</v>
      </c>
      <c r="AL94" s="236">
        <v>1.5</v>
      </c>
      <c r="AM94" s="266">
        <f t="shared" si="164"/>
        <v>8470.5</v>
      </c>
      <c r="AN94" s="236">
        <v>1.25</v>
      </c>
      <c r="AO94" s="266">
        <f t="shared" si="165"/>
        <v>8651.25</v>
      </c>
      <c r="AP94" s="241">
        <v>1.5</v>
      </c>
      <c r="AQ94" s="266">
        <f t="shared" si="166"/>
        <v>7058.75</v>
      </c>
      <c r="AR94" s="288"/>
      <c r="AS94" s="266">
        <f t="shared" si="167"/>
        <v>0</v>
      </c>
      <c r="AT94" s="287">
        <f t="shared" si="168"/>
        <v>330913.15000000002</v>
      </c>
      <c r="AU94" s="244">
        <v>35</v>
      </c>
      <c r="AV94" s="285">
        <f t="shared" si="169"/>
        <v>220850</v>
      </c>
      <c r="AW94" s="236">
        <f t="shared" si="222"/>
        <v>8.5250000000000004</v>
      </c>
      <c r="AX94" s="285">
        <f t="shared" si="170"/>
        <v>53707.5</v>
      </c>
      <c r="AY94" s="236">
        <f t="shared" si="223"/>
        <v>2.0410000000000004</v>
      </c>
      <c r="AZ94" s="285">
        <f t="shared" si="171"/>
        <v>10960.170000000002</v>
      </c>
      <c r="BA94" s="241">
        <f t="shared" si="224"/>
        <v>0</v>
      </c>
      <c r="BB94" s="285">
        <f t="shared" si="172"/>
        <v>0</v>
      </c>
      <c r="BC94" s="236">
        <f t="shared" si="225"/>
        <v>1.95</v>
      </c>
      <c r="BD94" s="285">
        <f t="shared" si="173"/>
        <v>12304.5</v>
      </c>
      <c r="BE94" s="236">
        <v>11.8</v>
      </c>
      <c r="BF94" s="285">
        <f t="shared" si="174"/>
        <v>79496.600000000006</v>
      </c>
      <c r="BG94" s="236">
        <v>3.71</v>
      </c>
      <c r="BH94" s="285">
        <f t="shared" si="175"/>
        <v>24994.27</v>
      </c>
      <c r="BI94" s="236">
        <v>2</v>
      </c>
      <c r="BJ94" s="285">
        <f t="shared" si="176"/>
        <v>26426</v>
      </c>
      <c r="BK94" s="236">
        <v>7</v>
      </c>
      <c r="BL94" s="266">
        <f t="shared" si="177"/>
        <v>40299</v>
      </c>
      <c r="BM94" s="288">
        <v>3</v>
      </c>
      <c r="BN94" s="92">
        <f t="shared" si="178"/>
        <v>20196</v>
      </c>
      <c r="BO94" s="93">
        <f t="shared" si="179"/>
        <v>489234.04000000004</v>
      </c>
      <c r="BP94" s="223">
        <f t="shared" si="180"/>
        <v>820147.19000000006</v>
      </c>
      <c r="BQ94" s="280">
        <f t="shared" si="181"/>
        <v>796744</v>
      </c>
      <c r="BR94" s="34">
        <f t="shared" si="182"/>
        <v>122.57599999999999</v>
      </c>
    </row>
    <row r="95" spans="1:81" ht="19.5" thickBot="1" x14ac:dyDescent="0.35">
      <c r="A95" s="708"/>
      <c r="B95" s="708"/>
      <c r="C95" s="133">
        <v>150</v>
      </c>
      <c r="D95" s="141">
        <f t="shared" si="221"/>
        <v>6</v>
      </c>
      <c r="E95" s="95">
        <f t="shared" si="183"/>
        <v>0</v>
      </c>
      <c r="F95" s="103">
        <v>12</v>
      </c>
      <c r="G95" s="95">
        <f t="shared" si="184"/>
        <v>0</v>
      </c>
      <c r="H95" s="103">
        <v>2</v>
      </c>
      <c r="I95" s="95">
        <f t="shared" si="185"/>
        <v>0</v>
      </c>
      <c r="J95" s="84">
        <f>D95*E95+F95*G95+H95*I95</f>
        <v>0</v>
      </c>
      <c r="K95" s="334" t="str">
        <f t="shared" si="226"/>
        <v>150RDC36KV</v>
      </c>
      <c r="L95" s="248">
        <v>2.5</v>
      </c>
      <c r="M95" s="285">
        <f t="shared" si="151"/>
        <v>17695</v>
      </c>
      <c r="N95" s="241">
        <v>0.25</v>
      </c>
      <c r="O95" s="285">
        <f t="shared" si="152"/>
        <v>1769.5</v>
      </c>
      <c r="P95" s="241">
        <v>0.25</v>
      </c>
      <c r="Q95" s="285">
        <f t="shared" si="153"/>
        <v>1337</v>
      </c>
      <c r="R95" s="241">
        <v>0</v>
      </c>
      <c r="S95" s="285">
        <f t="shared" si="154"/>
        <v>0</v>
      </c>
      <c r="T95" s="241">
        <v>1</v>
      </c>
      <c r="U95" s="266">
        <f t="shared" si="155"/>
        <v>7078</v>
      </c>
      <c r="V95" s="241">
        <v>0.8</v>
      </c>
      <c r="W95" s="266">
        <f t="shared" si="156"/>
        <v>4278.4000000000005</v>
      </c>
      <c r="X95" s="241">
        <v>8</v>
      </c>
      <c r="Y95" s="266">
        <f t="shared" si="157"/>
        <v>57808</v>
      </c>
      <c r="Z95" s="241">
        <v>0.75</v>
      </c>
      <c r="AA95" s="266">
        <f t="shared" si="158"/>
        <v>4235.25</v>
      </c>
      <c r="AB95" s="241">
        <v>1</v>
      </c>
      <c r="AC95" s="266">
        <f t="shared" si="159"/>
        <v>6921</v>
      </c>
      <c r="AD95" s="236">
        <v>2.25</v>
      </c>
      <c r="AE95" s="266">
        <f t="shared" si="160"/>
        <v>15925.5</v>
      </c>
      <c r="AF95" s="236">
        <v>1.5</v>
      </c>
      <c r="AG95" s="266">
        <f t="shared" si="161"/>
        <v>8022</v>
      </c>
      <c r="AH95" s="236">
        <v>26</v>
      </c>
      <c r="AI95" s="266">
        <f t="shared" si="162"/>
        <v>187876</v>
      </c>
      <c r="AJ95" s="236"/>
      <c r="AK95" s="266">
        <f t="shared" si="163"/>
        <v>0</v>
      </c>
      <c r="AL95" s="236">
        <v>1.5</v>
      </c>
      <c r="AM95" s="266">
        <f t="shared" si="164"/>
        <v>8470.5</v>
      </c>
      <c r="AN95" s="236">
        <v>1.5</v>
      </c>
      <c r="AO95" s="266">
        <f t="shared" si="165"/>
        <v>10381.5</v>
      </c>
      <c r="AP95" s="241">
        <v>1.5</v>
      </c>
      <c r="AQ95" s="266">
        <f t="shared" si="166"/>
        <v>8470.5</v>
      </c>
      <c r="AR95" s="288"/>
      <c r="AS95" s="266">
        <f t="shared" si="167"/>
        <v>0</v>
      </c>
      <c r="AT95" s="287">
        <f t="shared" si="168"/>
        <v>340268.15</v>
      </c>
      <c r="AU95" s="244">
        <v>36.5</v>
      </c>
      <c r="AV95" s="285">
        <f t="shared" si="169"/>
        <v>230315</v>
      </c>
      <c r="AW95" s="236">
        <f t="shared" si="222"/>
        <v>8.7780000000000005</v>
      </c>
      <c r="AX95" s="285">
        <f t="shared" si="170"/>
        <v>55301.4</v>
      </c>
      <c r="AY95" s="236">
        <f t="shared" si="223"/>
        <v>2.3010000000000002</v>
      </c>
      <c r="AZ95" s="285">
        <f t="shared" si="171"/>
        <v>12356.37</v>
      </c>
      <c r="BA95" s="241">
        <f t="shared" si="224"/>
        <v>0</v>
      </c>
      <c r="BB95" s="285">
        <f t="shared" si="172"/>
        <v>0</v>
      </c>
      <c r="BC95" s="236">
        <f t="shared" si="225"/>
        <v>1.95</v>
      </c>
      <c r="BD95" s="285">
        <f t="shared" si="173"/>
        <v>12304.5</v>
      </c>
      <c r="BE95" s="236">
        <v>12.5</v>
      </c>
      <c r="BF95" s="285">
        <f t="shared" si="174"/>
        <v>84212.5</v>
      </c>
      <c r="BG95" s="236">
        <v>3.97</v>
      </c>
      <c r="BH95" s="285">
        <f t="shared" si="175"/>
        <v>26745.890000000003</v>
      </c>
      <c r="BI95" s="236">
        <v>2</v>
      </c>
      <c r="BJ95" s="285">
        <f t="shared" si="176"/>
        <v>26426</v>
      </c>
      <c r="BK95" s="236">
        <v>8</v>
      </c>
      <c r="BL95" s="266">
        <f t="shared" si="177"/>
        <v>46056</v>
      </c>
      <c r="BM95" s="288">
        <v>3</v>
      </c>
      <c r="BN95" s="92">
        <f t="shared" si="178"/>
        <v>20196</v>
      </c>
      <c r="BO95" s="93">
        <f t="shared" si="179"/>
        <v>513913.66000000003</v>
      </c>
      <c r="BP95" s="223">
        <f t="shared" si="180"/>
        <v>854181.81</v>
      </c>
      <c r="BQ95" s="280">
        <f t="shared" si="181"/>
        <v>830693.5</v>
      </c>
      <c r="BR95" s="34">
        <f t="shared" si="182"/>
        <v>127.79900000000001</v>
      </c>
    </row>
    <row r="96" spans="1:81" ht="19.5" thickBot="1" x14ac:dyDescent="0.35">
      <c r="A96" s="708"/>
      <c r="B96" s="708"/>
      <c r="C96" s="133">
        <v>225</v>
      </c>
      <c r="D96" s="141">
        <f t="shared" si="221"/>
        <v>6</v>
      </c>
      <c r="E96" s="95">
        <f t="shared" si="183"/>
        <v>0</v>
      </c>
      <c r="F96" s="103">
        <v>16</v>
      </c>
      <c r="G96" s="95">
        <f t="shared" si="184"/>
        <v>0</v>
      </c>
      <c r="H96" s="103">
        <v>2</v>
      </c>
      <c r="I96" s="95">
        <f t="shared" si="185"/>
        <v>0</v>
      </c>
      <c r="J96" s="84">
        <f>D96*E96+F96*G96+H96*I96</f>
        <v>0</v>
      </c>
      <c r="K96" s="334" t="str">
        <f t="shared" si="226"/>
        <v>225RDC36KV</v>
      </c>
      <c r="L96" s="248">
        <v>2.5</v>
      </c>
      <c r="M96" s="285">
        <f t="shared" si="151"/>
        <v>17695</v>
      </c>
      <c r="N96" s="241">
        <v>0.25</v>
      </c>
      <c r="O96" s="285">
        <f t="shared" si="152"/>
        <v>1769.5</v>
      </c>
      <c r="P96" s="241">
        <v>0.25</v>
      </c>
      <c r="Q96" s="285">
        <f t="shared" si="153"/>
        <v>1337</v>
      </c>
      <c r="R96" s="241">
        <v>0</v>
      </c>
      <c r="S96" s="285">
        <f t="shared" si="154"/>
        <v>0</v>
      </c>
      <c r="T96" s="241">
        <v>1</v>
      </c>
      <c r="U96" s="266">
        <f t="shared" si="155"/>
        <v>7078</v>
      </c>
      <c r="V96" s="241">
        <v>1</v>
      </c>
      <c r="W96" s="266">
        <f t="shared" si="156"/>
        <v>5348</v>
      </c>
      <c r="X96" s="241">
        <v>8</v>
      </c>
      <c r="Y96" s="266">
        <f t="shared" si="157"/>
        <v>57808</v>
      </c>
      <c r="Z96" s="241">
        <v>1</v>
      </c>
      <c r="AA96" s="266">
        <f t="shared" si="158"/>
        <v>5647</v>
      </c>
      <c r="AB96" s="241">
        <v>1</v>
      </c>
      <c r="AC96" s="266">
        <f t="shared" si="159"/>
        <v>6921</v>
      </c>
      <c r="AD96" s="236">
        <v>2.25</v>
      </c>
      <c r="AE96" s="266">
        <f t="shared" si="160"/>
        <v>15925.5</v>
      </c>
      <c r="AF96" s="236">
        <v>1.5</v>
      </c>
      <c r="AG96" s="266">
        <f t="shared" si="161"/>
        <v>8022</v>
      </c>
      <c r="AH96" s="236">
        <v>26</v>
      </c>
      <c r="AI96" s="266">
        <f t="shared" si="162"/>
        <v>187876</v>
      </c>
      <c r="AJ96" s="236"/>
      <c r="AK96" s="266">
        <f t="shared" si="163"/>
        <v>0</v>
      </c>
      <c r="AL96" s="236">
        <v>1.5</v>
      </c>
      <c r="AM96" s="266">
        <f t="shared" si="164"/>
        <v>8470.5</v>
      </c>
      <c r="AN96" s="236">
        <v>1.5</v>
      </c>
      <c r="AO96" s="266">
        <f t="shared" si="165"/>
        <v>10381.5</v>
      </c>
      <c r="AP96" s="241">
        <v>2</v>
      </c>
      <c r="AQ96" s="266">
        <f t="shared" si="166"/>
        <v>8470.5</v>
      </c>
      <c r="AR96" s="288"/>
      <c r="AS96" s="266">
        <f t="shared" si="167"/>
        <v>0</v>
      </c>
      <c r="AT96" s="287">
        <f t="shared" si="168"/>
        <v>342749.5</v>
      </c>
      <c r="AU96" s="244">
        <v>38.75</v>
      </c>
      <c r="AV96" s="285">
        <f t="shared" si="169"/>
        <v>244512.5</v>
      </c>
      <c r="AW96" s="236">
        <f t="shared" si="222"/>
        <v>8.8550000000000022</v>
      </c>
      <c r="AX96" s="285">
        <f t="shared" si="170"/>
        <v>55786.500000000015</v>
      </c>
      <c r="AY96" s="236">
        <f t="shared" si="223"/>
        <v>2.5739999999999998</v>
      </c>
      <c r="AZ96" s="285">
        <f t="shared" si="171"/>
        <v>13822.38</v>
      </c>
      <c r="BA96" s="241">
        <f t="shared" si="224"/>
        <v>0</v>
      </c>
      <c r="BB96" s="285">
        <f t="shared" si="172"/>
        <v>0</v>
      </c>
      <c r="BC96" s="236">
        <f t="shared" si="225"/>
        <v>1.95</v>
      </c>
      <c r="BD96" s="285">
        <f t="shared" si="173"/>
        <v>12304.5</v>
      </c>
      <c r="BE96" s="236">
        <v>13.75</v>
      </c>
      <c r="BF96" s="285">
        <f t="shared" si="174"/>
        <v>92633.75</v>
      </c>
      <c r="BG96" s="236">
        <v>4.1399999999999997</v>
      </c>
      <c r="BH96" s="285">
        <f t="shared" si="175"/>
        <v>27891.179999999997</v>
      </c>
      <c r="BI96" s="236">
        <v>2</v>
      </c>
      <c r="BJ96" s="285">
        <f t="shared" si="176"/>
        <v>26426</v>
      </c>
      <c r="BK96" s="236">
        <v>8</v>
      </c>
      <c r="BL96" s="266">
        <f t="shared" si="177"/>
        <v>46056</v>
      </c>
      <c r="BM96" s="288">
        <v>3</v>
      </c>
      <c r="BN96" s="92">
        <f t="shared" si="178"/>
        <v>20196</v>
      </c>
      <c r="BO96" s="93">
        <f t="shared" si="179"/>
        <v>539628.81000000006</v>
      </c>
      <c r="BP96" s="223">
        <f t="shared" si="180"/>
        <v>882378.31</v>
      </c>
      <c r="BQ96" s="280">
        <f t="shared" si="181"/>
        <v>862998.5</v>
      </c>
      <c r="BR96" s="34">
        <f t="shared" si="182"/>
        <v>132.76900000000001</v>
      </c>
    </row>
    <row r="97" spans="1:81" ht="19.5" thickBot="1" x14ac:dyDescent="0.35">
      <c r="A97" s="708"/>
      <c r="B97" s="708"/>
      <c r="C97" s="133">
        <v>300</v>
      </c>
      <c r="D97" s="141">
        <f t="shared" si="221"/>
        <v>6</v>
      </c>
      <c r="E97" s="95">
        <f t="shared" si="183"/>
        <v>0</v>
      </c>
      <c r="F97" s="103">
        <v>16</v>
      </c>
      <c r="G97" s="95">
        <f t="shared" si="184"/>
        <v>0</v>
      </c>
      <c r="H97" s="103">
        <v>2</v>
      </c>
      <c r="I97" s="95">
        <f t="shared" si="185"/>
        <v>0</v>
      </c>
      <c r="J97" s="84">
        <f>D97*E97+F97*G97+H97*I97</f>
        <v>0</v>
      </c>
      <c r="K97" s="334" t="str">
        <f t="shared" si="226"/>
        <v>300RDC36KV</v>
      </c>
      <c r="L97" s="248">
        <v>2.5</v>
      </c>
      <c r="M97" s="285">
        <f t="shared" si="151"/>
        <v>17695</v>
      </c>
      <c r="N97" s="241">
        <v>0.25</v>
      </c>
      <c r="O97" s="285">
        <f t="shared" si="152"/>
        <v>1769.5</v>
      </c>
      <c r="P97" s="241">
        <v>0.25</v>
      </c>
      <c r="Q97" s="285">
        <f t="shared" si="153"/>
        <v>1337</v>
      </c>
      <c r="R97" s="241">
        <v>0</v>
      </c>
      <c r="S97" s="285">
        <f t="shared" si="154"/>
        <v>0</v>
      </c>
      <c r="T97" s="241">
        <v>1</v>
      </c>
      <c r="U97" s="266">
        <f t="shared" si="155"/>
        <v>7078</v>
      </c>
      <c r="V97" s="241">
        <v>1.25</v>
      </c>
      <c r="W97" s="266">
        <f t="shared" si="156"/>
        <v>6685</v>
      </c>
      <c r="X97" s="241">
        <v>8</v>
      </c>
      <c r="Y97" s="266">
        <f t="shared" si="157"/>
        <v>57808</v>
      </c>
      <c r="Z97" s="241">
        <v>1</v>
      </c>
      <c r="AA97" s="266">
        <f t="shared" si="158"/>
        <v>5647</v>
      </c>
      <c r="AB97" s="241">
        <v>1</v>
      </c>
      <c r="AC97" s="266">
        <f t="shared" si="159"/>
        <v>6921</v>
      </c>
      <c r="AD97" s="236">
        <v>2.25</v>
      </c>
      <c r="AE97" s="266">
        <f t="shared" si="160"/>
        <v>15925.5</v>
      </c>
      <c r="AF97" s="236">
        <v>2</v>
      </c>
      <c r="AG97" s="266">
        <f t="shared" si="161"/>
        <v>10696</v>
      </c>
      <c r="AH97" s="236">
        <v>28</v>
      </c>
      <c r="AI97" s="266">
        <f t="shared" si="162"/>
        <v>202328</v>
      </c>
      <c r="AJ97" s="236"/>
      <c r="AK97" s="266">
        <f t="shared" si="163"/>
        <v>0</v>
      </c>
      <c r="AL97" s="236">
        <v>1.75</v>
      </c>
      <c r="AM97" s="266">
        <f t="shared" si="164"/>
        <v>9882.25</v>
      </c>
      <c r="AN97" s="236">
        <v>1.75</v>
      </c>
      <c r="AO97" s="266">
        <f t="shared" si="165"/>
        <v>12111.75</v>
      </c>
      <c r="AP97" s="241">
        <v>2</v>
      </c>
      <c r="AQ97" s="266">
        <f t="shared" si="166"/>
        <v>9882.25</v>
      </c>
      <c r="AR97" s="288"/>
      <c r="AS97" s="266">
        <f t="shared" si="167"/>
        <v>0</v>
      </c>
      <c r="AT97" s="287">
        <f t="shared" si="168"/>
        <v>365766.25</v>
      </c>
      <c r="AU97" s="244">
        <v>42.75</v>
      </c>
      <c r="AV97" s="285">
        <f t="shared" si="169"/>
        <v>269752.5</v>
      </c>
      <c r="AW97" s="236">
        <f t="shared" si="222"/>
        <v>11.275</v>
      </c>
      <c r="AX97" s="285">
        <f t="shared" si="170"/>
        <v>71032.5</v>
      </c>
      <c r="AY97" s="236">
        <f t="shared" si="223"/>
        <v>3.1850000000000005</v>
      </c>
      <c r="AZ97" s="285">
        <f t="shared" si="171"/>
        <v>17103.450000000004</v>
      </c>
      <c r="BA97" s="241">
        <f t="shared" si="224"/>
        <v>0</v>
      </c>
      <c r="BB97" s="285">
        <f t="shared" si="172"/>
        <v>0</v>
      </c>
      <c r="BC97" s="236">
        <f t="shared" si="225"/>
        <v>1.95</v>
      </c>
      <c r="BD97" s="285">
        <f t="shared" si="173"/>
        <v>12304.5</v>
      </c>
      <c r="BE97" s="236">
        <v>14.45</v>
      </c>
      <c r="BF97" s="285">
        <f t="shared" si="174"/>
        <v>97349.65</v>
      </c>
      <c r="BG97" s="236">
        <v>4.47</v>
      </c>
      <c r="BH97" s="285">
        <f t="shared" si="175"/>
        <v>30114.39</v>
      </c>
      <c r="BI97" s="236">
        <v>2</v>
      </c>
      <c r="BJ97" s="285">
        <f t="shared" si="176"/>
        <v>26426</v>
      </c>
      <c r="BK97" s="236">
        <v>8</v>
      </c>
      <c r="BL97" s="266">
        <f t="shared" si="177"/>
        <v>46056</v>
      </c>
      <c r="BM97" s="288">
        <v>3</v>
      </c>
      <c r="BN97" s="92">
        <f t="shared" si="178"/>
        <v>20196</v>
      </c>
      <c r="BO97" s="93">
        <f t="shared" si="179"/>
        <v>590334.99</v>
      </c>
      <c r="BP97" s="223">
        <f t="shared" si="180"/>
        <v>956101.24</v>
      </c>
      <c r="BQ97" s="280">
        <f t="shared" si="181"/>
        <v>936520.00000000012</v>
      </c>
      <c r="BR97" s="34">
        <f t="shared" si="182"/>
        <v>144.08000000000001</v>
      </c>
    </row>
    <row r="98" spans="1:81" ht="19.5" thickBot="1" x14ac:dyDescent="0.35">
      <c r="A98" s="708"/>
      <c r="B98" s="708"/>
      <c r="C98" s="133">
        <v>400</v>
      </c>
      <c r="D98" s="141">
        <f t="shared" si="221"/>
        <v>6</v>
      </c>
      <c r="E98" s="95">
        <f t="shared" si="183"/>
        <v>0</v>
      </c>
      <c r="F98" s="103">
        <v>16</v>
      </c>
      <c r="G98" s="95">
        <f t="shared" si="184"/>
        <v>0</v>
      </c>
      <c r="H98" s="104">
        <v>2</v>
      </c>
      <c r="I98" s="95">
        <f t="shared" si="185"/>
        <v>0</v>
      </c>
      <c r="J98" s="84">
        <f>D98*E98+F98*G98+H98*I98</f>
        <v>0</v>
      </c>
      <c r="K98" s="334" t="str">
        <f t="shared" si="226"/>
        <v>400RDC36KV</v>
      </c>
      <c r="L98" s="248">
        <v>2.5</v>
      </c>
      <c r="M98" s="285">
        <f t="shared" si="151"/>
        <v>17695</v>
      </c>
      <c r="N98" s="241">
        <v>0.25</v>
      </c>
      <c r="O98" s="285">
        <f t="shared" si="152"/>
        <v>1769.5</v>
      </c>
      <c r="P98" s="241">
        <v>0.5</v>
      </c>
      <c r="Q98" s="285">
        <f t="shared" si="153"/>
        <v>2674</v>
      </c>
      <c r="R98" s="241">
        <v>0</v>
      </c>
      <c r="S98" s="285">
        <f t="shared" si="154"/>
        <v>0</v>
      </c>
      <c r="T98" s="241">
        <v>1.5</v>
      </c>
      <c r="U98" s="266">
        <f t="shared" si="155"/>
        <v>10617</v>
      </c>
      <c r="V98" s="241">
        <v>1.25</v>
      </c>
      <c r="W98" s="266">
        <f t="shared" si="156"/>
        <v>6685</v>
      </c>
      <c r="X98" s="241">
        <v>8</v>
      </c>
      <c r="Y98" s="266">
        <f t="shared" si="157"/>
        <v>57808</v>
      </c>
      <c r="Z98" s="241">
        <v>1</v>
      </c>
      <c r="AA98" s="266">
        <f t="shared" si="158"/>
        <v>5647</v>
      </c>
      <c r="AB98" s="241">
        <v>1</v>
      </c>
      <c r="AC98" s="266">
        <f t="shared" si="159"/>
        <v>6921</v>
      </c>
      <c r="AD98" s="236">
        <v>2.25</v>
      </c>
      <c r="AE98" s="266">
        <f t="shared" si="160"/>
        <v>15925.5</v>
      </c>
      <c r="AF98" s="236">
        <v>2</v>
      </c>
      <c r="AG98" s="266">
        <f t="shared" si="161"/>
        <v>10696</v>
      </c>
      <c r="AH98" s="236">
        <v>28</v>
      </c>
      <c r="AI98" s="266">
        <f t="shared" si="162"/>
        <v>202328</v>
      </c>
      <c r="AJ98" s="236"/>
      <c r="AK98" s="266">
        <f t="shared" si="163"/>
        <v>0</v>
      </c>
      <c r="AL98" s="236">
        <v>1.75</v>
      </c>
      <c r="AM98" s="266">
        <f t="shared" si="164"/>
        <v>9882.25</v>
      </c>
      <c r="AN98" s="236">
        <v>1.75</v>
      </c>
      <c r="AO98" s="266">
        <f t="shared" si="165"/>
        <v>12111.75</v>
      </c>
      <c r="AP98" s="236">
        <v>2.25</v>
      </c>
      <c r="AQ98" s="266">
        <f t="shared" si="166"/>
        <v>9882.25</v>
      </c>
      <c r="AR98" s="288"/>
      <c r="AS98" s="266">
        <f t="shared" si="167"/>
        <v>0</v>
      </c>
      <c r="AT98" s="287">
        <f t="shared" si="168"/>
        <v>370642.25</v>
      </c>
      <c r="AU98" s="244">
        <v>47.5</v>
      </c>
      <c r="AV98" s="285">
        <f t="shared" si="169"/>
        <v>299725</v>
      </c>
      <c r="AW98" s="236">
        <f t="shared" si="222"/>
        <v>11.825000000000001</v>
      </c>
      <c r="AX98" s="285">
        <f t="shared" si="170"/>
        <v>74497.5</v>
      </c>
      <c r="AY98" s="236">
        <f t="shared" si="223"/>
        <v>3.2240000000000002</v>
      </c>
      <c r="AZ98" s="285">
        <f t="shared" si="171"/>
        <v>17312.88</v>
      </c>
      <c r="BA98" s="241">
        <f t="shared" si="224"/>
        <v>0</v>
      </c>
      <c r="BB98" s="285">
        <f t="shared" si="172"/>
        <v>0</v>
      </c>
      <c r="BC98" s="236">
        <f t="shared" si="225"/>
        <v>1.95</v>
      </c>
      <c r="BD98" s="285">
        <f t="shared" si="173"/>
        <v>12304.5</v>
      </c>
      <c r="BE98" s="236">
        <v>15.25</v>
      </c>
      <c r="BF98" s="285">
        <f t="shared" si="174"/>
        <v>102739.25</v>
      </c>
      <c r="BG98" s="236">
        <v>4.75</v>
      </c>
      <c r="BH98" s="285">
        <f t="shared" si="175"/>
        <v>32000.75</v>
      </c>
      <c r="BI98" s="236">
        <v>2</v>
      </c>
      <c r="BJ98" s="285">
        <f t="shared" si="176"/>
        <v>26426</v>
      </c>
      <c r="BK98" s="236">
        <v>8</v>
      </c>
      <c r="BL98" s="266">
        <f t="shared" si="177"/>
        <v>46056</v>
      </c>
      <c r="BM98" s="288">
        <v>3</v>
      </c>
      <c r="BN98" s="92">
        <f t="shared" si="178"/>
        <v>20196</v>
      </c>
      <c r="BO98" s="93">
        <f t="shared" si="179"/>
        <v>631257.88</v>
      </c>
      <c r="BP98" s="223">
        <f t="shared" si="180"/>
        <v>1001900.13</v>
      </c>
      <c r="BQ98" s="280">
        <f t="shared" si="181"/>
        <v>984743.50000000012</v>
      </c>
      <c r="BR98" s="34">
        <f t="shared" si="182"/>
        <v>151.49900000000002</v>
      </c>
    </row>
    <row r="99" spans="1:81" ht="19.5" thickBot="1" x14ac:dyDescent="0.35">
      <c r="A99" s="708"/>
      <c r="B99" s="708"/>
      <c r="C99" s="133">
        <v>500</v>
      </c>
      <c r="D99" s="141">
        <f t="shared" si="221"/>
        <v>6</v>
      </c>
      <c r="E99" s="95">
        <f t="shared" si="183"/>
        <v>0</v>
      </c>
      <c r="F99" s="103">
        <v>16</v>
      </c>
      <c r="G99" s="95">
        <f t="shared" si="184"/>
        <v>0</v>
      </c>
      <c r="H99" s="104">
        <v>2</v>
      </c>
      <c r="I99" s="95">
        <f t="shared" si="185"/>
        <v>0</v>
      </c>
      <c r="J99" s="84">
        <f t="shared" ref="J99:J105" si="227">D99*E99+F99*G99+H99*I99</f>
        <v>0</v>
      </c>
      <c r="K99" s="334" t="str">
        <f t="shared" si="226"/>
        <v>500RDC36KV</v>
      </c>
      <c r="L99" s="248">
        <v>2.5</v>
      </c>
      <c r="M99" s="285">
        <f t="shared" si="151"/>
        <v>17695</v>
      </c>
      <c r="N99" s="241">
        <v>0.25</v>
      </c>
      <c r="O99" s="285">
        <f t="shared" si="152"/>
        <v>1769.5</v>
      </c>
      <c r="P99" s="241">
        <v>0.5</v>
      </c>
      <c r="Q99" s="285">
        <f t="shared" si="153"/>
        <v>2674</v>
      </c>
      <c r="R99" s="241">
        <v>0</v>
      </c>
      <c r="S99" s="285">
        <f t="shared" si="154"/>
        <v>0</v>
      </c>
      <c r="T99" s="241">
        <v>1.5</v>
      </c>
      <c r="U99" s="266">
        <f t="shared" si="155"/>
        <v>10617</v>
      </c>
      <c r="V99" s="241">
        <v>1.25</v>
      </c>
      <c r="W99" s="266">
        <f t="shared" si="156"/>
        <v>6685</v>
      </c>
      <c r="X99" s="241">
        <v>8</v>
      </c>
      <c r="Y99" s="266">
        <f t="shared" si="157"/>
        <v>57808</v>
      </c>
      <c r="Z99" s="241">
        <v>1</v>
      </c>
      <c r="AA99" s="266">
        <f t="shared" si="158"/>
        <v>5647</v>
      </c>
      <c r="AB99" s="241">
        <v>1.25</v>
      </c>
      <c r="AC99" s="266">
        <f t="shared" si="159"/>
        <v>8651.25</v>
      </c>
      <c r="AD99" s="236">
        <v>2.75</v>
      </c>
      <c r="AE99" s="266">
        <f t="shared" si="160"/>
        <v>19464.5</v>
      </c>
      <c r="AF99" s="236">
        <v>2</v>
      </c>
      <c r="AG99" s="266">
        <f t="shared" si="161"/>
        <v>10696</v>
      </c>
      <c r="AH99" s="236">
        <v>28</v>
      </c>
      <c r="AI99" s="266">
        <f t="shared" si="162"/>
        <v>202328</v>
      </c>
      <c r="AJ99" s="236"/>
      <c r="AK99" s="266">
        <f t="shared" si="163"/>
        <v>0</v>
      </c>
      <c r="AL99" s="236">
        <v>1.75</v>
      </c>
      <c r="AM99" s="266">
        <f t="shared" si="164"/>
        <v>9882.25</v>
      </c>
      <c r="AN99" s="236">
        <v>2.25</v>
      </c>
      <c r="AO99" s="266">
        <f t="shared" si="165"/>
        <v>15572.25</v>
      </c>
      <c r="AP99" s="236">
        <v>2.25</v>
      </c>
      <c r="AQ99" s="266">
        <f t="shared" si="166"/>
        <v>12705.75</v>
      </c>
      <c r="AR99" s="288"/>
      <c r="AS99" s="266">
        <f t="shared" si="167"/>
        <v>0</v>
      </c>
      <c r="AT99" s="287">
        <f t="shared" si="168"/>
        <v>382195.5</v>
      </c>
      <c r="AU99" s="244">
        <v>52.25</v>
      </c>
      <c r="AV99" s="285">
        <f t="shared" si="169"/>
        <v>329697.5</v>
      </c>
      <c r="AW99" s="236">
        <f t="shared" si="222"/>
        <v>12.903000000000002</v>
      </c>
      <c r="AX99" s="285">
        <f t="shared" si="170"/>
        <v>81288.900000000009</v>
      </c>
      <c r="AY99" s="236">
        <f t="shared" si="223"/>
        <v>3.5360000000000005</v>
      </c>
      <c r="AZ99" s="285">
        <f t="shared" si="171"/>
        <v>18988.320000000003</v>
      </c>
      <c r="BA99" s="241">
        <f t="shared" si="224"/>
        <v>0</v>
      </c>
      <c r="BB99" s="285">
        <f t="shared" si="172"/>
        <v>0</v>
      </c>
      <c r="BC99" s="236">
        <f t="shared" si="225"/>
        <v>1.95</v>
      </c>
      <c r="BD99" s="285">
        <f t="shared" si="173"/>
        <v>12304.5</v>
      </c>
      <c r="BE99" s="236">
        <v>16.8</v>
      </c>
      <c r="BF99" s="285">
        <f t="shared" si="174"/>
        <v>113181.6</v>
      </c>
      <c r="BG99" s="236">
        <v>5.05</v>
      </c>
      <c r="BH99" s="285">
        <f t="shared" si="175"/>
        <v>34021.85</v>
      </c>
      <c r="BI99" s="236">
        <v>2</v>
      </c>
      <c r="BJ99" s="285">
        <f t="shared" si="176"/>
        <v>26426</v>
      </c>
      <c r="BK99" s="236">
        <v>8</v>
      </c>
      <c r="BL99" s="266">
        <f t="shared" si="177"/>
        <v>46056</v>
      </c>
      <c r="BM99" s="288">
        <v>3</v>
      </c>
      <c r="BN99" s="92">
        <f t="shared" si="178"/>
        <v>20196</v>
      </c>
      <c r="BO99" s="93">
        <f t="shared" si="179"/>
        <v>682160.67</v>
      </c>
      <c r="BP99" s="223">
        <f t="shared" si="180"/>
        <v>1064356.17</v>
      </c>
      <c r="BQ99" s="280">
        <f t="shared" si="181"/>
        <v>1044803.5000000002</v>
      </c>
      <c r="BR99" s="34">
        <f t="shared" si="182"/>
        <v>160.73900000000003</v>
      </c>
    </row>
    <row r="100" spans="1:81" ht="19.5" thickBot="1" x14ac:dyDescent="0.35">
      <c r="A100" s="708"/>
      <c r="B100" s="708"/>
      <c r="C100" s="133">
        <v>630</v>
      </c>
      <c r="D100" s="141">
        <f t="shared" si="221"/>
        <v>8</v>
      </c>
      <c r="E100" s="95">
        <f t="shared" si="183"/>
        <v>0</v>
      </c>
      <c r="F100" s="103">
        <v>16</v>
      </c>
      <c r="G100" s="95">
        <f t="shared" si="184"/>
        <v>0</v>
      </c>
      <c r="H100" s="104">
        <v>2</v>
      </c>
      <c r="I100" s="95">
        <f t="shared" si="185"/>
        <v>0</v>
      </c>
      <c r="J100" s="84">
        <f t="shared" si="227"/>
        <v>0</v>
      </c>
      <c r="K100" s="334" t="str">
        <f t="shared" si="226"/>
        <v>630RDC36KV</v>
      </c>
      <c r="L100" s="248">
        <v>2.5</v>
      </c>
      <c r="M100" s="285">
        <f t="shared" si="151"/>
        <v>17695</v>
      </c>
      <c r="N100" s="241">
        <v>0.25</v>
      </c>
      <c r="O100" s="285">
        <f t="shared" si="152"/>
        <v>1769.5</v>
      </c>
      <c r="P100" s="241">
        <v>0.5</v>
      </c>
      <c r="Q100" s="285">
        <f t="shared" si="153"/>
        <v>2674</v>
      </c>
      <c r="R100" s="241">
        <v>1.5</v>
      </c>
      <c r="S100" s="285">
        <f t="shared" si="154"/>
        <v>10839</v>
      </c>
      <c r="T100" s="241">
        <v>1.5</v>
      </c>
      <c r="U100" s="266">
        <f t="shared" si="155"/>
        <v>10617</v>
      </c>
      <c r="V100" s="241">
        <v>1.25</v>
      </c>
      <c r="W100" s="266">
        <f t="shared" si="156"/>
        <v>6685</v>
      </c>
      <c r="X100" s="241">
        <v>9</v>
      </c>
      <c r="Y100" s="266">
        <f t="shared" si="157"/>
        <v>65034</v>
      </c>
      <c r="Z100" s="241">
        <v>1</v>
      </c>
      <c r="AA100" s="266">
        <f t="shared" si="158"/>
        <v>5647</v>
      </c>
      <c r="AB100" s="241">
        <v>1.25</v>
      </c>
      <c r="AC100" s="266">
        <f t="shared" si="159"/>
        <v>8651.25</v>
      </c>
      <c r="AD100" s="236">
        <v>2.75</v>
      </c>
      <c r="AE100" s="266">
        <f t="shared" si="160"/>
        <v>19464.5</v>
      </c>
      <c r="AF100" s="236">
        <v>3</v>
      </c>
      <c r="AG100" s="266">
        <f t="shared" si="161"/>
        <v>16044</v>
      </c>
      <c r="AH100" s="236">
        <v>30</v>
      </c>
      <c r="AI100" s="266">
        <f t="shared" si="162"/>
        <v>216780</v>
      </c>
      <c r="AJ100" s="236"/>
      <c r="AK100" s="266">
        <f t="shared" si="163"/>
        <v>0</v>
      </c>
      <c r="AL100" s="236">
        <v>2</v>
      </c>
      <c r="AM100" s="266">
        <f t="shared" si="164"/>
        <v>11294</v>
      </c>
      <c r="AN100" s="236">
        <v>2.25</v>
      </c>
      <c r="AO100" s="266">
        <f t="shared" si="165"/>
        <v>15572.25</v>
      </c>
      <c r="AP100" s="236">
        <v>2.5</v>
      </c>
      <c r="AQ100" s="266">
        <f t="shared" si="166"/>
        <v>12705.75</v>
      </c>
      <c r="AR100" s="288"/>
      <c r="AS100" s="266">
        <f t="shared" si="167"/>
        <v>0</v>
      </c>
      <c r="AT100" s="287">
        <f t="shared" si="168"/>
        <v>421472.25</v>
      </c>
      <c r="AU100" s="244">
        <v>59.8</v>
      </c>
      <c r="AV100" s="285">
        <f t="shared" si="169"/>
        <v>377338</v>
      </c>
      <c r="AW100" s="236">
        <f t="shared" si="222"/>
        <v>14.795</v>
      </c>
      <c r="AX100" s="285">
        <f t="shared" si="170"/>
        <v>93208.5</v>
      </c>
      <c r="AY100" s="236">
        <f t="shared" si="223"/>
        <v>3.8090000000000002</v>
      </c>
      <c r="AZ100" s="285">
        <f t="shared" si="171"/>
        <v>20454.330000000002</v>
      </c>
      <c r="BA100" s="241">
        <f t="shared" si="224"/>
        <v>0</v>
      </c>
      <c r="BB100" s="285">
        <f t="shared" si="172"/>
        <v>0</v>
      </c>
      <c r="BC100" s="236">
        <f t="shared" si="225"/>
        <v>1.95</v>
      </c>
      <c r="BD100" s="285">
        <f t="shared" si="173"/>
        <v>12304.5</v>
      </c>
      <c r="BE100" s="236">
        <v>17.25</v>
      </c>
      <c r="BF100" s="285">
        <f t="shared" si="174"/>
        <v>116213.25</v>
      </c>
      <c r="BG100" s="236">
        <v>5.98</v>
      </c>
      <c r="BH100" s="285">
        <f t="shared" si="175"/>
        <v>40287.26</v>
      </c>
      <c r="BI100" s="236">
        <v>2.75</v>
      </c>
      <c r="BJ100" s="285">
        <f t="shared" si="176"/>
        <v>36335.75</v>
      </c>
      <c r="BK100" s="236">
        <v>8</v>
      </c>
      <c r="BL100" s="266">
        <f t="shared" si="177"/>
        <v>46056</v>
      </c>
      <c r="BM100" s="288">
        <v>3</v>
      </c>
      <c r="BN100" s="92">
        <f t="shared" si="178"/>
        <v>20196</v>
      </c>
      <c r="BO100" s="93">
        <f t="shared" si="179"/>
        <v>762393.59000000008</v>
      </c>
      <c r="BP100" s="223">
        <f t="shared" si="180"/>
        <v>1183865.8400000001</v>
      </c>
      <c r="BQ100" s="280">
        <f t="shared" si="181"/>
        <v>1160795.9999999998</v>
      </c>
      <c r="BR100" s="34">
        <f t="shared" si="182"/>
        <v>178.58399999999997</v>
      </c>
    </row>
    <row r="101" spans="1:81" ht="19.5" thickBot="1" x14ac:dyDescent="0.35">
      <c r="A101" s="708"/>
      <c r="B101" s="708"/>
      <c r="C101" s="133">
        <v>800</v>
      </c>
      <c r="D101" s="141">
        <f t="shared" si="221"/>
        <v>8</v>
      </c>
      <c r="E101" s="95">
        <f t="shared" si="183"/>
        <v>0</v>
      </c>
      <c r="F101" s="103">
        <v>20</v>
      </c>
      <c r="G101" s="95">
        <f t="shared" si="184"/>
        <v>0</v>
      </c>
      <c r="H101" s="104">
        <v>2</v>
      </c>
      <c r="I101" s="95">
        <f t="shared" si="185"/>
        <v>0</v>
      </c>
      <c r="J101" s="84">
        <f t="shared" si="227"/>
        <v>0</v>
      </c>
      <c r="K101" s="334" t="str">
        <f t="shared" si="226"/>
        <v>800RDC36KV</v>
      </c>
      <c r="L101" s="248">
        <v>2.5</v>
      </c>
      <c r="M101" s="285">
        <f t="shared" si="151"/>
        <v>17695</v>
      </c>
      <c r="N101" s="241">
        <v>0.25</v>
      </c>
      <c r="O101" s="285">
        <f t="shared" si="152"/>
        <v>1769.5</v>
      </c>
      <c r="P101" s="241">
        <v>0.5</v>
      </c>
      <c r="Q101" s="285">
        <f t="shared" si="153"/>
        <v>2674</v>
      </c>
      <c r="R101" s="241">
        <v>1.5</v>
      </c>
      <c r="S101" s="285">
        <f t="shared" si="154"/>
        <v>10839</v>
      </c>
      <c r="T101" s="241">
        <v>1.5</v>
      </c>
      <c r="U101" s="266">
        <f t="shared" si="155"/>
        <v>10617</v>
      </c>
      <c r="V101" s="241">
        <v>1.25</v>
      </c>
      <c r="W101" s="266">
        <f t="shared" si="156"/>
        <v>6685</v>
      </c>
      <c r="X101" s="241">
        <v>9</v>
      </c>
      <c r="Y101" s="266">
        <f t="shared" si="157"/>
        <v>65034</v>
      </c>
      <c r="Z101" s="241">
        <v>1.25</v>
      </c>
      <c r="AA101" s="266">
        <f t="shared" si="158"/>
        <v>7058.75</v>
      </c>
      <c r="AB101" s="241">
        <v>1.25</v>
      </c>
      <c r="AC101" s="266">
        <f t="shared" si="159"/>
        <v>8651.25</v>
      </c>
      <c r="AD101" s="236">
        <v>3</v>
      </c>
      <c r="AE101" s="266">
        <f t="shared" si="160"/>
        <v>21234</v>
      </c>
      <c r="AF101" s="236">
        <v>3</v>
      </c>
      <c r="AG101" s="266">
        <f t="shared" si="161"/>
        <v>16044</v>
      </c>
      <c r="AH101" s="236">
        <v>30</v>
      </c>
      <c r="AI101" s="266">
        <f t="shared" si="162"/>
        <v>216780</v>
      </c>
      <c r="AJ101" s="236"/>
      <c r="AK101" s="266">
        <f t="shared" si="163"/>
        <v>0</v>
      </c>
      <c r="AL101" s="236">
        <v>2</v>
      </c>
      <c r="AM101" s="266">
        <f t="shared" si="164"/>
        <v>11294</v>
      </c>
      <c r="AN101" s="236">
        <v>2.25</v>
      </c>
      <c r="AO101" s="266">
        <f t="shared" si="165"/>
        <v>15572.25</v>
      </c>
      <c r="AP101" s="236">
        <v>2.5</v>
      </c>
      <c r="AQ101" s="266">
        <f t="shared" si="166"/>
        <v>12705.75</v>
      </c>
      <c r="AR101" s="288"/>
      <c r="AS101" s="266">
        <f t="shared" si="167"/>
        <v>0</v>
      </c>
      <c r="AT101" s="287">
        <f t="shared" si="168"/>
        <v>424653.5</v>
      </c>
      <c r="AU101" s="244">
        <v>66.25</v>
      </c>
      <c r="AV101" s="285">
        <f t="shared" si="169"/>
        <v>418037.5</v>
      </c>
      <c r="AW101" s="236">
        <f t="shared" si="222"/>
        <v>15.785</v>
      </c>
      <c r="AX101" s="285">
        <f t="shared" si="170"/>
        <v>99445.5</v>
      </c>
      <c r="AY101" s="236">
        <f t="shared" si="223"/>
        <v>4.1340000000000003</v>
      </c>
      <c r="AZ101" s="285">
        <f t="shared" si="171"/>
        <v>22199.58</v>
      </c>
      <c r="BA101" s="241">
        <f t="shared" si="224"/>
        <v>0</v>
      </c>
      <c r="BB101" s="285">
        <f t="shared" si="172"/>
        <v>0</v>
      </c>
      <c r="BC101" s="236">
        <f t="shared" si="225"/>
        <v>1.95</v>
      </c>
      <c r="BD101" s="285">
        <f t="shared" si="173"/>
        <v>12304.5</v>
      </c>
      <c r="BE101" s="236">
        <v>18.5</v>
      </c>
      <c r="BF101" s="285">
        <f t="shared" si="174"/>
        <v>124634.5</v>
      </c>
      <c r="BG101" s="236">
        <v>6.25</v>
      </c>
      <c r="BH101" s="285">
        <f t="shared" si="175"/>
        <v>42106.25</v>
      </c>
      <c r="BI101" s="236">
        <v>2.75</v>
      </c>
      <c r="BJ101" s="285">
        <f t="shared" si="176"/>
        <v>36335.75</v>
      </c>
      <c r="BK101" s="236">
        <v>8</v>
      </c>
      <c r="BL101" s="266">
        <f t="shared" si="177"/>
        <v>46056</v>
      </c>
      <c r="BM101" s="288">
        <v>3</v>
      </c>
      <c r="BN101" s="92">
        <f t="shared" si="178"/>
        <v>20196</v>
      </c>
      <c r="BO101" s="93">
        <f t="shared" si="179"/>
        <v>821315.58</v>
      </c>
      <c r="BP101" s="223">
        <f t="shared" si="180"/>
        <v>1245969.08</v>
      </c>
      <c r="BQ101" s="280">
        <f t="shared" si="181"/>
        <v>1224398.4999999998</v>
      </c>
      <c r="BR101" s="34">
        <f t="shared" si="182"/>
        <v>188.36899999999997</v>
      </c>
    </row>
    <row r="102" spans="1:81" ht="19.5" thickBot="1" x14ac:dyDescent="0.35">
      <c r="A102" s="708"/>
      <c r="B102" s="708"/>
      <c r="C102" s="143">
        <v>1000</v>
      </c>
      <c r="D102" s="141">
        <f t="shared" si="221"/>
        <v>12</v>
      </c>
      <c r="E102" s="95">
        <f t="shared" si="183"/>
        <v>0</v>
      </c>
      <c r="F102" s="103">
        <v>20</v>
      </c>
      <c r="G102" s="95">
        <f t="shared" si="184"/>
        <v>0</v>
      </c>
      <c r="H102" s="104">
        <v>2</v>
      </c>
      <c r="I102" s="95">
        <f t="shared" si="185"/>
        <v>0</v>
      </c>
      <c r="J102" s="84">
        <f t="shared" si="227"/>
        <v>0</v>
      </c>
      <c r="K102" s="334" t="str">
        <f t="shared" si="226"/>
        <v>1000RDC36KV</v>
      </c>
      <c r="L102" s="248">
        <v>2.5</v>
      </c>
      <c r="M102" s="285">
        <f t="shared" si="151"/>
        <v>17695</v>
      </c>
      <c r="N102" s="241">
        <v>0.35</v>
      </c>
      <c r="O102" s="285">
        <f t="shared" si="152"/>
        <v>2477.2999999999997</v>
      </c>
      <c r="P102" s="241">
        <v>0.5</v>
      </c>
      <c r="Q102" s="285">
        <f t="shared" si="153"/>
        <v>2674</v>
      </c>
      <c r="R102" s="241">
        <v>1.5</v>
      </c>
      <c r="S102" s="285">
        <f t="shared" si="154"/>
        <v>10839</v>
      </c>
      <c r="T102" s="241">
        <v>1.5</v>
      </c>
      <c r="U102" s="266">
        <f t="shared" si="155"/>
        <v>10617</v>
      </c>
      <c r="V102" s="241">
        <v>1.25</v>
      </c>
      <c r="W102" s="266">
        <f t="shared" si="156"/>
        <v>6685</v>
      </c>
      <c r="X102" s="241">
        <v>9</v>
      </c>
      <c r="Y102" s="266">
        <f t="shared" si="157"/>
        <v>65034</v>
      </c>
      <c r="Z102" s="241">
        <v>1.25</v>
      </c>
      <c r="AA102" s="266">
        <f t="shared" si="158"/>
        <v>7058.75</v>
      </c>
      <c r="AB102" s="241">
        <v>1.25</v>
      </c>
      <c r="AC102" s="266">
        <f t="shared" si="159"/>
        <v>8651.25</v>
      </c>
      <c r="AD102" s="236">
        <v>7</v>
      </c>
      <c r="AE102" s="266">
        <f t="shared" si="160"/>
        <v>49546</v>
      </c>
      <c r="AF102" s="236">
        <v>3</v>
      </c>
      <c r="AG102" s="266">
        <f t="shared" si="161"/>
        <v>16044</v>
      </c>
      <c r="AH102" s="236">
        <v>36</v>
      </c>
      <c r="AI102" s="266">
        <f t="shared" si="162"/>
        <v>260136</v>
      </c>
      <c r="AJ102" s="236"/>
      <c r="AK102" s="266">
        <f t="shared" si="163"/>
        <v>0</v>
      </c>
      <c r="AL102" s="236">
        <v>2.25</v>
      </c>
      <c r="AM102" s="266">
        <f t="shared" si="164"/>
        <v>12705.75</v>
      </c>
      <c r="AN102" s="236">
        <v>2.75</v>
      </c>
      <c r="AO102" s="266">
        <f t="shared" si="165"/>
        <v>19032.75</v>
      </c>
      <c r="AP102" s="236">
        <v>3</v>
      </c>
      <c r="AQ102" s="266">
        <f t="shared" si="166"/>
        <v>15529.25</v>
      </c>
      <c r="AR102" s="288"/>
      <c r="AS102" s="266">
        <f t="shared" si="167"/>
        <v>0</v>
      </c>
      <c r="AT102" s="287">
        <f t="shared" si="168"/>
        <v>504725.05</v>
      </c>
      <c r="AU102" s="244">
        <v>84.75</v>
      </c>
      <c r="AV102" s="285">
        <f t="shared" si="169"/>
        <v>534772.5</v>
      </c>
      <c r="AW102" s="236">
        <f t="shared" si="222"/>
        <v>17.435000000000002</v>
      </c>
      <c r="AX102" s="285">
        <f t="shared" si="170"/>
        <v>109840.50000000001</v>
      </c>
      <c r="AY102" s="236">
        <f t="shared" si="223"/>
        <v>4.6150000000000002</v>
      </c>
      <c r="AZ102" s="285">
        <f t="shared" si="171"/>
        <v>24782.550000000003</v>
      </c>
      <c r="BA102" s="241">
        <f t="shared" si="224"/>
        <v>0</v>
      </c>
      <c r="BB102" s="285">
        <f t="shared" si="172"/>
        <v>0</v>
      </c>
      <c r="BC102" s="236">
        <f t="shared" si="225"/>
        <v>2.95</v>
      </c>
      <c r="BD102" s="285">
        <f t="shared" si="173"/>
        <v>18614.5</v>
      </c>
      <c r="BE102" s="236">
        <v>21</v>
      </c>
      <c r="BF102" s="285">
        <f t="shared" si="174"/>
        <v>141477</v>
      </c>
      <c r="BG102" s="236">
        <v>6.63</v>
      </c>
      <c r="BH102" s="285">
        <f t="shared" si="175"/>
        <v>44666.31</v>
      </c>
      <c r="BI102" s="236">
        <v>2.75</v>
      </c>
      <c r="BJ102" s="285">
        <f t="shared" si="176"/>
        <v>36335.75</v>
      </c>
      <c r="BK102" s="236">
        <v>10</v>
      </c>
      <c r="BL102" s="266">
        <f t="shared" si="177"/>
        <v>57570</v>
      </c>
      <c r="BM102" s="288">
        <v>3</v>
      </c>
      <c r="BN102" s="92">
        <f t="shared" si="178"/>
        <v>20196</v>
      </c>
      <c r="BO102" s="93">
        <f t="shared" si="179"/>
        <v>988255.1100000001</v>
      </c>
      <c r="BP102" s="223">
        <f t="shared" si="180"/>
        <v>1492980.1600000001</v>
      </c>
      <c r="BQ102" s="280">
        <f t="shared" si="181"/>
        <v>1470495</v>
      </c>
      <c r="BR102" s="34">
        <f t="shared" si="182"/>
        <v>226.23</v>
      </c>
      <c r="CB102" s="277">
        <v>42950.463819444441</v>
      </c>
      <c r="CC102" s="276" t="s">
        <v>167</v>
      </c>
    </row>
    <row r="103" spans="1:81" ht="19.5" thickBot="1" x14ac:dyDescent="0.35">
      <c r="A103" s="708"/>
      <c r="B103" s="708"/>
      <c r="C103" s="144">
        <v>1250</v>
      </c>
      <c r="D103" s="141">
        <f t="shared" si="221"/>
        <v>12</v>
      </c>
      <c r="E103" s="95">
        <f t="shared" si="183"/>
        <v>0</v>
      </c>
      <c r="F103" s="103">
        <v>20</v>
      </c>
      <c r="G103" s="95">
        <f t="shared" si="184"/>
        <v>0</v>
      </c>
      <c r="H103" s="104">
        <v>4</v>
      </c>
      <c r="I103" s="95">
        <f t="shared" si="185"/>
        <v>0</v>
      </c>
      <c r="J103" s="84">
        <f t="shared" si="227"/>
        <v>0</v>
      </c>
      <c r="K103" s="334" t="str">
        <f t="shared" si="226"/>
        <v>1250RDC36KV</v>
      </c>
      <c r="L103" s="248">
        <v>2.5</v>
      </c>
      <c r="M103" s="285">
        <f t="shared" si="151"/>
        <v>17695</v>
      </c>
      <c r="N103" s="241">
        <v>0.35</v>
      </c>
      <c r="O103" s="285">
        <f t="shared" si="152"/>
        <v>2477.2999999999997</v>
      </c>
      <c r="P103" s="241">
        <v>0.5</v>
      </c>
      <c r="Q103" s="285">
        <f t="shared" si="153"/>
        <v>2674</v>
      </c>
      <c r="R103" s="241">
        <v>1.5</v>
      </c>
      <c r="S103" s="285">
        <f t="shared" si="154"/>
        <v>10839</v>
      </c>
      <c r="T103" s="241">
        <v>1.5</v>
      </c>
      <c r="U103" s="266">
        <f t="shared" si="155"/>
        <v>10617</v>
      </c>
      <c r="V103" s="241">
        <v>1.25</v>
      </c>
      <c r="W103" s="266">
        <f t="shared" si="156"/>
        <v>6685</v>
      </c>
      <c r="X103" s="241">
        <v>9</v>
      </c>
      <c r="Y103" s="266">
        <f t="shared" si="157"/>
        <v>65034</v>
      </c>
      <c r="Z103" s="241">
        <v>1.5</v>
      </c>
      <c r="AA103" s="266">
        <f t="shared" si="158"/>
        <v>8470.5</v>
      </c>
      <c r="AB103" s="241">
        <v>1.5</v>
      </c>
      <c r="AC103" s="266">
        <f t="shared" si="159"/>
        <v>10381.5</v>
      </c>
      <c r="AD103" s="236">
        <v>9</v>
      </c>
      <c r="AE103" s="266">
        <f t="shared" si="160"/>
        <v>63702</v>
      </c>
      <c r="AF103" s="236">
        <v>3</v>
      </c>
      <c r="AG103" s="266">
        <f t="shared" si="161"/>
        <v>16044</v>
      </c>
      <c r="AH103" s="236">
        <v>36</v>
      </c>
      <c r="AI103" s="266">
        <f t="shared" si="162"/>
        <v>260136</v>
      </c>
      <c r="AJ103" s="236"/>
      <c r="AK103" s="266">
        <f t="shared" si="163"/>
        <v>0</v>
      </c>
      <c r="AL103" s="236">
        <v>2.25</v>
      </c>
      <c r="AM103" s="266">
        <f t="shared" si="164"/>
        <v>12705.75</v>
      </c>
      <c r="AN103" s="236">
        <v>2.75</v>
      </c>
      <c r="AO103" s="266">
        <f t="shared" si="165"/>
        <v>19032.75</v>
      </c>
      <c r="AP103" s="236">
        <v>3</v>
      </c>
      <c r="AQ103" s="266">
        <f t="shared" si="166"/>
        <v>15529.25</v>
      </c>
      <c r="AR103" s="288"/>
      <c r="AS103" s="266">
        <f t="shared" si="167"/>
        <v>0</v>
      </c>
      <c r="AT103" s="287">
        <f t="shared" si="168"/>
        <v>522023.05</v>
      </c>
      <c r="AU103" s="244">
        <v>89.5</v>
      </c>
      <c r="AV103" s="285">
        <f t="shared" si="169"/>
        <v>564745</v>
      </c>
      <c r="AW103" s="236">
        <f t="shared" si="222"/>
        <v>17.435000000000002</v>
      </c>
      <c r="AX103" s="285">
        <f t="shared" si="170"/>
        <v>109840.50000000001</v>
      </c>
      <c r="AY103" s="236">
        <f t="shared" si="223"/>
        <v>4.6150000000000002</v>
      </c>
      <c r="AZ103" s="285">
        <f t="shared" si="171"/>
        <v>24782.550000000003</v>
      </c>
      <c r="BA103" s="241">
        <f t="shared" si="224"/>
        <v>0</v>
      </c>
      <c r="BB103" s="285">
        <f t="shared" si="172"/>
        <v>0</v>
      </c>
      <c r="BC103" s="236">
        <f t="shared" si="225"/>
        <v>2.95</v>
      </c>
      <c r="BD103" s="285">
        <f t="shared" si="173"/>
        <v>18614.5</v>
      </c>
      <c r="BE103" s="236">
        <v>22.25</v>
      </c>
      <c r="BF103" s="285">
        <f t="shared" si="174"/>
        <v>149898.25</v>
      </c>
      <c r="BG103" s="236">
        <v>9.5</v>
      </c>
      <c r="BH103" s="285">
        <f t="shared" si="175"/>
        <v>64001.5</v>
      </c>
      <c r="BI103" s="236">
        <v>3</v>
      </c>
      <c r="BJ103" s="285">
        <f t="shared" si="176"/>
        <v>39639</v>
      </c>
      <c r="BK103" s="236">
        <v>10</v>
      </c>
      <c r="BL103" s="266">
        <f t="shared" si="177"/>
        <v>57570</v>
      </c>
      <c r="BM103" s="288">
        <v>3</v>
      </c>
      <c r="BN103" s="92">
        <f t="shared" si="178"/>
        <v>20196</v>
      </c>
      <c r="BO103" s="93">
        <f t="shared" si="179"/>
        <v>1049287.3</v>
      </c>
      <c r="BP103" s="223">
        <f t="shared" si="180"/>
        <v>1571310.35</v>
      </c>
      <c r="BQ103" s="280">
        <f t="shared" si="181"/>
        <v>1546025</v>
      </c>
      <c r="BR103" s="34">
        <f t="shared" si="182"/>
        <v>237.85</v>
      </c>
    </row>
    <row r="104" spans="1:81" ht="19.5" thickBot="1" x14ac:dyDescent="0.35">
      <c r="A104" s="708"/>
      <c r="B104" s="708"/>
      <c r="C104" s="144">
        <v>1600</v>
      </c>
      <c r="D104" s="141">
        <f t="shared" si="221"/>
        <v>16</v>
      </c>
      <c r="E104" s="95">
        <f t="shared" si="183"/>
        <v>0</v>
      </c>
      <c r="F104" s="103">
        <v>24</v>
      </c>
      <c r="G104" s="95">
        <f t="shared" si="184"/>
        <v>0</v>
      </c>
      <c r="H104" s="104">
        <v>4</v>
      </c>
      <c r="I104" s="95">
        <f t="shared" si="185"/>
        <v>0</v>
      </c>
      <c r="J104" s="84">
        <f t="shared" si="227"/>
        <v>0</v>
      </c>
      <c r="K104" s="334" t="str">
        <f t="shared" si="226"/>
        <v>1600RDC36KV</v>
      </c>
      <c r="L104" s="248">
        <v>2.5</v>
      </c>
      <c r="M104" s="285">
        <f t="shared" si="151"/>
        <v>17695</v>
      </c>
      <c r="N104" s="241">
        <v>0.35</v>
      </c>
      <c r="O104" s="285">
        <f t="shared" si="152"/>
        <v>2477.2999999999997</v>
      </c>
      <c r="P104" s="241">
        <v>0.5</v>
      </c>
      <c r="Q104" s="285">
        <f t="shared" si="153"/>
        <v>2674</v>
      </c>
      <c r="R104" s="241">
        <v>1.5</v>
      </c>
      <c r="S104" s="285">
        <f t="shared" si="154"/>
        <v>10839</v>
      </c>
      <c r="T104" s="241">
        <v>1.5</v>
      </c>
      <c r="U104" s="266">
        <f t="shared" si="155"/>
        <v>10617</v>
      </c>
      <c r="V104" s="241">
        <v>1.25</v>
      </c>
      <c r="W104" s="266">
        <f t="shared" si="156"/>
        <v>6685</v>
      </c>
      <c r="X104" s="241">
        <v>10</v>
      </c>
      <c r="Y104" s="266">
        <f t="shared" si="157"/>
        <v>72260</v>
      </c>
      <c r="Z104" s="241">
        <v>1.5</v>
      </c>
      <c r="AA104" s="266">
        <f t="shared" si="158"/>
        <v>8470.5</v>
      </c>
      <c r="AB104" s="241">
        <v>1.75</v>
      </c>
      <c r="AC104" s="266">
        <f t="shared" si="159"/>
        <v>12111.75</v>
      </c>
      <c r="AD104" s="236">
        <v>9</v>
      </c>
      <c r="AE104" s="266">
        <f t="shared" si="160"/>
        <v>63702</v>
      </c>
      <c r="AF104" s="236">
        <v>3</v>
      </c>
      <c r="AG104" s="266">
        <f t="shared" si="161"/>
        <v>16044</v>
      </c>
      <c r="AH104" s="236">
        <v>38</v>
      </c>
      <c r="AI104" s="266">
        <f t="shared" si="162"/>
        <v>274588</v>
      </c>
      <c r="AJ104" s="236"/>
      <c r="AK104" s="266">
        <f t="shared" si="163"/>
        <v>0</v>
      </c>
      <c r="AL104" s="236">
        <v>3</v>
      </c>
      <c r="AM104" s="266">
        <f t="shared" si="164"/>
        <v>16941</v>
      </c>
      <c r="AN104" s="236">
        <v>3.25</v>
      </c>
      <c r="AO104" s="266">
        <f t="shared" si="165"/>
        <v>22493.25</v>
      </c>
      <c r="AP104" s="236">
        <v>3.5</v>
      </c>
      <c r="AQ104" s="266">
        <f t="shared" si="166"/>
        <v>18352.75</v>
      </c>
      <c r="AR104" s="288"/>
      <c r="AS104" s="266">
        <f t="shared" si="167"/>
        <v>0</v>
      </c>
      <c r="AT104" s="287">
        <f t="shared" si="168"/>
        <v>555950.55000000005</v>
      </c>
      <c r="AU104" s="244">
        <v>95.3</v>
      </c>
      <c r="AV104" s="285">
        <f t="shared" si="169"/>
        <v>601343</v>
      </c>
      <c r="AW104" s="236">
        <f t="shared" si="222"/>
        <v>18.700000000000003</v>
      </c>
      <c r="AX104" s="285">
        <f t="shared" si="170"/>
        <v>117810.00000000001</v>
      </c>
      <c r="AY104" s="236">
        <f t="shared" si="223"/>
        <v>81.25</v>
      </c>
      <c r="AZ104" s="285">
        <f t="shared" si="171"/>
        <v>436312.5</v>
      </c>
      <c r="BA104" s="241">
        <f t="shared" si="224"/>
        <v>26</v>
      </c>
      <c r="BB104" s="285">
        <f t="shared" si="172"/>
        <v>139620</v>
      </c>
      <c r="BC104" s="236">
        <f t="shared" si="225"/>
        <v>4</v>
      </c>
      <c r="BD104" s="285">
        <f t="shared" si="173"/>
        <v>25240</v>
      </c>
      <c r="BE104" s="236">
        <v>23.75</v>
      </c>
      <c r="BF104" s="285">
        <f t="shared" si="174"/>
        <v>160003.75</v>
      </c>
      <c r="BG104" s="236">
        <v>9.5</v>
      </c>
      <c r="BH104" s="285">
        <f t="shared" si="175"/>
        <v>64001.5</v>
      </c>
      <c r="BI104" s="236">
        <v>3</v>
      </c>
      <c r="BJ104" s="285">
        <f t="shared" si="176"/>
        <v>39639</v>
      </c>
      <c r="BK104" s="236">
        <v>10</v>
      </c>
      <c r="BL104" s="266">
        <f t="shared" si="177"/>
        <v>57570</v>
      </c>
      <c r="BM104" s="288">
        <v>3</v>
      </c>
      <c r="BN104" s="92">
        <f t="shared" si="178"/>
        <v>20196</v>
      </c>
      <c r="BO104" s="93">
        <f t="shared" si="179"/>
        <v>1661735.75</v>
      </c>
      <c r="BP104" s="223">
        <f t="shared" si="180"/>
        <v>2217686.2999999998</v>
      </c>
      <c r="BQ104" s="280">
        <f t="shared" si="181"/>
        <v>2308150</v>
      </c>
      <c r="BR104" s="34">
        <f t="shared" si="182"/>
        <v>355.09999999999997</v>
      </c>
    </row>
    <row r="105" spans="1:81" ht="19.5" thickBot="1" x14ac:dyDescent="0.35">
      <c r="A105" s="709"/>
      <c r="B105" s="709"/>
      <c r="C105" s="145">
        <v>2000</v>
      </c>
      <c r="D105" s="142">
        <f t="shared" si="221"/>
        <v>16</v>
      </c>
      <c r="E105" s="96">
        <f t="shared" si="183"/>
        <v>0</v>
      </c>
      <c r="F105" s="107">
        <v>24</v>
      </c>
      <c r="G105" s="96">
        <f t="shared" si="184"/>
        <v>0</v>
      </c>
      <c r="H105" s="106">
        <v>4</v>
      </c>
      <c r="I105" s="96">
        <f t="shared" si="185"/>
        <v>0</v>
      </c>
      <c r="J105" s="99">
        <f t="shared" si="227"/>
        <v>0</v>
      </c>
      <c r="K105" s="334" t="str">
        <f t="shared" si="226"/>
        <v>2000RDC36KV</v>
      </c>
      <c r="L105" s="290">
        <v>2.5</v>
      </c>
      <c r="M105" s="285">
        <f t="shared" si="151"/>
        <v>17695</v>
      </c>
      <c r="N105" s="291">
        <v>0.35</v>
      </c>
      <c r="O105" s="285">
        <f t="shared" si="152"/>
        <v>2477.2999999999997</v>
      </c>
      <c r="P105" s="291">
        <v>0.5</v>
      </c>
      <c r="Q105" s="285">
        <f t="shared" si="153"/>
        <v>2674</v>
      </c>
      <c r="R105" s="291">
        <v>1.5</v>
      </c>
      <c r="S105" s="285">
        <f t="shared" si="154"/>
        <v>10839</v>
      </c>
      <c r="T105" s="291">
        <v>1.5</v>
      </c>
      <c r="U105" s="266">
        <f t="shared" si="155"/>
        <v>10617</v>
      </c>
      <c r="V105" s="291">
        <v>1.25</v>
      </c>
      <c r="W105" s="266">
        <f t="shared" si="156"/>
        <v>6685</v>
      </c>
      <c r="X105" s="291">
        <v>10</v>
      </c>
      <c r="Y105" s="266">
        <f t="shared" si="157"/>
        <v>72260</v>
      </c>
      <c r="Z105" s="291">
        <v>1.5</v>
      </c>
      <c r="AA105" s="266">
        <f t="shared" si="158"/>
        <v>8470.5</v>
      </c>
      <c r="AB105" s="291">
        <v>1.75</v>
      </c>
      <c r="AC105" s="266">
        <f t="shared" si="159"/>
        <v>12111.75</v>
      </c>
      <c r="AD105" s="292">
        <v>15</v>
      </c>
      <c r="AE105" s="266">
        <f t="shared" si="160"/>
        <v>106170</v>
      </c>
      <c r="AF105" s="292">
        <v>5</v>
      </c>
      <c r="AG105" s="266">
        <f t="shared" si="161"/>
        <v>26740</v>
      </c>
      <c r="AH105" s="292">
        <v>40</v>
      </c>
      <c r="AI105" s="266">
        <f t="shared" si="162"/>
        <v>289040</v>
      </c>
      <c r="AJ105" s="292"/>
      <c r="AK105" s="266">
        <f t="shared" si="163"/>
        <v>0</v>
      </c>
      <c r="AL105" s="292">
        <v>3</v>
      </c>
      <c r="AM105" s="266">
        <f t="shared" si="164"/>
        <v>16941</v>
      </c>
      <c r="AN105" s="292">
        <v>3.25</v>
      </c>
      <c r="AO105" s="266">
        <f t="shared" si="165"/>
        <v>22493.25</v>
      </c>
      <c r="AP105" s="292">
        <v>3.5</v>
      </c>
      <c r="AQ105" s="266">
        <f t="shared" si="166"/>
        <v>18352.75</v>
      </c>
      <c r="AR105" s="293"/>
      <c r="AS105" s="266">
        <f t="shared" si="167"/>
        <v>0</v>
      </c>
      <c r="AT105" s="287">
        <f t="shared" si="168"/>
        <v>623566.55000000005</v>
      </c>
      <c r="AU105" s="294">
        <v>103.8</v>
      </c>
      <c r="AV105" s="285">
        <f t="shared" si="169"/>
        <v>654978</v>
      </c>
      <c r="AW105" s="292">
        <f t="shared" si="222"/>
        <v>18.700000000000003</v>
      </c>
      <c r="AX105" s="285">
        <f t="shared" si="170"/>
        <v>117810.00000000001</v>
      </c>
      <c r="AY105" s="292">
        <f t="shared" si="223"/>
        <v>85.15</v>
      </c>
      <c r="AZ105" s="285">
        <f t="shared" si="171"/>
        <v>457255.50000000006</v>
      </c>
      <c r="BA105" s="291">
        <f t="shared" si="224"/>
        <v>26</v>
      </c>
      <c r="BB105" s="285">
        <f t="shared" si="172"/>
        <v>139620</v>
      </c>
      <c r="BC105" s="292">
        <f t="shared" si="225"/>
        <v>4</v>
      </c>
      <c r="BD105" s="285">
        <f t="shared" si="173"/>
        <v>25240</v>
      </c>
      <c r="BE105" s="292">
        <v>24.5</v>
      </c>
      <c r="BF105" s="285">
        <f t="shared" si="174"/>
        <v>165056.5</v>
      </c>
      <c r="BG105" s="292">
        <v>9.5</v>
      </c>
      <c r="BH105" s="285">
        <f t="shared" si="175"/>
        <v>64001.5</v>
      </c>
      <c r="BI105" s="292">
        <v>3</v>
      </c>
      <c r="BJ105" s="285">
        <f t="shared" si="176"/>
        <v>39639</v>
      </c>
      <c r="BK105" s="292">
        <v>10</v>
      </c>
      <c r="BL105" s="266">
        <f t="shared" si="177"/>
        <v>57570</v>
      </c>
      <c r="BM105" s="293">
        <v>3</v>
      </c>
      <c r="BN105" s="92">
        <f t="shared" si="178"/>
        <v>20196</v>
      </c>
      <c r="BO105" s="93">
        <f t="shared" si="179"/>
        <v>1741366.5</v>
      </c>
      <c r="BP105" s="223">
        <f t="shared" si="180"/>
        <v>2364933.0499999998</v>
      </c>
      <c r="BQ105" s="280">
        <f t="shared" si="181"/>
        <v>2458625</v>
      </c>
      <c r="BR105" s="34">
        <f t="shared" si="182"/>
        <v>378.25</v>
      </c>
    </row>
    <row r="106" spans="1:81" ht="19.5" thickBot="1" x14ac:dyDescent="0.35">
      <c r="A106" s="336" t="s">
        <v>79</v>
      </c>
      <c r="B106" s="195" t="s">
        <v>144</v>
      </c>
      <c r="C106" s="221" t="s">
        <v>145</v>
      </c>
      <c r="D106" s="146">
        <v>0</v>
      </c>
      <c r="E106" s="92">
        <f t="shared" ref="E106:E125" si="228">$E$5</f>
        <v>0</v>
      </c>
      <c r="F106" s="105">
        <v>6</v>
      </c>
      <c r="G106" s="92">
        <f t="shared" ref="G106:G125" si="229">$G$5</f>
        <v>0</v>
      </c>
      <c r="H106" s="105">
        <v>2</v>
      </c>
      <c r="I106" s="92">
        <f t="shared" ref="I106:I125" si="230">$I$5</f>
        <v>0</v>
      </c>
      <c r="J106" s="98">
        <f t="shared" ref="J106:J121" si="231">D106*E106+F106*G106+H106*I106</f>
        <v>0</v>
      </c>
      <c r="K106" s="334" t="str">
        <f>C106&amp;A106&amp;B106</f>
        <v>E-S 200A2 VIASCJM</v>
      </c>
      <c r="L106" s="269">
        <v>2.5</v>
      </c>
      <c r="M106" s="285">
        <f t="shared" si="151"/>
        <v>17695</v>
      </c>
      <c r="N106" s="264">
        <v>0</v>
      </c>
      <c r="O106" s="285">
        <f t="shared" si="152"/>
        <v>0</v>
      </c>
      <c r="P106" s="264">
        <v>0</v>
      </c>
      <c r="Q106" s="285">
        <f t="shared" si="153"/>
        <v>0</v>
      </c>
      <c r="R106" s="264">
        <v>0</v>
      </c>
      <c r="S106" s="285">
        <f t="shared" si="154"/>
        <v>0</v>
      </c>
      <c r="T106" s="264">
        <v>0.75</v>
      </c>
      <c r="U106" s="266">
        <f t="shared" si="155"/>
        <v>5308.5</v>
      </c>
      <c r="V106" s="264">
        <v>1</v>
      </c>
      <c r="W106" s="266">
        <f t="shared" si="156"/>
        <v>5348</v>
      </c>
      <c r="X106" s="302">
        <v>8</v>
      </c>
      <c r="Y106" s="266">
        <f t="shared" si="157"/>
        <v>57808</v>
      </c>
      <c r="Z106" s="264">
        <v>1</v>
      </c>
      <c r="AA106" s="266">
        <f t="shared" si="158"/>
        <v>5647</v>
      </c>
      <c r="AB106" s="264">
        <v>1.25</v>
      </c>
      <c r="AC106" s="266">
        <f t="shared" si="159"/>
        <v>8651.25</v>
      </c>
      <c r="AD106" s="242">
        <v>1.25</v>
      </c>
      <c r="AE106" s="266">
        <f t="shared" si="160"/>
        <v>8847.5</v>
      </c>
      <c r="AF106" s="242">
        <v>1.5</v>
      </c>
      <c r="AG106" s="266">
        <f t="shared" si="161"/>
        <v>8022</v>
      </c>
      <c r="AH106" s="242">
        <v>19</v>
      </c>
      <c r="AI106" s="266">
        <f t="shared" si="162"/>
        <v>137294</v>
      </c>
      <c r="AJ106" s="264">
        <v>0</v>
      </c>
      <c r="AK106" s="266">
        <f t="shared" si="163"/>
        <v>0</v>
      </c>
      <c r="AL106" s="242">
        <v>1.5</v>
      </c>
      <c r="AM106" s="266">
        <f t="shared" si="164"/>
        <v>8470.5</v>
      </c>
      <c r="AN106" s="242">
        <v>1.25</v>
      </c>
      <c r="AO106" s="266">
        <f t="shared" si="165"/>
        <v>8651.25</v>
      </c>
      <c r="AP106" s="242">
        <v>2</v>
      </c>
      <c r="AQ106" s="266">
        <f t="shared" si="166"/>
        <v>7058.75</v>
      </c>
      <c r="AR106" s="286"/>
      <c r="AS106" s="266">
        <f t="shared" si="167"/>
        <v>0</v>
      </c>
      <c r="AT106" s="287">
        <f t="shared" si="168"/>
        <v>278801.75</v>
      </c>
      <c r="AU106" s="264">
        <v>0</v>
      </c>
      <c r="AV106" s="285">
        <f t="shared" si="169"/>
        <v>0</v>
      </c>
      <c r="AW106" s="264">
        <v>0</v>
      </c>
      <c r="AX106" s="285">
        <f t="shared" si="170"/>
        <v>0</v>
      </c>
      <c r="AY106" s="264">
        <v>0</v>
      </c>
      <c r="AZ106" s="285">
        <f t="shared" si="171"/>
        <v>0</v>
      </c>
      <c r="BA106" s="264">
        <v>0</v>
      </c>
      <c r="BB106" s="285">
        <f t="shared" si="172"/>
        <v>0</v>
      </c>
      <c r="BC106" s="264">
        <v>0</v>
      </c>
      <c r="BD106" s="285">
        <f t="shared" si="173"/>
        <v>0</v>
      </c>
      <c r="BE106" s="264">
        <v>0</v>
      </c>
      <c r="BF106" s="285">
        <f t="shared" si="174"/>
        <v>0</v>
      </c>
      <c r="BG106" s="242">
        <v>5.5</v>
      </c>
      <c r="BH106" s="285">
        <f t="shared" si="175"/>
        <v>37053.5</v>
      </c>
      <c r="BI106" s="242">
        <v>1.5</v>
      </c>
      <c r="BJ106" s="285">
        <f t="shared" si="176"/>
        <v>19819.5</v>
      </c>
      <c r="BK106" s="242"/>
      <c r="BL106" s="266">
        <f t="shared" si="177"/>
        <v>0</v>
      </c>
      <c r="BM106" s="303">
        <v>3.5</v>
      </c>
      <c r="BN106" s="92">
        <f t="shared" si="178"/>
        <v>23562</v>
      </c>
      <c r="BO106" s="93">
        <f t="shared" si="179"/>
        <v>80435</v>
      </c>
      <c r="BP106" s="223">
        <f t="shared" si="180"/>
        <v>359236.75</v>
      </c>
      <c r="BQ106" s="280">
        <f t="shared" ref="BQ106:BQ125" si="232">+$BQ$1*BR106</f>
        <v>334750</v>
      </c>
      <c r="BR106" s="34">
        <f t="shared" si="182"/>
        <v>51.5</v>
      </c>
      <c r="CB106" s="277">
        <v>42745.426944444444</v>
      </c>
      <c r="CC106" s="276" t="s">
        <v>115</v>
      </c>
    </row>
    <row r="107" spans="1:81" ht="19.5" thickBot="1" x14ac:dyDescent="0.35">
      <c r="A107" s="336" t="s">
        <v>79</v>
      </c>
      <c r="B107" s="195" t="s">
        <v>144</v>
      </c>
      <c r="C107" s="222" t="s">
        <v>146</v>
      </c>
      <c r="D107" s="148">
        <v>0</v>
      </c>
      <c r="E107" s="96">
        <f t="shared" si="228"/>
        <v>0</v>
      </c>
      <c r="F107" s="107">
        <v>6</v>
      </c>
      <c r="G107" s="96">
        <f t="shared" si="229"/>
        <v>0</v>
      </c>
      <c r="H107" s="107">
        <v>2</v>
      </c>
      <c r="I107" s="96">
        <f t="shared" si="230"/>
        <v>0</v>
      </c>
      <c r="J107" s="127">
        <f t="shared" si="231"/>
        <v>0</v>
      </c>
      <c r="K107" s="334" t="str">
        <f t="shared" ref="K107:K124" si="233">C107&amp;A107&amp;B107</f>
        <v>E-S 600A2 VIASCJM</v>
      </c>
      <c r="L107" s="290">
        <v>2.5</v>
      </c>
      <c r="M107" s="285">
        <f t="shared" si="151"/>
        <v>17695</v>
      </c>
      <c r="N107" s="291">
        <v>0</v>
      </c>
      <c r="O107" s="285">
        <f t="shared" si="152"/>
        <v>0</v>
      </c>
      <c r="P107" s="291">
        <v>0</v>
      </c>
      <c r="Q107" s="285">
        <f t="shared" si="153"/>
        <v>0</v>
      </c>
      <c r="R107" s="291">
        <v>0</v>
      </c>
      <c r="S107" s="285">
        <f t="shared" si="154"/>
        <v>0</v>
      </c>
      <c r="T107" s="291">
        <v>0.75</v>
      </c>
      <c r="U107" s="266">
        <f t="shared" si="155"/>
        <v>5308.5</v>
      </c>
      <c r="V107" s="291">
        <v>1</v>
      </c>
      <c r="W107" s="266">
        <f t="shared" si="156"/>
        <v>5348</v>
      </c>
      <c r="X107" s="304">
        <v>8</v>
      </c>
      <c r="Y107" s="266">
        <f t="shared" si="157"/>
        <v>57808</v>
      </c>
      <c r="Z107" s="291">
        <v>1</v>
      </c>
      <c r="AA107" s="266">
        <f t="shared" si="158"/>
        <v>5647</v>
      </c>
      <c r="AB107" s="291">
        <v>1.25</v>
      </c>
      <c r="AC107" s="266">
        <f t="shared" si="159"/>
        <v>8651.25</v>
      </c>
      <c r="AD107" s="292">
        <v>1.25</v>
      </c>
      <c r="AE107" s="266">
        <f t="shared" si="160"/>
        <v>8847.5</v>
      </c>
      <c r="AF107" s="292">
        <v>1.5</v>
      </c>
      <c r="AG107" s="266">
        <f t="shared" si="161"/>
        <v>8022</v>
      </c>
      <c r="AH107" s="292">
        <v>19</v>
      </c>
      <c r="AI107" s="266">
        <f t="shared" si="162"/>
        <v>137294</v>
      </c>
      <c r="AJ107" s="291">
        <v>0</v>
      </c>
      <c r="AK107" s="266">
        <f t="shared" si="163"/>
        <v>0</v>
      </c>
      <c r="AL107" s="292">
        <v>1.5</v>
      </c>
      <c r="AM107" s="266">
        <f t="shared" si="164"/>
        <v>8470.5</v>
      </c>
      <c r="AN107" s="292">
        <v>1.25</v>
      </c>
      <c r="AO107" s="266">
        <f t="shared" si="165"/>
        <v>8651.25</v>
      </c>
      <c r="AP107" s="292">
        <v>2</v>
      </c>
      <c r="AQ107" s="266">
        <f t="shared" si="166"/>
        <v>7058.75</v>
      </c>
      <c r="AR107" s="293"/>
      <c r="AS107" s="266">
        <f t="shared" si="167"/>
        <v>0</v>
      </c>
      <c r="AT107" s="287">
        <f t="shared" si="168"/>
        <v>278801.75</v>
      </c>
      <c r="AU107" s="291">
        <v>0</v>
      </c>
      <c r="AV107" s="285">
        <f t="shared" si="169"/>
        <v>0</v>
      </c>
      <c r="AW107" s="291">
        <v>0</v>
      </c>
      <c r="AX107" s="285">
        <f t="shared" si="170"/>
        <v>0</v>
      </c>
      <c r="AY107" s="291">
        <v>0</v>
      </c>
      <c r="AZ107" s="285">
        <f t="shared" si="171"/>
        <v>0</v>
      </c>
      <c r="BA107" s="291">
        <v>0</v>
      </c>
      <c r="BB107" s="285">
        <f t="shared" si="172"/>
        <v>0</v>
      </c>
      <c r="BC107" s="291">
        <v>0</v>
      </c>
      <c r="BD107" s="285">
        <f t="shared" si="173"/>
        <v>0</v>
      </c>
      <c r="BE107" s="291">
        <v>0</v>
      </c>
      <c r="BF107" s="285">
        <f t="shared" si="174"/>
        <v>0</v>
      </c>
      <c r="BG107" s="292">
        <v>7.75</v>
      </c>
      <c r="BH107" s="285">
        <f t="shared" si="175"/>
        <v>52211.75</v>
      </c>
      <c r="BI107" s="292">
        <v>1.5</v>
      </c>
      <c r="BJ107" s="285">
        <f t="shared" si="176"/>
        <v>19819.5</v>
      </c>
      <c r="BK107" s="292"/>
      <c r="BL107" s="266">
        <f t="shared" si="177"/>
        <v>0</v>
      </c>
      <c r="BM107" s="305">
        <v>3.5</v>
      </c>
      <c r="BN107" s="92">
        <f t="shared" si="178"/>
        <v>23562</v>
      </c>
      <c r="BO107" s="93">
        <f t="shared" si="179"/>
        <v>95593.25</v>
      </c>
      <c r="BP107" s="223">
        <f t="shared" si="180"/>
        <v>374395</v>
      </c>
      <c r="BQ107" s="283">
        <f t="shared" si="232"/>
        <v>349375</v>
      </c>
      <c r="BR107" s="34">
        <f t="shared" si="182"/>
        <v>53.75</v>
      </c>
      <c r="CB107" s="277">
        <v>42745.427002314813</v>
      </c>
      <c r="CC107" s="276" t="s">
        <v>115</v>
      </c>
    </row>
    <row r="108" spans="1:81" ht="19.5" thickBot="1" x14ac:dyDescent="0.35">
      <c r="A108" s="314" t="s">
        <v>80</v>
      </c>
      <c r="B108" s="195" t="s">
        <v>144</v>
      </c>
      <c r="C108" s="193" t="s">
        <v>126</v>
      </c>
      <c r="D108" s="77">
        <v>0</v>
      </c>
      <c r="E108" s="92">
        <f t="shared" si="228"/>
        <v>0</v>
      </c>
      <c r="F108" s="105">
        <v>6</v>
      </c>
      <c r="G108" s="92">
        <f t="shared" si="229"/>
        <v>0</v>
      </c>
      <c r="H108" s="105">
        <v>2</v>
      </c>
      <c r="I108" s="92">
        <f t="shared" si="230"/>
        <v>0</v>
      </c>
      <c r="J108" s="98">
        <f t="shared" si="231"/>
        <v>0</v>
      </c>
      <c r="K108" s="334" t="str">
        <f t="shared" si="233"/>
        <v>E-S 200A-1D-200A3 VIASCJM</v>
      </c>
      <c r="L108" s="269">
        <v>2.5</v>
      </c>
      <c r="M108" s="285">
        <f t="shared" si="151"/>
        <v>17695</v>
      </c>
      <c r="N108" s="264">
        <v>0</v>
      </c>
      <c r="O108" s="285">
        <f t="shared" si="152"/>
        <v>0</v>
      </c>
      <c r="P108" s="264">
        <v>0</v>
      </c>
      <c r="Q108" s="285">
        <f t="shared" si="153"/>
        <v>0</v>
      </c>
      <c r="R108" s="264">
        <v>0</v>
      </c>
      <c r="S108" s="285">
        <f t="shared" si="154"/>
        <v>0</v>
      </c>
      <c r="T108" s="264">
        <v>1</v>
      </c>
      <c r="U108" s="266">
        <f t="shared" si="155"/>
        <v>7078</v>
      </c>
      <c r="V108" s="264">
        <v>1</v>
      </c>
      <c r="W108" s="266">
        <f t="shared" si="156"/>
        <v>5348</v>
      </c>
      <c r="X108" s="264">
        <v>8</v>
      </c>
      <c r="Y108" s="266">
        <f t="shared" si="157"/>
        <v>57808</v>
      </c>
      <c r="Z108" s="264">
        <v>1</v>
      </c>
      <c r="AA108" s="266">
        <f t="shared" si="158"/>
        <v>5647</v>
      </c>
      <c r="AB108" s="264">
        <v>1.25</v>
      </c>
      <c r="AC108" s="266">
        <f t="shared" si="159"/>
        <v>8651.25</v>
      </c>
      <c r="AD108" s="264">
        <v>1.5</v>
      </c>
      <c r="AE108" s="266">
        <f t="shared" si="160"/>
        <v>10617</v>
      </c>
      <c r="AF108" s="264">
        <v>1.5</v>
      </c>
      <c r="AG108" s="266">
        <f t="shared" si="161"/>
        <v>8022</v>
      </c>
      <c r="AH108" s="264">
        <v>22</v>
      </c>
      <c r="AI108" s="266">
        <f t="shared" si="162"/>
        <v>158972</v>
      </c>
      <c r="AJ108" s="306">
        <v>0</v>
      </c>
      <c r="AK108" s="266">
        <f t="shared" si="163"/>
        <v>0</v>
      </c>
      <c r="AL108" s="242">
        <v>1.5</v>
      </c>
      <c r="AM108" s="266">
        <f t="shared" si="164"/>
        <v>8470.5</v>
      </c>
      <c r="AN108" s="242">
        <v>1.25</v>
      </c>
      <c r="AO108" s="266">
        <f t="shared" si="165"/>
        <v>8651.25</v>
      </c>
      <c r="AP108" s="242">
        <v>2</v>
      </c>
      <c r="AQ108" s="266">
        <f t="shared" si="166"/>
        <v>7058.75</v>
      </c>
      <c r="AR108" s="286"/>
      <c r="AS108" s="266">
        <f t="shared" si="167"/>
        <v>0</v>
      </c>
      <c r="AT108" s="287">
        <f t="shared" si="168"/>
        <v>304018.75</v>
      </c>
      <c r="AU108" s="264">
        <v>0</v>
      </c>
      <c r="AV108" s="285">
        <f t="shared" si="169"/>
        <v>0</v>
      </c>
      <c r="AW108" s="264">
        <v>0</v>
      </c>
      <c r="AX108" s="285">
        <f t="shared" si="170"/>
        <v>0</v>
      </c>
      <c r="AY108" s="264">
        <v>0</v>
      </c>
      <c r="AZ108" s="285">
        <f t="shared" si="171"/>
        <v>0</v>
      </c>
      <c r="BA108" s="264">
        <v>0</v>
      </c>
      <c r="BB108" s="285">
        <f t="shared" si="172"/>
        <v>0</v>
      </c>
      <c r="BC108" s="264">
        <v>0</v>
      </c>
      <c r="BD108" s="285">
        <f t="shared" si="173"/>
        <v>0</v>
      </c>
      <c r="BE108" s="264">
        <v>0</v>
      </c>
      <c r="BF108" s="285">
        <f t="shared" si="174"/>
        <v>0</v>
      </c>
      <c r="BG108" s="264">
        <v>5.5</v>
      </c>
      <c r="BH108" s="285">
        <f t="shared" si="175"/>
        <v>37053.5</v>
      </c>
      <c r="BI108" s="264">
        <v>1.5</v>
      </c>
      <c r="BJ108" s="285">
        <f t="shared" si="176"/>
        <v>19819.5</v>
      </c>
      <c r="BK108" s="264">
        <v>7</v>
      </c>
      <c r="BL108" s="266">
        <f t="shared" si="177"/>
        <v>40299</v>
      </c>
      <c r="BM108" s="303">
        <v>3.5</v>
      </c>
      <c r="BN108" s="92">
        <f t="shared" si="178"/>
        <v>23562</v>
      </c>
      <c r="BO108" s="93">
        <f t="shared" si="179"/>
        <v>120734</v>
      </c>
      <c r="BP108" s="223">
        <f t="shared" si="180"/>
        <v>424752.75</v>
      </c>
      <c r="BQ108" s="284">
        <f t="shared" si="232"/>
        <v>403000</v>
      </c>
      <c r="BR108" s="34">
        <f t="shared" si="182"/>
        <v>62</v>
      </c>
      <c r="CB108" s="277">
        <v>42745.420740740738</v>
      </c>
      <c r="CC108" s="276" t="s">
        <v>115</v>
      </c>
    </row>
    <row r="109" spans="1:81" ht="19.5" thickBot="1" x14ac:dyDescent="0.35">
      <c r="A109" s="314" t="s">
        <v>80</v>
      </c>
      <c r="B109" s="195" t="s">
        <v>144</v>
      </c>
      <c r="C109" s="138" t="s">
        <v>127</v>
      </c>
      <c r="D109" s="74">
        <v>0</v>
      </c>
      <c r="E109" s="95">
        <f t="shared" si="228"/>
        <v>0</v>
      </c>
      <c r="F109" s="103">
        <v>6</v>
      </c>
      <c r="G109" s="95">
        <f t="shared" si="229"/>
        <v>0</v>
      </c>
      <c r="H109" s="103">
        <v>2</v>
      </c>
      <c r="I109" s="95">
        <f t="shared" si="230"/>
        <v>0</v>
      </c>
      <c r="J109" s="137">
        <f t="shared" si="231"/>
        <v>0</v>
      </c>
      <c r="K109" s="334" t="str">
        <f t="shared" si="233"/>
        <v>E-S 600A-1D-600A3 VIASCJM</v>
      </c>
      <c r="L109" s="248">
        <v>2.5</v>
      </c>
      <c r="M109" s="285">
        <f t="shared" si="151"/>
        <v>17695</v>
      </c>
      <c r="N109" s="241">
        <v>0</v>
      </c>
      <c r="O109" s="285">
        <f t="shared" si="152"/>
        <v>0</v>
      </c>
      <c r="P109" s="241">
        <v>0</v>
      </c>
      <c r="Q109" s="285">
        <f t="shared" si="153"/>
        <v>0</v>
      </c>
      <c r="R109" s="241">
        <v>0</v>
      </c>
      <c r="S109" s="285">
        <f t="shared" si="154"/>
        <v>0</v>
      </c>
      <c r="T109" s="241">
        <v>1</v>
      </c>
      <c r="U109" s="266">
        <f t="shared" si="155"/>
        <v>7078</v>
      </c>
      <c r="V109" s="241">
        <v>1</v>
      </c>
      <c r="W109" s="266">
        <f t="shared" si="156"/>
        <v>5348</v>
      </c>
      <c r="X109" s="241">
        <v>8</v>
      </c>
      <c r="Y109" s="266">
        <f t="shared" si="157"/>
        <v>57808</v>
      </c>
      <c r="Z109" s="241">
        <v>1</v>
      </c>
      <c r="AA109" s="266">
        <f t="shared" si="158"/>
        <v>5647</v>
      </c>
      <c r="AB109" s="241">
        <v>1.25</v>
      </c>
      <c r="AC109" s="266">
        <f t="shared" si="159"/>
        <v>8651.25</v>
      </c>
      <c r="AD109" s="236">
        <v>1.5</v>
      </c>
      <c r="AE109" s="266">
        <f t="shared" si="160"/>
        <v>10617</v>
      </c>
      <c r="AF109" s="236">
        <v>1.5</v>
      </c>
      <c r="AG109" s="266">
        <f t="shared" si="161"/>
        <v>8022</v>
      </c>
      <c r="AH109" s="236">
        <v>22</v>
      </c>
      <c r="AI109" s="266">
        <f t="shared" si="162"/>
        <v>158972</v>
      </c>
      <c r="AJ109" s="241">
        <v>0</v>
      </c>
      <c r="AK109" s="266">
        <f t="shared" si="163"/>
        <v>0</v>
      </c>
      <c r="AL109" s="236">
        <v>1.5</v>
      </c>
      <c r="AM109" s="266">
        <f t="shared" si="164"/>
        <v>8470.5</v>
      </c>
      <c r="AN109" s="236">
        <v>1.25</v>
      </c>
      <c r="AO109" s="266">
        <f t="shared" si="165"/>
        <v>8651.25</v>
      </c>
      <c r="AP109" s="236">
        <v>2</v>
      </c>
      <c r="AQ109" s="266">
        <f t="shared" si="166"/>
        <v>7058.75</v>
      </c>
      <c r="AR109" s="288"/>
      <c r="AS109" s="266">
        <f t="shared" si="167"/>
        <v>0</v>
      </c>
      <c r="AT109" s="287">
        <f t="shared" si="168"/>
        <v>304018.75</v>
      </c>
      <c r="AU109" s="241">
        <v>0</v>
      </c>
      <c r="AV109" s="285">
        <f t="shared" si="169"/>
        <v>0</v>
      </c>
      <c r="AW109" s="241">
        <v>0</v>
      </c>
      <c r="AX109" s="285">
        <f t="shared" si="170"/>
        <v>0</v>
      </c>
      <c r="AY109" s="241">
        <v>0</v>
      </c>
      <c r="AZ109" s="285">
        <f t="shared" si="171"/>
        <v>0</v>
      </c>
      <c r="BA109" s="241">
        <v>0</v>
      </c>
      <c r="BB109" s="285">
        <f t="shared" si="172"/>
        <v>0</v>
      </c>
      <c r="BC109" s="241">
        <v>0</v>
      </c>
      <c r="BD109" s="285">
        <f t="shared" si="173"/>
        <v>0</v>
      </c>
      <c r="BE109" s="241">
        <v>0</v>
      </c>
      <c r="BF109" s="285">
        <f t="shared" si="174"/>
        <v>0</v>
      </c>
      <c r="BG109" s="236">
        <v>7.75</v>
      </c>
      <c r="BH109" s="285">
        <f t="shared" si="175"/>
        <v>52211.75</v>
      </c>
      <c r="BI109" s="236">
        <v>1.5</v>
      </c>
      <c r="BJ109" s="285">
        <f t="shared" si="176"/>
        <v>19819.5</v>
      </c>
      <c r="BK109" s="236">
        <v>7</v>
      </c>
      <c r="BL109" s="266">
        <f t="shared" si="177"/>
        <v>40299</v>
      </c>
      <c r="BM109" s="307">
        <v>3.5</v>
      </c>
      <c r="BN109" s="92">
        <f t="shared" si="178"/>
        <v>23562</v>
      </c>
      <c r="BO109" s="93">
        <f t="shared" si="179"/>
        <v>135892.25</v>
      </c>
      <c r="BP109" s="223">
        <f t="shared" si="180"/>
        <v>439911</v>
      </c>
      <c r="BQ109" s="280">
        <f t="shared" si="232"/>
        <v>417625</v>
      </c>
      <c r="BR109" s="34">
        <f t="shared" si="182"/>
        <v>64.25</v>
      </c>
      <c r="CB109" s="277">
        <v>42745.426481481481</v>
      </c>
      <c r="CC109" s="276" t="s">
        <v>115</v>
      </c>
    </row>
    <row r="110" spans="1:81" ht="19.5" thickBot="1" x14ac:dyDescent="0.35">
      <c r="A110" s="314" t="s">
        <v>80</v>
      </c>
      <c r="B110" s="195" t="s">
        <v>144</v>
      </c>
      <c r="C110" s="211" t="s">
        <v>128</v>
      </c>
      <c r="D110" s="196">
        <v>0</v>
      </c>
      <c r="E110" s="96">
        <f t="shared" si="228"/>
        <v>0</v>
      </c>
      <c r="F110" s="107">
        <v>6</v>
      </c>
      <c r="G110" s="96">
        <f t="shared" si="229"/>
        <v>0</v>
      </c>
      <c r="H110" s="107">
        <v>2</v>
      </c>
      <c r="I110" s="96">
        <f t="shared" si="230"/>
        <v>0</v>
      </c>
      <c r="J110" s="127">
        <f t="shared" si="231"/>
        <v>0</v>
      </c>
      <c r="K110" s="334" t="str">
        <f t="shared" si="233"/>
        <v>E-S 600A-1D-200A3 VIASCJM</v>
      </c>
      <c r="L110" s="290">
        <v>2.5</v>
      </c>
      <c r="M110" s="285">
        <f t="shared" si="151"/>
        <v>17695</v>
      </c>
      <c r="N110" s="291">
        <v>0</v>
      </c>
      <c r="O110" s="285">
        <f t="shared" si="152"/>
        <v>0</v>
      </c>
      <c r="P110" s="291">
        <v>0</v>
      </c>
      <c r="Q110" s="285">
        <f t="shared" si="153"/>
        <v>0</v>
      </c>
      <c r="R110" s="291">
        <v>0</v>
      </c>
      <c r="S110" s="285">
        <f t="shared" si="154"/>
        <v>0</v>
      </c>
      <c r="T110" s="291">
        <v>1</v>
      </c>
      <c r="U110" s="266">
        <f t="shared" si="155"/>
        <v>7078</v>
      </c>
      <c r="V110" s="291">
        <v>1</v>
      </c>
      <c r="W110" s="266">
        <f t="shared" si="156"/>
        <v>5348</v>
      </c>
      <c r="X110" s="291">
        <v>8</v>
      </c>
      <c r="Y110" s="266">
        <f t="shared" si="157"/>
        <v>57808</v>
      </c>
      <c r="Z110" s="291">
        <v>1</v>
      </c>
      <c r="AA110" s="266">
        <f t="shared" si="158"/>
        <v>5647</v>
      </c>
      <c r="AB110" s="291">
        <v>1.25</v>
      </c>
      <c r="AC110" s="266">
        <f t="shared" si="159"/>
        <v>8651.25</v>
      </c>
      <c r="AD110" s="292">
        <v>1.5</v>
      </c>
      <c r="AE110" s="266">
        <f t="shared" si="160"/>
        <v>10617</v>
      </c>
      <c r="AF110" s="292">
        <v>1.5</v>
      </c>
      <c r="AG110" s="266">
        <f t="shared" si="161"/>
        <v>8022</v>
      </c>
      <c r="AH110" s="292">
        <v>22</v>
      </c>
      <c r="AI110" s="266">
        <f t="shared" si="162"/>
        <v>158972</v>
      </c>
      <c r="AJ110" s="291">
        <v>0</v>
      </c>
      <c r="AK110" s="266">
        <f t="shared" si="163"/>
        <v>0</v>
      </c>
      <c r="AL110" s="292">
        <v>1.75</v>
      </c>
      <c r="AM110" s="266">
        <f t="shared" si="164"/>
        <v>9882.25</v>
      </c>
      <c r="AN110" s="292">
        <v>1.25</v>
      </c>
      <c r="AO110" s="266">
        <f t="shared" si="165"/>
        <v>8651.25</v>
      </c>
      <c r="AP110" s="292">
        <v>2</v>
      </c>
      <c r="AQ110" s="266">
        <f t="shared" si="166"/>
        <v>7058.75</v>
      </c>
      <c r="AR110" s="293"/>
      <c r="AS110" s="266">
        <f t="shared" si="167"/>
        <v>0</v>
      </c>
      <c r="AT110" s="287">
        <f t="shared" si="168"/>
        <v>305430.5</v>
      </c>
      <c r="AU110" s="291">
        <v>0</v>
      </c>
      <c r="AV110" s="285">
        <f t="shared" si="169"/>
        <v>0</v>
      </c>
      <c r="AW110" s="291">
        <v>0</v>
      </c>
      <c r="AX110" s="285">
        <f t="shared" si="170"/>
        <v>0</v>
      </c>
      <c r="AY110" s="291">
        <v>0</v>
      </c>
      <c r="AZ110" s="285">
        <f t="shared" si="171"/>
        <v>0</v>
      </c>
      <c r="BA110" s="291">
        <v>0</v>
      </c>
      <c r="BB110" s="285">
        <f t="shared" si="172"/>
        <v>0</v>
      </c>
      <c r="BC110" s="291">
        <v>0</v>
      </c>
      <c r="BD110" s="285">
        <f t="shared" si="173"/>
        <v>0</v>
      </c>
      <c r="BE110" s="291">
        <v>0</v>
      </c>
      <c r="BF110" s="285">
        <f t="shared" si="174"/>
        <v>0</v>
      </c>
      <c r="BG110" s="292">
        <v>7.75</v>
      </c>
      <c r="BH110" s="285">
        <f t="shared" si="175"/>
        <v>52211.75</v>
      </c>
      <c r="BI110" s="292">
        <v>1.5</v>
      </c>
      <c r="BJ110" s="285">
        <f t="shared" si="176"/>
        <v>19819.5</v>
      </c>
      <c r="BK110" s="292">
        <v>7</v>
      </c>
      <c r="BL110" s="266">
        <f t="shared" si="177"/>
        <v>40299</v>
      </c>
      <c r="BM110" s="305">
        <v>3.5</v>
      </c>
      <c r="BN110" s="92">
        <f t="shared" si="178"/>
        <v>23562</v>
      </c>
      <c r="BO110" s="93">
        <f t="shared" si="179"/>
        <v>135892.25</v>
      </c>
      <c r="BP110" s="223">
        <f t="shared" si="180"/>
        <v>441322.75</v>
      </c>
      <c r="BQ110" s="283">
        <f t="shared" si="232"/>
        <v>419250</v>
      </c>
      <c r="BR110" s="34">
        <f t="shared" si="182"/>
        <v>64.5</v>
      </c>
      <c r="CB110" s="277">
        <v>42745.420937499999</v>
      </c>
      <c r="CC110" s="276" t="s">
        <v>115</v>
      </c>
    </row>
    <row r="111" spans="1:81" ht="19.5" thickBot="1" x14ac:dyDescent="0.35">
      <c r="A111" s="313" t="s">
        <v>81</v>
      </c>
      <c r="B111" s="195" t="s">
        <v>144</v>
      </c>
      <c r="C111" s="212" t="s">
        <v>129</v>
      </c>
      <c r="D111" s="210">
        <v>0</v>
      </c>
      <c r="E111" s="83">
        <f t="shared" si="228"/>
        <v>0</v>
      </c>
      <c r="F111" s="194">
        <v>8</v>
      </c>
      <c r="G111" s="83">
        <f t="shared" si="229"/>
        <v>0</v>
      </c>
      <c r="H111" s="207">
        <v>2</v>
      </c>
      <c r="I111" s="92">
        <f t="shared" si="230"/>
        <v>0</v>
      </c>
      <c r="J111" s="84">
        <f t="shared" si="231"/>
        <v>0</v>
      </c>
      <c r="K111" s="334" t="str">
        <f t="shared" si="233"/>
        <v>E-S 200A-2D-200A4 VIASCJM</v>
      </c>
      <c r="L111" s="269">
        <v>2.5</v>
      </c>
      <c r="M111" s="285">
        <f t="shared" si="151"/>
        <v>17695</v>
      </c>
      <c r="N111" s="264">
        <v>0</v>
      </c>
      <c r="O111" s="285">
        <f t="shared" si="152"/>
        <v>0</v>
      </c>
      <c r="P111" s="264">
        <v>0</v>
      </c>
      <c r="Q111" s="285">
        <f t="shared" si="153"/>
        <v>0</v>
      </c>
      <c r="R111" s="264">
        <v>0</v>
      </c>
      <c r="S111" s="285">
        <f t="shared" si="154"/>
        <v>0</v>
      </c>
      <c r="T111" s="240">
        <v>1.25</v>
      </c>
      <c r="U111" s="266">
        <f t="shared" si="155"/>
        <v>8847.5</v>
      </c>
      <c r="V111" s="240">
        <v>1.25</v>
      </c>
      <c r="W111" s="266">
        <f t="shared" si="156"/>
        <v>6685</v>
      </c>
      <c r="X111" s="240">
        <v>9</v>
      </c>
      <c r="Y111" s="266">
        <f t="shared" si="157"/>
        <v>65034</v>
      </c>
      <c r="Z111" s="240">
        <v>1.25</v>
      </c>
      <c r="AA111" s="266">
        <f t="shared" si="158"/>
        <v>7058.75</v>
      </c>
      <c r="AB111" s="240">
        <v>1.5</v>
      </c>
      <c r="AC111" s="266">
        <f t="shared" si="159"/>
        <v>10381.5</v>
      </c>
      <c r="AD111" s="239">
        <v>1.75</v>
      </c>
      <c r="AE111" s="266">
        <f t="shared" si="160"/>
        <v>12386.5</v>
      </c>
      <c r="AF111" s="239">
        <v>2</v>
      </c>
      <c r="AG111" s="266">
        <f t="shared" si="161"/>
        <v>10696</v>
      </c>
      <c r="AH111" s="239">
        <v>25</v>
      </c>
      <c r="AI111" s="266">
        <f t="shared" si="162"/>
        <v>180650</v>
      </c>
      <c r="AJ111" s="240">
        <v>0</v>
      </c>
      <c r="AK111" s="266">
        <f t="shared" si="163"/>
        <v>0</v>
      </c>
      <c r="AL111" s="239">
        <v>1.75</v>
      </c>
      <c r="AM111" s="266">
        <f t="shared" si="164"/>
        <v>9882.25</v>
      </c>
      <c r="AN111" s="239">
        <v>1.5</v>
      </c>
      <c r="AO111" s="266">
        <f t="shared" si="165"/>
        <v>10381.5</v>
      </c>
      <c r="AP111" s="239">
        <v>2.5</v>
      </c>
      <c r="AQ111" s="266">
        <f t="shared" si="166"/>
        <v>8470.5</v>
      </c>
      <c r="AR111" s="286"/>
      <c r="AS111" s="266">
        <f t="shared" si="167"/>
        <v>0</v>
      </c>
      <c r="AT111" s="287">
        <f t="shared" si="168"/>
        <v>348168.5</v>
      </c>
      <c r="AU111" s="240">
        <v>0</v>
      </c>
      <c r="AV111" s="285">
        <f t="shared" si="169"/>
        <v>0</v>
      </c>
      <c r="AW111" s="240">
        <v>0</v>
      </c>
      <c r="AX111" s="285">
        <f t="shared" si="170"/>
        <v>0</v>
      </c>
      <c r="AY111" s="240">
        <v>0</v>
      </c>
      <c r="AZ111" s="285">
        <f t="shared" si="171"/>
        <v>0</v>
      </c>
      <c r="BA111" s="240">
        <v>0</v>
      </c>
      <c r="BB111" s="285">
        <f t="shared" si="172"/>
        <v>0</v>
      </c>
      <c r="BC111" s="240">
        <v>0</v>
      </c>
      <c r="BD111" s="285">
        <f t="shared" si="173"/>
        <v>0</v>
      </c>
      <c r="BE111" s="240">
        <v>0</v>
      </c>
      <c r="BF111" s="285">
        <f t="shared" si="174"/>
        <v>0</v>
      </c>
      <c r="BG111" s="239">
        <v>7</v>
      </c>
      <c r="BH111" s="285">
        <f t="shared" si="175"/>
        <v>47159</v>
      </c>
      <c r="BI111" s="239">
        <v>1.5</v>
      </c>
      <c r="BJ111" s="285">
        <f t="shared" si="176"/>
        <v>19819.5</v>
      </c>
      <c r="BK111" s="239">
        <v>8</v>
      </c>
      <c r="BL111" s="266">
        <f t="shared" si="177"/>
        <v>46056</v>
      </c>
      <c r="BM111" s="303">
        <v>3.5</v>
      </c>
      <c r="BN111" s="92">
        <f t="shared" si="178"/>
        <v>23562</v>
      </c>
      <c r="BO111" s="93">
        <f t="shared" si="179"/>
        <v>136596.5</v>
      </c>
      <c r="BP111" s="223">
        <f t="shared" si="180"/>
        <v>484765</v>
      </c>
      <c r="BQ111" s="282">
        <f t="shared" si="232"/>
        <v>463125</v>
      </c>
      <c r="BR111" s="34">
        <f t="shared" si="182"/>
        <v>71.25</v>
      </c>
      <c r="CB111" s="277">
        <v>42745.421018518522</v>
      </c>
      <c r="CC111" s="276" t="s">
        <v>115</v>
      </c>
    </row>
    <row r="112" spans="1:81" ht="19.5" thickBot="1" x14ac:dyDescent="0.35">
      <c r="A112" s="313" t="s">
        <v>81</v>
      </c>
      <c r="B112" s="195" t="s">
        <v>144</v>
      </c>
      <c r="C112" s="138" t="s">
        <v>130</v>
      </c>
      <c r="D112" s="147">
        <v>0</v>
      </c>
      <c r="E112" s="95">
        <f t="shared" si="228"/>
        <v>0</v>
      </c>
      <c r="F112" s="103">
        <v>8</v>
      </c>
      <c r="G112" s="95">
        <f t="shared" si="229"/>
        <v>0</v>
      </c>
      <c r="H112" s="208">
        <v>2</v>
      </c>
      <c r="I112" s="95">
        <f t="shared" si="230"/>
        <v>0</v>
      </c>
      <c r="J112" s="137">
        <f t="shared" si="231"/>
        <v>0</v>
      </c>
      <c r="K112" s="334" t="str">
        <f t="shared" si="233"/>
        <v>E-S 600A-2D-600A4 VIASCJM</v>
      </c>
      <c r="L112" s="248">
        <v>2.5</v>
      </c>
      <c r="M112" s="285">
        <f t="shared" si="151"/>
        <v>17695</v>
      </c>
      <c r="N112" s="241">
        <v>0</v>
      </c>
      <c r="O112" s="285">
        <f t="shared" si="152"/>
        <v>0</v>
      </c>
      <c r="P112" s="241">
        <v>0</v>
      </c>
      <c r="Q112" s="285">
        <f t="shared" si="153"/>
        <v>0</v>
      </c>
      <c r="R112" s="241">
        <v>0</v>
      </c>
      <c r="S112" s="285">
        <f t="shared" si="154"/>
        <v>0</v>
      </c>
      <c r="T112" s="241">
        <v>1.25</v>
      </c>
      <c r="U112" s="266">
        <f t="shared" si="155"/>
        <v>8847.5</v>
      </c>
      <c r="V112" s="241">
        <v>1.25</v>
      </c>
      <c r="W112" s="266">
        <f t="shared" si="156"/>
        <v>6685</v>
      </c>
      <c r="X112" s="241">
        <v>9</v>
      </c>
      <c r="Y112" s="266">
        <f t="shared" si="157"/>
        <v>65034</v>
      </c>
      <c r="Z112" s="241">
        <v>1.25</v>
      </c>
      <c r="AA112" s="266">
        <f t="shared" si="158"/>
        <v>7058.75</v>
      </c>
      <c r="AB112" s="241">
        <v>1.5</v>
      </c>
      <c r="AC112" s="266">
        <f t="shared" si="159"/>
        <v>10381.5</v>
      </c>
      <c r="AD112" s="236">
        <v>1.75</v>
      </c>
      <c r="AE112" s="266">
        <f t="shared" si="160"/>
        <v>12386.5</v>
      </c>
      <c r="AF112" s="236">
        <v>2</v>
      </c>
      <c r="AG112" s="266">
        <f t="shared" si="161"/>
        <v>10696</v>
      </c>
      <c r="AH112" s="236">
        <v>25</v>
      </c>
      <c r="AI112" s="266">
        <f t="shared" si="162"/>
        <v>180650</v>
      </c>
      <c r="AJ112" s="241">
        <v>0</v>
      </c>
      <c r="AK112" s="266">
        <f t="shared" si="163"/>
        <v>0</v>
      </c>
      <c r="AL112" s="236">
        <v>1.75</v>
      </c>
      <c r="AM112" s="266">
        <f t="shared" si="164"/>
        <v>9882.25</v>
      </c>
      <c r="AN112" s="236">
        <v>1.5</v>
      </c>
      <c r="AO112" s="266">
        <f t="shared" si="165"/>
        <v>10381.5</v>
      </c>
      <c r="AP112" s="236">
        <v>2.5</v>
      </c>
      <c r="AQ112" s="266">
        <f t="shared" si="166"/>
        <v>8470.5</v>
      </c>
      <c r="AR112" s="288"/>
      <c r="AS112" s="266">
        <f t="shared" si="167"/>
        <v>0</v>
      </c>
      <c r="AT112" s="287">
        <f t="shared" si="168"/>
        <v>348168.5</v>
      </c>
      <c r="AU112" s="241">
        <v>0</v>
      </c>
      <c r="AV112" s="285">
        <f t="shared" si="169"/>
        <v>0</v>
      </c>
      <c r="AW112" s="241">
        <v>0</v>
      </c>
      <c r="AX112" s="285">
        <f t="shared" si="170"/>
        <v>0</v>
      </c>
      <c r="AY112" s="241">
        <v>0</v>
      </c>
      <c r="AZ112" s="285">
        <f t="shared" si="171"/>
        <v>0</v>
      </c>
      <c r="BA112" s="241">
        <v>0</v>
      </c>
      <c r="BB112" s="285">
        <f t="shared" si="172"/>
        <v>0</v>
      </c>
      <c r="BC112" s="241">
        <v>0</v>
      </c>
      <c r="BD112" s="285">
        <f t="shared" si="173"/>
        <v>0</v>
      </c>
      <c r="BE112" s="241">
        <v>0</v>
      </c>
      <c r="BF112" s="285">
        <f t="shared" si="174"/>
        <v>0</v>
      </c>
      <c r="BG112" s="236">
        <v>9.75</v>
      </c>
      <c r="BH112" s="285">
        <f t="shared" si="175"/>
        <v>65685.75</v>
      </c>
      <c r="BI112" s="236">
        <v>1.5</v>
      </c>
      <c r="BJ112" s="285">
        <f t="shared" si="176"/>
        <v>19819.5</v>
      </c>
      <c r="BK112" s="236">
        <v>8</v>
      </c>
      <c r="BL112" s="266">
        <f t="shared" si="177"/>
        <v>46056</v>
      </c>
      <c r="BM112" s="307">
        <v>3.5</v>
      </c>
      <c r="BN112" s="92">
        <f t="shared" si="178"/>
        <v>23562</v>
      </c>
      <c r="BO112" s="93">
        <f t="shared" si="179"/>
        <v>155123.25</v>
      </c>
      <c r="BP112" s="223">
        <f t="shared" si="180"/>
        <v>503291.75</v>
      </c>
      <c r="BQ112" s="280">
        <f t="shared" si="232"/>
        <v>481000</v>
      </c>
      <c r="BR112" s="34">
        <f t="shared" si="182"/>
        <v>74</v>
      </c>
      <c r="CB112" s="277">
        <v>42745.426550925928</v>
      </c>
      <c r="CC112" s="276" t="s">
        <v>115</v>
      </c>
    </row>
    <row r="113" spans="1:81" ht="19.5" thickBot="1" x14ac:dyDescent="0.35">
      <c r="A113" s="313" t="s">
        <v>81</v>
      </c>
      <c r="B113" s="195" t="s">
        <v>144</v>
      </c>
      <c r="C113" s="138" t="s">
        <v>131</v>
      </c>
      <c r="D113" s="147">
        <v>0</v>
      </c>
      <c r="E113" s="95">
        <f t="shared" si="228"/>
        <v>0</v>
      </c>
      <c r="F113" s="103">
        <v>8</v>
      </c>
      <c r="G113" s="95">
        <f t="shared" si="229"/>
        <v>0</v>
      </c>
      <c r="H113" s="208">
        <v>2</v>
      </c>
      <c r="I113" s="95">
        <f t="shared" si="230"/>
        <v>0</v>
      </c>
      <c r="J113" s="137">
        <f t="shared" si="231"/>
        <v>0</v>
      </c>
      <c r="K113" s="334" t="str">
        <f t="shared" si="233"/>
        <v>E-S 600A-1D1-600A 1D2-200A4 VIASCJM</v>
      </c>
      <c r="L113" s="248">
        <v>2.5</v>
      </c>
      <c r="M113" s="285">
        <f t="shared" si="151"/>
        <v>17695</v>
      </c>
      <c r="N113" s="241">
        <v>0</v>
      </c>
      <c r="O113" s="285">
        <f t="shared" si="152"/>
        <v>0</v>
      </c>
      <c r="P113" s="241">
        <v>0</v>
      </c>
      <c r="Q113" s="285">
        <f t="shared" si="153"/>
        <v>0</v>
      </c>
      <c r="R113" s="241">
        <v>0</v>
      </c>
      <c r="S113" s="285">
        <f t="shared" si="154"/>
        <v>0</v>
      </c>
      <c r="T113" s="297">
        <v>1.5</v>
      </c>
      <c r="U113" s="266">
        <f t="shared" si="155"/>
        <v>10617</v>
      </c>
      <c r="V113" s="297">
        <v>1.25</v>
      </c>
      <c r="W113" s="266">
        <f t="shared" si="156"/>
        <v>6685</v>
      </c>
      <c r="X113" s="297">
        <v>9</v>
      </c>
      <c r="Y113" s="266">
        <f t="shared" si="157"/>
        <v>65034</v>
      </c>
      <c r="Z113" s="241">
        <v>1.25</v>
      </c>
      <c r="AA113" s="266">
        <f t="shared" si="158"/>
        <v>7058.75</v>
      </c>
      <c r="AB113" s="241">
        <v>1.5</v>
      </c>
      <c r="AC113" s="266">
        <f t="shared" si="159"/>
        <v>10381.5</v>
      </c>
      <c r="AD113" s="236">
        <v>1.75</v>
      </c>
      <c r="AE113" s="266">
        <f t="shared" si="160"/>
        <v>12386.5</v>
      </c>
      <c r="AF113" s="236">
        <v>2</v>
      </c>
      <c r="AG113" s="266">
        <f t="shared" si="161"/>
        <v>10696</v>
      </c>
      <c r="AH113" s="236">
        <v>25</v>
      </c>
      <c r="AI113" s="266">
        <f t="shared" si="162"/>
        <v>180650</v>
      </c>
      <c r="AJ113" s="297">
        <v>0</v>
      </c>
      <c r="AK113" s="266">
        <f t="shared" si="163"/>
        <v>0</v>
      </c>
      <c r="AL113" s="236">
        <v>1.75</v>
      </c>
      <c r="AM113" s="266">
        <f t="shared" si="164"/>
        <v>9882.25</v>
      </c>
      <c r="AN113" s="236">
        <v>1.5</v>
      </c>
      <c r="AO113" s="266">
        <f t="shared" si="165"/>
        <v>10381.5</v>
      </c>
      <c r="AP113" s="236">
        <v>2.5</v>
      </c>
      <c r="AQ113" s="266">
        <f t="shared" si="166"/>
        <v>8470.5</v>
      </c>
      <c r="AR113" s="288"/>
      <c r="AS113" s="266">
        <f t="shared" si="167"/>
        <v>0</v>
      </c>
      <c r="AT113" s="287">
        <f t="shared" si="168"/>
        <v>349938</v>
      </c>
      <c r="AU113" s="236">
        <v>0</v>
      </c>
      <c r="AV113" s="285">
        <f t="shared" si="169"/>
        <v>0</v>
      </c>
      <c r="AW113" s="236">
        <v>0</v>
      </c>
      <c r="AX113" s="285">
        <f t="shared" si="170"/>
        <v>0</v>
      </c>
      <c r="AY113" s="236">
        <v>0</v>
      </c>
      <c r="AZ113" s="285">
        <f t="shared" si="171"/>
        <v>0</v>
      </c>
      <c r="BA113" s="236">
        <v>0</v>
      </c>
      <c r="BB113" s="285">
        <f t="shared" si="172"/>
        <v>0</v>
      </c>
      <c r="BC113" s="236">
        <v>0</v>
      </c>
      <c r="BD113" s="285">
        <f t="shared" si="173"/>
        <v>0</v>
      </c>
      <c r="BE113" s="236">
        <v>0</v>
      </c>
      <c r="BF113" s="285">
        <f t="shared" si="174"/>
        <v>0</v>
      </c>
      <c r="BG113" s="236">
        <v>9.75</v>
      </c>
      <c r="BH113" s="285">
        <f t="shared" si="175"/>
        <v>65685.75</v>
      </c>
      <c r="BI113" s="236">
        <v>1.5</v>
      </c>
      <c r="BJ113" s="285">
        <f t="shared" si="176"/>
        <v>19819.5</v>
      </c>
      <c r="BK113" s="236">
        <v>8</v>
      </c>
      <c r="BL113" s="266">
        <f t="shared" si="177"/>
        <v>46056</v>
      </c>
      <c r="BM113" s="307">
        <v>3.5</v>
      </c>
      <c r="BN113" s="92">
        <f t="shared" si="178"/>
        <v>23562</v>
      </c>
      <c r="BO113" s="93">
        <f t="shared" si="179"/>
        <v>155123.25</v>
      </c>
      <c r="BP113" s="223">
        <f t="shared" si="180"/>
        <v>505061.25</v>
      </c>
      <c r="BQ113" s="280">
        <f t="shared" si="232"/>
        <v>482625</v>
      </c>
      <c r="BR113" s="34">
        <f t="shared" si="182"/>
        <v>74.25</v>
      </c>
      <c r="CB113" s="277">
        <v>42745.421203703707</v>
      </c>
      <c r="CC113" s="276" t="s">
        <v>115</v>
      </c>
    </row>
    <row r="114" spans="1:81" ht="19.5" thickBot="1" x14ac:dyDescent="0.35">
      <c r="A114" s="313" t="s">
        <v>81</v>
      </c>
      <c r="B114" s="195" t="s">
        <v>144</v>
      </c>
      <c r="C114" s="139" t="s">
        <v>132</v>
      </c>
      <c r="D114" s="150">
        <v>0</v>
      </c>
      <c r="E114" s="96">
        <f t="shared" si="228"/>
        <v>0</v>
      </c>
      <c r="F114" s="107">
        <v>8</v>
      </c>
      <c r="G114" s="96">
        <f t="shared" si="229"/>
        <v>0</v>
      </c>
      <c r="H114" s="209">
        <v>2</v>
      </c>
      <c r="I114" s="96">
        <f t="shared" si="230"/>
        <v>0</v>
      </c>
      <c r="J114" s="127">
        <f t="shared" si="231"/>
        <v>0</v>
      </c>
      <c r="K114" s="334" t="str">
        <f t="shared" si="233"/>
        <v>E-S 600A-2D-200A4 VIASCJM</v>
      </c>
      <c r="L114" s="290">
        <v>2.5</v>
      </c>
      <c r="M114" s="285">
        <f t="shared" si="151"/>
        <v>17695</v>
      </c>
      <c r="N114" s="291">
        <v>0</v>
      </c>
      <c r="O114" s="285">
        <f t="shared" si="152"/>
        <v>0</v>
      </c>
      <c r="P114" s="291">
        <v>0</v>
      </c>
      <c r="Q114" s="285">
        <f t="shared" si="153"/>
        <v>0</v>
      </c>
      <c r="R114" s="291">
        <v>0</v>
      </c>
      <c r="S114" s="285">
        <f t="shared" si="154"/>
        <v>0</v>
      </c>
      <c r="T114" s="299">
        <v>1.5</v>
      </c>
      <c r="U114" s="266">
        <f t="shared" si="155"/>
        <v>10617</v>
      </c>
      <c r="V114" s="299">
        <v>1.25</v>
      </c>
      <c r="W114" s="266">
        <f t="shared" si="156"/>
        <v>6685</v>
      </c>
      <c r="X114" s="299">
        <v>9</v>
      </c>
      <c r="Y114" s="266">
        <f t="shared" si="157"/>
        <v>65034</v>
      </c>
      <c r="Z114" s="291">
        <v>1.25</v>
      </c>
      <c r="AA114" s="266">
        <f t="shared" si="158"/>
        <v>7058.75</v>
      </c>
      <c r="AB114" s="291">
        <v>1.5</v>
      </c>
      <c r="AC114" s="266">
        <f t="shared" si="159"/>
        <v>10381.5</v>
      </c>
      <c r="AD114" s="292">
        <v>1.75</v>
      </c>
      <c r="AE114" s="266">
        <f t="shared" si="160"/>
        <v>12386.5</v>
      </c>
      <c r="AF114" s="292">
        <v>2</v>
      </c>
      <c r="AG114" s="266">
        <f t="shared" si="161"/>
        <v>10696</v>
      </c>
      <c r="AH114" s="292">
        <v>25</v>
      </c>
      <c r="AI114" s="266">
        <f t="shared" si="162"/>
        <v>180650</v>
      </c>
      <c r="AJ114" s="299">
        <v>0</v>
      </c>
      <c r="AK114" s="266">
        <f t="shared" si="163"/>
        <v>0</v>
      </c>
      <c r="AL114" s="292">
        <v>1.75</v>
      </c>
      <c r="AM114" s="266">
        <f t="shared" si="164"/>
        <v>9882.25</v>
      </c>
      <c r="AN114" s="292">
        <v>1.5</v>
      </c>
      <c r="AO114" s="266">
        <f t="shared" si="165"/>
        <v>10381.5</v>
      </c>
      <c r="AP114" s="292">
        <v>2.5</v>
      </c>
      <c r="AQ114" s="266">
        <f t="shared" si="166"/>
        <v>8470.5</v>
      </c>
      <c r="AR114" s="293"/>
      <c r="AS114" s="266">
        <f t="shared" si="167"/>
        <v>0</v>
      </c>
      <c r="AT114" s="287">
        <f t="shared" si="168"/>
        <v>349938</v>
      </c>
      <c r="AU114" s="292">
        <v>0</v>
      </c>
      <c r="AV114" s="285">
        <f t="shared" si="169"/>
        <v>0</v>
      </c>
      <c r="AW114" s="292">
        <v>0</v>
      </c>
      <c r="AX114" s="285">
        <f t="shared" si="170"/>
        <v>0</v>
      </c>
      <c r="AY114" s="292">
        <v>0</v>
      </c>
      <c r="AZ114" s="285">
        <f t="shared" si="171"/>
        <v>0</v>
      </c>
      <c r="BA114" s="292">
        <v>0</v>
      </c>
      <c r="BB114" s="285">
        <f t="shared" si="172"/>
        <v>0</v>
      </c>
      <c r="BC114" s="292">
        <v>0</v>
      </c>
      <c r="BD114" s="285">
        <f t="shared" si="173"/>
        <v>0</v>
      </c>
      <c r="BE114" s="292">
        <v>0</v>
      </c>
      <c r="BF114" s="285">
        <f t="shared" si="174"/>
        <v>0</v>
      </c>
      <c r="BG114" s="292">
        <v>9.75</v>
      </c>
      <c r="BH114" s="285">
        <f t="shared" si="175"/>
        <v>65685.75</v>
      </c>
      <c r="BI114" s="292">
        <v>1.5</v>
      </c>
      <c r="BJ114" s="285">
        <f t="shared" si="176"/>
        <v>19819.5</v>
      </c>
      <c r="BK114" s="292">
        <v>8</v>
      </c>
      <c r="BL114" s="266">
        <f t="shared" si="177"/>
        <v>46056</v>
      </c>
      <c r="BM114" s="305">
        <v>3.5</v>
      </c>
      <c r="BN114" s="92">
        <f t="shared" si="178"/>
        <v>23562</v>
      </c>
      <c r="BO114" s="93">
        <f t="shared" si="179"/>
        <v>155123.25</v>
      </c>
      <c r="BP114" s="223">
        <f t="shared" si="180"/>
        <v>505061.25</v>
      </c>
      <c r="BQ114" s="283">
        <f t="shared" si="232"/>
        <v>482625</v>
      </c>
      <c r="BR114" s="34">
        <f t="shared" si="182"/>
        <v>74.25</v>
      </c>
      <c r="CB114" s="277">
        <v>42745.421261574076</v>
      </c>
      <c r="CC114" s="276" t="s">
        <v>115</v>
      </c>
    </row>
    <row r="115" spans="1:81" ht="19.5" thickBot="1" x14ac:dyDescent="0.35">
      <c r="A115" s="313" t="s">
        <v>82</v>
      </c>
      <c r="B115" s="195" t="s">
        <v>144</v>
      </c>
      <c r="C115" s="193" t="s">
        <v>133</v>
      </c>
      <c r="D115" s="199">
        <v>0</v>
      </c>
      <c r="E115" s="92">
        <f t="shared" si="228"/>
        <v>0</v>
      </c>
      <c r="F115" s="105">
        <v>8</v>
      </c>
      <c r="G115" s="92">
        <f t="shared" si="229"/>
        <v>0</v>
      </c>
      <c r="H115" s="200">
        <v>2</v>
      </c>
      <c r="I115" s="92">
        <f t="shared" si="230"/>
        <v>0</v>
      </c>
      <c r="J115" s="98">
        <f t="shared" si="231"/>
        <v>0</v>
      </c>
      <c r="K115" s="334" t="str">
        <f t="shared" si="233"/>
        <v>E-S 200A-3D-200A5 VIASCJM</v>
      </c>
      <c r="L115" s="269">
        <v>2.5</v>
      </c>
      <c r="M115" s="285">
        <f t="shared" si="151"/>
        <v>17695</v>
      </c>
      <c r="N115" s="264">
        <v>0</v>
      </c>
      <c r="O115" s="285">
        <f t="shared" si="152"/>
        <v>0</v>
      </c>
      <c r="P115" s="264">
        <v>0</v>
      </c>
      <c r="Q115" s="285">
        <f t="shared" si="153"/>
        <v>0</v>
      </c>
      <c r="R115" s="264">
        <v>0</v>
      </c>
      <c r="S115" s="285">
        <f t="shared" si="154"/>
        <v>0</v>
      </c>
      <c r="T115" s="295">
        <v>1.75</v>
      </c>
      <c r="U115" s="266">
        <f t="shared" si="155"/>
        <v>12386.5</v>
      </c>
      <c r="V115" s="295">
        <v>1.5</v>
      </c>
      <c r="W115" s="266">
        <f t="shared" si="156"/>
        <v>8022</v>
      </c>
      <c r="X115" s="295">
        <v>9</v>
      </c>
      <c r="Y115" s="266">
        <f t="shared" si="157"/>
        <v>65034</v>
      </c>
      <c r="Z115" s="264">
        <v>1.25</v>
      </c>
      <c r="AA115" s="266">
        <f t="shared" si="158"/>
        <v>7058.75</v>
      </c>
      <c r="AB115" s="264">
        <v>1.5</v>
      </c>
      <c r="AC115" s="266">
        <f t="shared" si="159"/>
        <v>10381.5</v>
      </c>
      <c r="AD115" s="242">
        <v>1.75</v>
      </c>
      <c r="AE115" s="266">
        <f t="shared" si="160"/>
        <v>12386.5</v>
      </c>
      <c r="AF115" s="242">
        <v>2</v>
      </c>
      <c r="AG115" s="266">
        <f t="shared" si="161"/>
        <v>10696</v>
      </c>
      <c r="AH115" s="242">
        <v>25</v>
      </c>
      <c r="AI115" s="266">
        <f t="shared" si="162"/>
        <v>180650</v>
      </c>
      <c r="AJ115" s="295">
        <v>0</v>
      </c>
      <c r="AK115" s="266">
        <f t="shared" si="163"/>
        <v>0</v>
      </c>
      <c r="AL115" s="242">
        <v>2</v>
      </c>
      <c r="AM115" s="266">
        <f t="shared" si="164"/>
        <v>11294</v>
      </c>
      <c r="AN115" s="242">
        <v>2</v>
      </c>
      <c r="AO115" s="266">
        <f t="shared" si="165"/>
        <v>13842</v>
      </c>
      <c r="AP115" s="242">
        <v>3</v>
      </c>
      <c r="AQ115" s="266">
        <f t="shared" si="166"/>
        <v>11294</v>
      </c>
      <c r="AR115" s="286"/>
      <c r="AS115" s="266">
        <f t="shared" si="167"/>
        <v>0</v>
      </c>
      <c r="AT115" s="287">
        <f t="shared" si="168"/>
        <v>360740.25</v>
      </c>
      <c r="AU115" s="242">
        <v>0</v>
      </c>
      <c r="AV115" s="285">
        <f t="shared" si="169"/>
        <v>0</v>
      </c>
      <c r="AW115" s="242">
        <v>0</v>
      </c>
      <c r="AX115" s="285">
        <f t="shared" si="170"/>
        <v>0</v>
      </c>
      <c r="AY115" s="242">
        <v>0</v>
      </c>
      <c r="AZ115" s="285">
        <f t="shared" si="171"/>
        <v>0</v>
      </c>
      <c r="BA115" s="242">
        <v>0</v>
      </c>
      <c r="BB115" s="285">
        <f t="shared" si="172"/>
        <v>0</v>
      </c>
      <c r="BC115" s="242">
        <v>0</v>
      </c>
      <c r="BD115" s="285">
        <f t="shared" si="173"/>
        <v>0</v>
      </c>
      <c r="BE115" s="242">
        <v>0</v>
      </c>
      <c r="BF115" s="285">
        <f t="shared" si="174"/>
        <v>0</v>
      </c>
      <c r="BG115" s="242">
        <v>8.25</v>
      </c>
      <c r="BH115" s="285">
        <f t="shared" si="175"/>
        <v>55580.25</v>
      </c>
      <c r="BI115" s="242">
        <v>1.5</v>
      </c>
      <c r="BJ115" s="285">
        <f t="shared" si="176"/>
        <v>19819.5</v>
      </c>
      <c r="BK115" s="242">
        <v>8</v>
      </c>
      <c r="BL115" s="266">
        <f t="shared" si="177"/>
        <v>46056</v>
      </c>
      <c r="BM115" s="303">
        <v>3.5</v>
      </c>
      <c r="BN115" s="92">
        <f t="shared" si="178"/>
        <v>23562</v>
      </c>
      <c r="BO115" s="93">
        <f t="shared" si="179"/>
        <v>145017.75</v>
      </c>
      <c r="BP115" s="223">
        <f t="shared" si="180"/>
        <v>505758</v>
      </c>
      <c r="BQ115" s="284">
        <f t="shared" si="232"/>
        <v>484250</v>
      </c>
      <c r="BR115" s="34">
        <f t="shared" si="182"/>
        <v>74.5</v>
      </c>
      <c r="CB115" s="277">
        <v>42745.426817129628</v>
      </c>
      <c r="CC115" s="276" t="s">
        <v>115</v>
      </c>
    </row>
    <row r="116" spans="1:81" ht="19.5" thickBot="1" x14ac:dyDescent="0.35">
      <c r="A116" s="313" t="s">
        <v>82</v>
      </c>
      <c r="B116" s="195" t="s">
        <v>144</v>
      </c>
      <c r="C116" s="138" t="s">
        <v>134</v>
      </c>
      <c r="D116" s="75">
        <v>0</v>
      </c>
      <c r="E116" s="95">
        <f t="shared" si="228"/>
        <v>0</v>
      </c>
      <c r="F116" s="103">
        <v>8</v>
      </c>
      <c r="G116" s="95">
        <f t="shared" si="229"/>
        <v>0</v>
      </c>
      <c r="H116" s="104">
        <v>2</v>
      </c>
      <c r="I116" s="95">
        <f t="shared" si="230"/>
        <v>0</v>
      </c>
      <c r="J116" s="137">
        <f t="shared" si="231"/>
        <v>0</v>
      </c>
      <c r="K116" s="334" t="str">
        <f t="shared" si="233"/>
        <v>E-S 600A-3D-600A5 VIASCJM</v>
      </c>
      <c r="L116" s="248">
        <v>2.5</v>
      </c>
      <c r="M116" s="285">
        <f t="shared" si="151"/>
        <v>17695</v>
      </c>
      <c r="N116" s="241">
        <v>0</v>
      </c>
      <c r="O116" s="285">
        <f t="shared" si="152"/>
        <v>0</v>
      </c>
      <c r="P116" s="241">
        <v>0</v>
      </c>
      <c r="Q116" s="285">
        <f t="shared" si="153"/>
        <v>0</v>
      </c>
      <c r="R116" s="241">
        <v>0</v>
      </c>
      <c r="S116" s="285">
        <f t="shared" si="154"/>
        <v>0</v>
      </c>
      <c r="T116" s="297">
        <v>2</v>
      </c>
      <c r="U116" s="266">
        <f t="shared" si="155"/>
        <v>14156</v>
      </c>
      <c r="V116" s="297">
        <v>1.75</v>
      </c>
      <c r="W116" s="266">
        <f t="shared" si="156"/>
        <v>9359</v>
      </c>
      <c r="X116" s="297">
        <v>16</v>
      </c>
      <c r="Y116" s="266">
        <f t="shared" si="157"/>
        <v>115616</v>
      </c>
      <c r="Z116" s="241">
        <v>2</v>
      </c>
      <c r="AA116" s="266">
        <f t="shared" si="158"/>
        <v>11294</v>
      </c>
      <c r="AB116" s="241">
        <v>2.25</v>
      </c>
      <c r="AC116" s="266">
        <f t="shared" si="159"/>
        <v>15572.25</v>
      </c>
      <c r="AD116" s="236">
        <v>2</v>
      </c>
      <c r="AE116" s="266">
        <f t="shared" si="160"/>
        <v>14156</v>
      </c>
      <c r="AF116" s="236">
        <v>2</v>
      </c>
      <c r="AG116" s="266">
        <f t="shared" si="161"/>
        <v>10696</v>
      </c>
      <c r="AH116" s="236">
        <v>26</v>
      </c>
      <c r="AI116" s="266">
        <f t="shared" si="162"/>
        <v>187876</v>
      </c>
      <c r="AJ116" s="297">
        <v>0</v>
      </c>
      <c r="AK116" s="266">
        <f t="shared" si="163"/>
        <v>0</v>
      </c>
      <c r="AL116" s="236">
        <v>2</v>
      </c>
      <c r="AM116" s="266">
        <f t="shared" si="164"/>
        <v>11294</v>
      </c>
      <c r="AN116" s="236">
        <v>2</v>
      </c>
      <c r="AO116" s="266">
        <f t="shared" si="165"/>
        <v>13842</v>
      </c>
      <c r="AP116" s="236">
        <v>3</v>
      </c>
      <c r="AQ116" s="266">
        <f t="shared" si="166"/>
        <v>11294</v>
      </c>
      <c r="AR116" s="288"/>
      <c r="AS116" s="266">
        <f t="shared" si="167"/>
        <v>0</v>
      </c>
      <c r="AT116" s="287">
        <f t="shared" si="168"/>
        <v>432850.25</v>
      </c>
      <c r="AU116" s="236">
        <v>0</v>
      </c>
      <c r="AV116" s="285">
        <f t="shared" si="169"/>
        <v>0</v>
      </c>
      <c r="AW116" s="236">
        <v>0</v>
      </c>
      <c r="AX116" s="285">
        <f t="shared" si="170"/>
        <v>0</v>
      </c>
      <c r="AY116" s="236">
        <v>0</v>
      </c>
      <c r="AZ116" s="285">
        <f t="shared" si="171"/>
        <v>0</v>
      </c>
      <c r="BA116" s="236">
        <v>0</v>
      </c>
      <c r="BB116" s="285">
        <f t="shared" si="172"/>
        <v>0</v>
      </c>
      <c r="BC116" s="236">
        <v>0</v>
      </c>
      <c r="BD116" s="285">
        <f t="shared" si="173"/>
        <v>0</v>
      </c>
      <c r="BE116" s="236">
        <v>0</v>
      </c>
      <c r="BF116" s="285">
        <f t="shared" si="174"/>
        <v>0</v>
      </c>
      <c r="BG116" s="236">
        <v>11.5</v>
      </c>
      <c r="BH116" s="285">
        <f t="shared" si="175"/>
        <v>77475.5</v>
      </c>
      <c r="BI116" s="236">
        <v>1.5</v>
      </c>
      <c r="BJ116" s="285">
        <f t="shared" si="176"/>
        <v>19819.5</v>
      </c>
      <c r="BK116" s="236">
        <v>8</v>
      </c>
      <c r="BL116" s="266">
        <f t="shared" si="177"/>
        <v>46056</v>
      </c>
      <c r="BM116" s="307">
        <v>3.5</v>
      </c>
      <c r="BN116" s="92">
        <f t="shared" si="178"/>
        <v>23562</v>
      </c>
      <c r="BO116" s="93">
        <f t="shared" si="179"/>
        <v>166913</v>
      </c>
      <c r="BP116" s="223">
        <f t="shared" si="180"/>
        <v>599763.25</v>
      </c>
      <c r="BQ116" s="280">
        <f t="shared" si="232"/>
        <v>572000</v>
      </c>
      <c r="BR116" s="34">
        <f t="shared" si="182"/>
        <v>88</v>
      </c>
      <c r="CB116" s="277">
        <v>42745.426620370374</v>
      </c>
      <c r="CC116" s="276" t="s">
        <v>115</v>
      </c>
    </row>
    <row r="117" spans="1:81" ht="19.5" thickBot="1" x14ac:dyDescent="0.35">
      <c r="A117" s="313" t="s">
        <v>82</v>
      </c>
      <c r="B117" s="195" t="s">
        <v>144</v>
      </c>
      <c r="C117" s="138" t="s">
        <v>135</v>
      </c>
      <c r="D117" s="75">
        <v>0</v>
      </c>
      <c r="E117" s="95">
        <f t="shared" si="228"/>
        <v>0</v>
      </c>
      <c r="F117" s="103">
        <v>8</v>
      </c>
      <c r="G117" s="95">
        <f t="shared" si="229"/>
        <v>0</v>
      </c>
      <c r="H117" s="104">
        <v>2</v>
      </c>
      <c r="I117" s="95">
        <f t="shared" si="230"/>
        <v>0</v>
      </c>
      <c r="J117" s="137">
        <f t="shared" si="231"/>
        <v>0</v>
      </c>
      <c r="K117" s="334" t="str">
        <f>C117&amp;A117&amp;B117</f>
        <v>E-S 600A-3D-200A5 VIASCJM</v>
      </c>
      <c r="L117" s="248">
        <v>2.5</v>
      </c>
      <c r="M117" s="285">
        <f t="shared" si="151"/>
        <v>17695</v>
      </c>
      <c r="N117" s="241">
        <v>0</v>
      </c>
      <c r="O117" s="285">
        <f t="shared" si="152"/>
        <v>0</v>
      </c>
      <c r="P117" s="241">
        <v>0</v>
      </c>
      <c r="Q117" s="285">
        <f t="shared" si="153"/>
        <v>0</v>
      </c>
      <c r="R117" s="241">
        <v>0</v>
      </c>
      <c r="S117" s="285">
        <f t="shared" si="154"/>
        <v>0</v>
      </c>
      <c r="T117" s="297">
        <v>2</v>
      </c>
      <c r="U117" s="266">
        <f t="shared" si="155"/>
        <v>14156</v>
      </c>
      <c r="V117" s="297">
        <v>1.75</v>
      </c>
      <c r="W117" s="266">
        <f t="shared" si="156"/>
        <v>9359</v>
      </c>
      <c r="X117" s="297">
        <v>16</v>
      </c>
      <c r="Y117" s="266">
        <f t="shared" si="157"/>
        <v>115616</v>
      </c>
      <c r="Z117" s="241">
        <v>2</v>
      </c>
      <c r="AA117" s="266">
        <f t="shared" si="158"/>
        <v>11294</v>
      </c>
      <c r="AB117" s="241">
        <v>2.25</v>
      </c>
      <c r="AC117" s="266">
        <f t="shared" si="159"/>
        <v>15572.25</v>
      </c>
      <c r="AD117" s="236">
        <v>2</v>
      </c>
      <c r="AE117" s="266">
        <f t="shared" si="160"/>
        <v>14156</v>
      </c>
      <c r="AF117" s="236">
        <v>2.25</v>
      </c>
      <c r="AG117" s="266">
        <f t="shared" si="161"/>
        <v>12033</v>
      </c>
      <c r="AH117" s="236">
        <v>28</v>
      </c>
      <c r="AI117" s="266">
        <f t="shared" si="162"/>
        <v>202328</v>
      </c>
      <c r="AJ117" s="297">
        <v>0</v>
      </c>
      <c r="AK117" s="266">
        <f t="shared" si="163"/>
        <v>0</v>
      </c>
      <c r="AL117" s="236">
        <v>2.25</v>
      </c>
      <c r="AM117" s="266">
        <f t="shared" si="164"/>
        <v>12705.75</v>
      </c>
      <c r="AN117" s="236">
        <v>2.5</v>
      </c>
      <c r="AO117" s="266">
        <f t="shared" si="165"/>
        <v>17302.5</v>
      </c>
      <c r="AP117" s="236">
        <v>3</v>
      </c>
      <c r="AQ117" s="266">
        <f t="shared" si="166"/>
        <v>14117.5</v>
      </c>
      <c r="AR117" s="288"/>
      <c r="AS117" s="266">
        <f t="shared" si="167"/>
        <v>0</v>
      </c>
      <c r="AT117" s="287">
        <f t="shared" si="168"/>
        <v>456335</v>
      </c>
      <c r="AU117" s="236">
        <v>0</v>
      </c>
      <c r="AV117" s="285">
        <f t="shared" si="169"/>
        <v>0</v>
      </c>
      <c r="AW117" s="236">
        <v>0</v>
      </c>
      <c r="AX117" s="285">
        <f t="shared" si="170"/>
        <v>0</v>
      </c>
      <c r="AY117" s="236">
        <v>0</v>
      </c>
      <c r="AZ117" s="285">
        <f t="shared" si="171"/>
        <v>0</v>
      </c>
      <c r="BA117" s="236">
        <v>0</v>
      </c>
      <c r="BB117" s="285">
        <f t="shared" si="172"/>
        <v>0</v>
      </c>
      <c r="BC117" s="236">
        <v>0</v>
      </c>
      <c r="BD117" s="285">
        <f t="shared" si="173"/>
        <v>0</v>
      </c>
      <c r="BE117" s="236">
        <v>0</v>
      </c>
      <c r="BF117" s="285">
        <f t="shared" si="174"/>
        <v>0</v>
      </c>
      <c r="BG117" s="236">
        <v>11.5</v>
      </c>
      <c r="BH117" s="285">
        <f t="shared" si="175"/>
        <v>77475.5</v>
      </c>
      <c r="BI117" s="236">
        <v>1.5</v>
      </c>
      <c r="BJ117" s="285">
        <f t="shared" si="176"/>
        <v>19819.5</v>
      </c>
      <c r="BK117" s="236">
        <v>8</v>
      </c>
      <c r="BL117" s="266">
        <f t="shared" si="177"/>
        <v>46056</v>
      </c>
      <c r="BM117" s="307">
        <v>3.5</v>
      </c>
      <c r="BN117" s="92">
        <f t="shared" si="178"/>
        <v>23562</v>
      </c>
      <c r="BO117" s="93">
        <f t="shared" si="179"/>
        <v>166913</v>
      </c>
      <c r="BP117" s="223">
        <f t="shared" si="180"/>
        <v>623248</v>
      </c>
      <c r="BQ117" s="280">
        <f t="shared" si="232"/>
        <v>591500</v>
      </c>
      <c r="BR117" s="34">
        <f t="shared" si="182"/>
        <v>91</v>
      </c>
      <c r="CB117" s="277">
        <v>42745.429965277777</v>
      </c>
      <c r="CC117" s="276" t="s">
        <v>115</v>
      </c>
    </row>
    <row r="118" spans="1:81" ht="19.5" thickBot="1" x14ac:dyDescent="0.35">
      <c r="A118" s="313" t="s">
        <v>82</v>
      </c>
      <c r="B118" s="195" t="s">
        <v>144</v>
      </c>
      <c r="C118" s="138" t="s">
        <v>136</v>
      </c>
      <c r="D118" s="75">
        <v>0</v>
      </c>
      <c r="E118" s="95">
        <f t="shared" si="228"/>
        <v>0</v>
      </c>
      <c r="F118" s="103">
        <v>8</v>
      </c>
      <c r="G118" s="95">
        <f t="shared" si="229"/>
        <v>0</v>
      </c>
      <c r="H118" s="104">
        <v>2</v>
      </c>
      <c r="I118" s="95">
        <f t="shared" si="230"/>
        <v>0</v>
      </c>
      <c r="J118" s="137">
        <f t="shared" si="231"/>
        <v>0</v>
      </c>
      <c r="K118" s="334" t="str">
        <f t="shared" si="233"/>
        <v>E-S 600A-2D1-600A 1D2-200A5 VIASCJM</v>
      </c>
      <c r="L118" s="248">
        <v>2.5</v>
      </c>
      <c r="M118" s="285">
        <f t="shared" si="151"/>
        <v>17695</v>
      </c>
      <c r="N118" s="241">
        <v>0</v>
      </c>
      <c r="O118" s="285">
        <f t="shared" si="152"/>
        <v>0</v>
      </c>
      <c r="P118" s="241">
        <v>0</v>
      </c>
      <c r="Q118" s="285">
        <f t="shared" si="153"/>
        <v>0</v>
      </c>
      <c r="R118" s="241">
        <v>0</v>
      </c>
      <c r="S118" s="285">
        <f t="shared" si="154"/>
        <v>0</v>
      </c>
      <c r="T118" s="297">
        <v>2</v>
      </c>
      <c r="U118" s="266">
        <f t="shared" si="155"/>
        <v>14156</v>
      </c>
      <c r="V118" s="297">
        <v>1.75</v>
      </c>
      <c r="W118" s="266">
        <f t="shared" si="156"/>
        <v>9359</v>
      </c>
      <c r="X118" s="297">
        <v>18</v>
      </c>
      <c r="Y118" s="266">
        <f t="shared" si="157"/>
        <v>130068</v>
      </c>
      <c r="Z118" s="241">
        <v>2</v>
      </c>
      <c r="AA118" s="266">
        <f t="shared" si="158"/>
        <v>11294</v>
      </c>
      <c r="AB118" s="241">
        <v>2.5</v>
      </c>
      <c r="AC118" s="266">
        <f t="shared" si="159"/>
        <v>17302.5</v>
      </c>
      <c r="AD118" s="236">
        <v>2</v>
      </c>
      <c r="AE118" s="266">
        <f t="shared" si="160"/>
        <v>14156</v>
      </c>
      <c r="AF118" s="236">
        <v>2.25</v>
      </c>
      <c r="AG118" s="266">
        <f t="shared" si="161"/>
        <v>12033</v>
      </c>
      <c r="AH118" s="236">
        <v>28</v>
      </c>
      <c r="AI118" s="266">
        <f t="shared" si="162"/>
        <v>202328</v>
      </c>
      <c r="AJ118" s="297">
        <v>0</v>
      </c>
      <c r="AK118" s="266">
        <f t="shared" si="163"/>
        <v>0</v>
      </c>
      <c r="AL118" s="236">
        <v>2.25</v>
      </c>
      <c r="AM118" s="266">
        <f t="shared" si="164"/>
        <v>12705.75</v>
      </c>
      <c r="AN118" s="236">
        <v>2.5</v>
      </c>
      <c r="AO118" s="266">
        <f t="shared" si="165"/>
        <v>17302.5</v>
      </c>
      <c r="AP118" s="236">
        <v>3</v>
      </c>
      <c r="AQ118" s="266">
        <f t="shared" si="166"/>
        <v>14117.5</v>
      </c>
      <c r="AR118" s="288"/>
      <c r="AS118" s="266">
        <f t="shared" si="167"/>
        <v>0</v>
      </c>
      <c r="AT118" s="287">
        <f t="shared" si="168"/>
        <v>472517.25</v>
      </c>
      <c r="AU118" s="236">
        <v>0</v>
      </c>
      <c r="AV118" s="285">
        <f t="shared" si="169"/>
        <v>0</v>
      </c>
      <c r="AW118" s="236">
        <v>0</v>
      </c>
      <c r="AX118" s="285">
        <f t="shared" si="170"/>
        <v>0</v>
      </c>
      <c r="AY118" s="236">
        <v>0</v>
      </c>
      <c r="AZ118" s="285">
        <f t="shared" si="171"/>
        <v>0</v>
      </c>
      <c r="BA118" s="236">
        <v>0</v>
      </c>
      <c r="BB118" s="285">
        <f t="shared" si="172"/>
        <v>0</v>
      </c>
      <c r="BC118" s="236">
        <v>0</v>
      </c>
      <c r="BD118" s="285">
        <f t="shared" si="173"/>
        <v>0</v>
      </c>
      <c r="BE118" s="236">
        <v>0</v>
      </c>
      <c r="BF118" s="285">
        <f t="shared" si="174"/>
        <v>0</v>
      </c>
      <c r="BG118" s="236">
        <v>11.5</v>
      </c>
      <c r="BH118" s="285">
        <f t="shared" si="175"/>
        <v>77475.5</v>
      </c>
      <c r="BI118" s="236">
        <v>1.5</v>
      </c>
      <c r="BJ118" s="285">
        <f t="shared" si="176"/>
        <v>19819.5</v>
      </c>
      <c r="BK118" s="236">
        <v>8</v>
      </c>
      <c r="BL118" s="266">
        <f t="shared" si="177"/>
        <v>46056</v>
      </c>
      <c r="BM118" s="307">
        <v>3.5</v>
      </c>
      <c r="BN118" s="92">
        <f t="shared" si="178"/>
        <v>23562</v>
      </c>
      <c r="BO118" s="93">
        <f t="shared" si="179"/>
        <v>166913</v>
      </c>
      <c r="BP118" s="223">
        <f t="shared" si="180"/>
        <v>639430.25</v>
      </c>
      <c r="BQ118" s="280">
        <f t="shared" si="232"/>
        <v>606125</v>
      </c>
      <c r="BR118" s="34">
        <f t="shared" si="182"/>
        <v>93.25</v>
      </c>
      <c r="CB118" s="277">
        <v>42745.421666666669</v>
      </c>
      <c r="CC118" s="276" t="s">
        <v>115</v>
      </c>
    </row>
    <row r="119" spans="1:81" ht="19.5" thickBot="1" x14ac:dyDescent="0.35">
      <c r="A119" s="313" t="s">
        <v>82</v>
      </c>
      <c r="B119" s="195" t="s">
        <v>144</v>
      </c>
      <c r="C119" s="138" t="s">
        <v>137</v>
      </c>
      <c r="D119" s="76">
        <v>0</v>
      </c>
      <c r="E119" s="96">
        <f t="shared" si="228"/>
        <v>0</v>
      </c>
      <c r="F119" s="107">
        <v>8</v>
      </c>
      <c r="G119" s="96">
        <f t="shared" si="229"/>
        <v>0</v>
      </c>
      <c r="H119" s="106">
        <v>2</v>
      </c>
      <c r="I119" s="96">
        <f t="shared" si="230"/>
        <v>0</v>
      </c>
      <c r="J119" s="127">
        <f t="shared" si="231"/>
        <v>0</v>
      </c>
      <c r="K119" s="334" t="str">
        <f t="shared" si="233"/>
        <v>E-S 600A-1D1-600A 2D2-200A5 VIASCJM</v>
      </c>
      <c r="L119" s="290">
        <v>2.5</v>
      </c>
      <c r="M119" s="285">
        <f t="shared" si="151"/>
        <v>17695</v>
      </c>
      <c r="N119" s="291">
        <v>0</v>
      </c>
      <c r="O119" s="285">
        <f t="shared" si="152"/>
        <v>0</v>
      </c>
      <c r="P119" s="291">
        <v>0</v>
      </c>
      <c r="Q119" s="285">
        <f t="shared" si="153"/>
        <v>0</v>
      </c>
      <c r="R119" s="291">
        <v>0</v>
      </c>
      <c r="S119" s="285">
        <f t="shared" si="154"/>
        <v>0</v>
      </c>
      <c r="T119" s="299">
        <v>2</v>
      </c>
      <c r="U119" s="266">
        <f t="shared" si="155"/>
        <v>14156</v>
      </c>
      <c r="V119" s="299">
        <v>1.75</v>
      </c>
      <c r="W119" s="266">
        <f t="shared" si="156"/>
        <v>9359</v>
      </c>
      <c r="X119" s="299">
        <v>18</v>
      </c>
      <c r="Y119" s="266">
        <f t="shared" si="157"/>
        <v>130068</v>
      </c>
      <c r="Z119" s="291">
        <v>2</v>
      </c>
      <c r="AA119" s="266">
        <f t="shared" si="158"/>
        <v>11294</v>
      </c>
      <c r="AB119" s="291">
        <v>2.5</v>
      </c>
      <c r="AC119" s="266">
        <f t="shared" si="159"/>
        <v>17302.5</v>
      </c>
      <c r="AD119" s="292">
        <v>2</v>
      </c>
      <c r="AE119" s="266">
        <f t="shared" si="160"/>
        <v>14156</v>
      </c>
      <c r="AF119" s="292">
        <v>2.25</v>
      </c>
      <c r="AG119" s="266">
        <f t="shared" si="161"/>
        <v>12033</v>
      </c>
      <c r="AH119" s="292">
        <v>28</v>
      </c>
      <c r="AI119" s="266">
        <f t="shared" si="162"/>
        <v>202328</v>
      </c>
      <c r="AJ119" s="299">
        <v>0</v>
      </c>
      <c r="AK119" s="266">
        <f t="shared" si="163"/>
        <v>0</v>
      </c>
      <c r="AL119" s="292">
        <v>2.25</v>
      </c>
      <c r="AM119" s="266">
        <f t="shared" si="164"/>
        <v>12705.75</v>
      </c>
      <c r="AN119" s="292">
        <v>2.5</v>
      </c>
      <c r="AO119" s="266">
        <f t="shared" si="165"/>
        <v>17302.5</v>
      </c>
      <c r="AP119" s="292">
        <v>3</v>
      </c>
      <c r="AQ119" s="266">
        <f t="shared" si="166"/>
        <v>14117.5</v>
      </c>
      <c r="AR119" s="293"/>
      <c r="AS119" s="266">
        <f t="shared" si="167"/>
        <v>0</v>
      </c>
      <c r="AT119" s="287">
        <f t="shared" si="168"/>
        <v>472517.25</v>
      </c>
      <c r="AU119" s="292">
        <v>0</v>
      </c>
      <c r="AV119" s="285">
        <f t="shared" si="169"/>
        <v>0</v>
      </c>
      <c r="AW119" s="292">
        <v>0</v>
      </c>
      <c r="AX119" s="285">
        <f t="shared" si="170"/>
        <v>0</v>
      </c>
      <c r="AY119" s="292">
        <v>0</v>
      </c>
      <c r="AZ119" s="285">
        <f t="shared" si="171"/>
        <v>0</v>
      </c>
      <c r="BA119" s="292">
        <v>0</v>
      </c>
      <c r="BB119" s="285">
        <f t="shared" si="172"/>
        <v>0</v>
      </c>
      <c r="BC119" s="292">
        <v>0</v>
      </c>
      <c r="BD119" s="285">
        <f t="shared" si="173"/>
        <v>0</v>
      </c>
      <c r="BE119" s="292">
        <v>0</v>
      </c>
      <c r="BF119" s="285">
        <f t="shared" si="174"/>
        <v>0</v>
      </c>
      <c r="BG119" s="292">
        <v>11.5</v>
      </c>
      <c r="BH119" s="285">
        <f t="shared" si="175"/>
        <v>77475.5</v>
      </c>
      <c r="BI119" s="292">
        <v>1.5</v>
      </c>
      <c r="BJ119" s="285">
        <f t="shared" si="176"/>
        <v>19819.5</v>
      </c>
      <c r="BK119" s="292">
        <v>8</v>
      </c>
      <c r="BL119" s="266">
        <f t="shared" si="177"/>
        <v>46056</v>
      </c>
      <c r="BM119" s="305">
        <v>3.5</v>
      </c>
      <c r="BN119" s="92">
        <f t="shared" si="178"/>
        <v>23562</v>
      </c>
      <c r="BO119" s="93">
        <f t="shared" si="179"/>
        <v>166913</v>
      </c>
      <c r="BP119" s="223">
        <f t="shared" si="180"/>
        <v>639430.25</v>
      </c>
      <c r="BQ119" s="283">
        <f t="shared" si="232"/>
        <v>606125</v>
      </c>
      <c r="BR119" s="34">
        <f t="shared" si="182"/>
        <v>93.25</v>
      </c>
      <c r="CB119" s="277">
        <v>42745.421805555554</v>
      </c>
      <c r="CC119" s="276" t="s">
        <v>115</v>
      </c>
    </row>
    <row r="120" spans="1:81" ht="19.5" thickBot="1" x14ac:dyDescent="0.35">
      <c r="A120" s="313" t="s">
        <v>148</v>
      </c>
      <c r="B120" s="195" t="s">
        <v>144</v>
      </c>
      <c r="C120" s="138" t="s">
        <v>138</v>
      </c>
      <c r="D120" s="197">
        <v>0</v>
      </c>
      <c r="E120" s="83">
        <f t="shared" si="228"/>
        <v>0</v>
      </c>
      <c r="F120" s="194">
        <v>12</v>
      </c>
      <c r="G120" s="83">
        <f t="shared" si="229"/>
        <v>0</v>
      </c>
      <c r="H120" s="198">
        <v>2</v>
      </c>
      <c r="I120" s="83">
        <f t="shared" si="230"/>
        <v>0</v>
      </c>
      <c r="J120" s="84">
        <f t="shared" si="231"/>
        <v>0</v>
      </c>
      <c r="K120" s="334" t="str">
        <f t="shared" si="233"/>
        <v>E-S 200A-4D-200A6 VIASCJM</v>
      </c>
      <c r="L120" s="308">
        <v>2.5</v>
      </c>
      <c r="M120" s="285">
        <f t="shared" si="151"/>
        <v>17695</v>
      </c>
      <c r="N120" s="264">
        <v>0</v>
      </c>
      <c r="O120" s="285">
        <f t="shared" si="152"/>
        <v>0</v>
      </c>
      <c r="P120" s="264">
        <v>0</v>
      </c>
      <c r="Q120" s="285">
        <f t="shared" si="153"/>
        <v>0</v>
      </c>
      <c r="R120" s="264">
        <v>0</v>
      </c>
      <c r="S120" s="285">
        <f t="shared" si="154"/>
        <v>0</v>
      </c>
      <c r="T120" s="309">
        <v>2.25</v>
      </c>
      <c r="U120" s="266">
        <f t="shared" si="155"/>
        <v>15925.5</v>
      </c>
      <c r="V120" s="309">
        <v>2</v>
      </c>
      <c r="W120" s="266">
        <f t="shared" si="156"/>
        <v>10696</v>
      </c>
      <c r="X120" s="310">
        <v>18</v>
      </c>
      <c r="Y120" s="266">
        <f t="shared" si="157"/>
        <v>130068</v>
      </c>
      <c r="Z120" s="240">
        <v>2</v>
      </c>
      <c r="AA120" s="266">
        <f t="shared" si="158"/>
        <v>11294</v>
      </c>
      <c r="AB120" s="240">
        <v>2.5</v>
      </c>
      <c r="AC120" s="266">
        <f t="shared" si="159"/>
        <v>17302.5</v>
      </c>
      <c r="AD120" s="239">
        <v>2.5</v>
      </c>
      <c r="AE120" s="266">
        <f t="shared" si="160"/>
        <v>17695</v>
      </c>
      <c r="AF120" s="239">
        <v>2.5</v>
      </c>
      <c r="AG120" s="266">
        <f t="shared" si="161"/>
        <v>13370</v>
      </c>
      <c r="AH120" s="239">
        <v>32</v>
      </c>
      <c r="AI120" s="266">
        <f t="shared" si="162"/>
        <v>231232</v>
      </c>
      <c r="AJ120" s="309">
        <v>0</v>
      </c>
      <c r="AK120" s="266">
        <f t="shared" si="163"/>
        <v>0</v>
      </c>
      <c r="AL120" s="239">
        <v>2.5</v>
      </c>
      <c r="AM120" s="266">
        <f t="shared" si="164"/>
        <v>14117.5</v>
      </c>
      <c r="AN120" s="242">
        <v>3</v>
      </c>
      <c r="AO120" s="266">
        <f t="shared" si="165"/>
        <v>20763</v>
      </c>
      <c r="AP120" s="258">
        <v>3.5</v>
      </c>
      <c r="AQ120" s="266">
        <f t="shared" si="166"/>
        <v>16941</v>
      </c>
      <c r="AR120" s="286"/>
      <c r="AS120" s="266">
        <f t="shared" si="167"/>
        <v>0</v>
      </c>
      <c r="AT120" s="287">
        <f t="shared" si="168"/>
        <v>517099.5</v>
      </c>
      <c r="AU120" s="258">
        <v>0</v>
      </c>
      <c r="AV120" s="285">
        <f t="shared" si="169"/>
        <v>0</v>
      </c>
      <c r="AW120" s="239">
        <v>0</v>
      </c>
      <c r="AX120" s="285">
        <f t="shared" si="170"/>
        <v>0</v>
      </c>
      <c r="AY120" s="239">
        <v>0</v>
      </c>
      <c r="AZ120" s="285">
        <f t="shared" si="171"/>
        <v>0</v>
      </c>
      <c r="BA120" s="239">
        <v>0</v>
      </c>
      <c r="BB120" s="285">
        <f t="shared" si="172"/>
        <v>0</v>
      </c>
      <c r="BC120" s="239">
        <v>0</v>
      </c>
      <c r="BD120" s="285">
        <f t="shared" si="173"/>
        <v>0</v>
      </c>
      <c r="BE120" s="239">
        <v>0</v>
      </c>
      <c r="BF120" s="285">
        <f t="shared" si="174"/>
        <v>0</v>
      </c>
      <c r="BG120" s="239">
        <v>9.5</v>
      </c>
      <c r="BH120" s="285">
        <f t="shared" si="175"/>
        <v>64001.5</v>
      </c>
      <c r="BI120" s="239">
        <v>1.5</v>
      </c>
      <c r="BJ120" s="285">
        <f t="shared" si="176"/>
        <v>19819.5</v>
      </c>
      <c r="BK120" s="239">
        <v>9</v>
      </c>
      <c r="BL120" s="266">
        <f t="shared" si="177"/>
        <v>51813</v>
      </c>
      <c r="BM120" s="303">
        <v>3.5</v>
      </c>
      <c r="BN120" s="92">
        <f t="shared" si="178"/>
        <v>23562</v>
      </c>
      <c r="BO120" s="93">
        <f t="shared" si="179"/>
        <v>159196</v>
      </c>
      <c r="BP120" s="223">
        <f t="shared" si="180"/>
        <v>676295.5</v>
      </c>
      <c r="BQ120" s="282">
        <f t="shared" si="232"/>
        <v>641875</v>
      </c>
      <c r="BR120" s="34">
        <f t="shared" si="182"/>
        <v>98.75</v>
      </c>
      <c r="CB120" s="277">
        <v>42745.432534722226</v>
      </c>
      <c r="CC120" s="276" t="s">
        <v>115</v>
      </c>
    </row>
    <row r="121" spans="1:81" ht="19.5" thickBot="1" x14ac:dyDescent="0.35">
      <c r="A121" s="313" t="s">
        <v>148</v>
      </c>
      <c r="B121" s="195" t="s">
        <v>144</v>
      </c>
      <c r="C121" s="138" t="s">
        <v>139</v>
      </c>
      <c r="D121" s="75">
        <v>0</v>
      </c>
      <c r="E121" s="95">
        <f t="shared" si="228"/>
        <v>0</v>
      </c>
      <c r="F121" s="103">
        <v>12</v>
      </c>
      <c r="G121" s="95">
        <f t="shared" si="229"/>
        <v>0</v>
      </c>
      <c r="H121" s="104">
        <v>2</v>
      </c>
      <c r="I121" s="95">
        <f t="shared" si="230"/>
        <v>0</v>
      </c>
      <c r="J121" s="137">
        <f t="shared" si="231"/>
        <v>0</v>
      </c>
      <c r="K121" s="334" t="str">
        <f t="shared" si="233"/>
        <v>E-S 600A-4D-600A6 VIASCJM</v>
      </c>
      <c r="L121" s="248">
        <v>2.5</v>
      </c>
      <c r="M121" s="285">
        <f t="shared" si="151"/>
        <v>17695</v>
      </c>
      <c r="N121" s="241">
        <v>0</v>
      </c>
      <c r="O121" s="285">
        <f t="shared" si="152"/>
        <v>0</v>
      </c>
      <c r="P121" s="241">
        <v>0</v>
      </c>
      <c r="Q121" s="285">
        <f t="shared" si="153"/>
        <v>0</v>
      </c>
      <c r="R121" s="241">
        <v>0</v>
      </c>
      <c r="S121" s="285">
        <f t="shared" si="154"/>
        <v>0</v>
      </c>
      <c r="T121" s="297">
        <v>2.25</v>
      </c>
      <c r="U121" s="266">
        <f t="shared" si="155"/>
        <v>15925.5</v>
      </c>
      <c r="V121" s="297">
        <v>2</v>
      </c>
      <c r="W121" s="266">
        <f t="shared" si="156"/>
        <v>10696</v>
      </c>
      <c r="X121" s="311">
        <v>18</v>
      </c>
      <c r="Y121" s="266">
        <f t="shared" si="157"/>
        <v>130068</v>
      </c>
      <c r="Z121" s="241">
        <v>2</v>
      </c>
      <c r="AA121" s="266">
        <f t="shared" si="158"/>
        <v>11294</v>
      </c>
      <c r="AB121" s="241">
        <v>2.5</v>
      </c>
      <c r="AC121" s="266">
        <f t="shared" si="159"/>
        <v>17302.5</v>
      </c>
      <c r="AD121" s="236">
        <v>2.5</v>
      </c>
      <c r="AE121" s="266">
        <f t="shared" si="160"/>
        <v>17695</v>
      </c>
      <c r="AF121" s="236">
        <v>2.5</v>
      </c>
      <c r="AG121" s="266">
        <f t="shared" si="161"/>
        <v>13370</v>
      </c>
      <c r="AH121" s="236">
        <v>32</v>
      </c>
      <c r="AI121" s="266">
        <f t="shared" si="162"/>
        <v>231232</v>
      </c>
      <c r="AJ121" s="297">
        <v>0</v>
      </c>
      <c r="AK121" s="266">
        <f t="shared" si="163"/>
        <v>0</v>
      </c>
      <c r="AL121" s="236">
        <v>2.5</v>
      </c>
      <c r="AM121" s="266">
        <f t="shared" si="164"/>
        <v>14117.5</v>
      </c>
      <c r="AN121" s="236">
        <v>3</v>
      </c>
      <c r="AO121" s="266">
        <f t="shared" si="165"/>
        <v>20763</v>
      </c>
      <c r="AP121" s="256">
        <v>3.5</v>
      </c>
      <c r="AQ121" s="266">
        <f t="shared" si="166"/>
        <v>16941</v>
      </c>
      <c r="AR121" s="288"/>
      <c r="AS121" s="266">
        <f t="shared" si="167"/>
        <v>0</v>
      </c>
      <c r="AT121" s="287">
        <f t="shared" si="168"/>
        <v>517099.5</v>
      </c>
      <c r="AU121" s="256">
        <v>0</v>
      </c>
      <c r="AV121" s="285">
        <f t="shared" si="169"/>
        <v>0</v>
      </c>
      <c r="AW121" s="236">
        <v>0</v>
      </c>
      <c r="AX121" s="285">
        <f t="shared" si="170"/>
        <v>0</v>
      </c>
      <c r="AY121" s="236">
        <v>0</v>
      </c>
      <c r="AZ121" s="285">
        <f t="shared" si="171"/>
        <v>0</v>
      </c>
      <c r="BA121" s="236">
        <v>0</v>
      </c>
      <c r="BB121" s="285">
        <f t="shared" si="172"/>
        <v>0</v>
      </c>
      <c r="BC121" s="236">
        <v>0</v>
      </c>
      <c r="BD121" s="285">
        <f t="shared" si="173"/>
        <v>0</v>
      </c>
      <c r="BE121" s="236"/>
      <c r="BF121" s="285">
        <f t="shared" si="174"/>
        <v>0</v>
      </c>
      <c r="BG121" s="236">
        <v>13.75</v>
      </c>
      <c r="BH121" s="285">
        <f t="shared" si="175"/>
        <v>92633.75</v>
      </c>
      <c r="BI121" s="236">
        <v>1.5</v>
      </c>
      <c r="BJ121" s="285">
        <f t="shared" si="176"/>
        <v>19819.5</v>
      </c>
      <c r="BK121" s="236">
        <v>9</v>
      </c>
      <c r="BL121" s="266">
        <f t="shared" si="177"/>
        <v>51813</v>
      </c>
      <c r="BM121" s="307">
        <v>3.5</v>
      </c>
      <c r="BN121" s="92">
        <f t="shared" si="178"/>
        <v>23562</v>
      </c>
      <c r="BO121" s="93">
        <f t="shared" si="179"/>
        <v>187828.25</v>
      </c>
      <c r="BP121" s="223">
        <f t="shared" si="180"/>
        <v>704927.75</v>
      </c>
      <c r="BQ121" s="280">
        <f t="shared" si="232"/>
        <v>669500</v>
      </c>
      <c r="BR121" s="34">
        <f t="shared" si="182"/>
        <v>103</v>
      </c>
      <c r="CB121" s="277">
        <v>42745.432615740741</v>
      </c>
      <c r="CC121" s="276" t="s">
        <v>115</v>
      </c>
    </row>
    <row r="122" spans="1:81" ht="19.5" thickBot="1" x14ac:dyDescent="0.35">
      <c r="A122" s="313" t="s">
        <v>148</v>
      </c>
      <c r="B122" s="195" t="s">
        <v>144</v>
      </c>
      <c r="C122" s="138" t="s">
        <v>140</v>
      </c>
      <c r="D122" s="75">
        <v>0</v>
      </c>
      <c r="E122" s="95">
        <f t="shared" si="228"/>
        <v>0</v>
      </c>
      <c r="F122" s="103">
        <v>12</v>
      </c>
      <c r="G122" s="95">
        <f t="shared" si="229"/>
        <v>0</v>
      </c>
      <c r="H122" s="104">
        <v>2</v>
      </c>
      <c r="I122" s="95">
        <f t="shared" si="230"/>
        <v>0</v>
      </c>
      <c r="J122" s="137">
        <f>D122*E122+F122*G122+H122*I122</f>
        <v>0</v>
      </c>
      <c r="K122" s="334" t="str">
        <f t="shared" si="233"/>
        <v>E-S 600A-4D-200A6 VIASCJM</v>
      </c>
      <c r="L122" s="248">
        <v>2.5</v>
      </c>
      <c r="M122" s="285">
        <f t="shared" si="151"/>
        <v>17695</v>
      </c>
      <c r="N122" s="241">
        <v>0</v>
      </c>
      <c r="O122" s="285">
        <f t="shared" si="152"/>
        <v>0</v>
      </c>
      <c r="P122" s="241">
        <v>0</v>
      </c>
      <c r="Q122" s="285">
        <f t="shared" si="153"/>
        <v>0</v>
      </c>
      <c r="R122" s="241">
        <v>0</v>
      </c>
      <c r="S122" s="285">
        <f t="shared" si="154"/>
        <v>0</v>
      </c>
      <c r="T122" s="297">
        <v>2.5</v>
      </c>
      <c r="U122" s="266">
        <f t="shared" si="155"/>
        <v>17695</v>
      </c>
      <c r="V122" s="297">
        <v>2.25</v>
      </c>
      <c r="W122" s="266">
        <f t="shared" si="156"/>
        <v>12033</v>
      </c>
      <c r="X122" s="311">
        <v>18</v>
      </c>
      <c r="Y122" s="266">
        <f t="shared" si="157"/>
        <v>130068</v>
      </c>
      <c r="Z122" s="241">
        <v>2</v>
      </c>
      <c r="AA122" s="266">
        <f t="shared" si="158"/>
        <v>11294</v>
      </c>
      <c r="AB122" s="241">
        <v>2.5</v>
      </c>
      <c r="AC122" s="266">
        <f t="shared" si="159"/>
        <v>17302.5</v>
      </c>
      <c r="AD122" s="236">
        <v>2.5</v>
      </c>
      <c r="AE122" s="266">
        <f t="shared" si="160"/>
        <v>17695</v>
      </c>
      <c r="AF122" s="236">
        <v>2.5</v>
      </c>
      <c r="AG122" s="266">
        <f t="shared" si="161"/>
        <v>13370</v>
      </c>
      <c r="AH122" s="236">
        <v>32</v>
      </c>
      <c r="AI122" s="266">
        <f t="shared" si="162"/>
        <v>231232</v>
      </c>
      <c r="AJ122" s="297">
        <v>0</v>
      </c>
      <c r="AK122" s="266">
        <f t="shared" si="163"/>
        <v>0</v>
      </c>
      <c r="AL122" s="236">
        <v>2.5</v>
      </c>
      <c r="AM122" s="266">
        <f t="shared" si="164"/>
        <v>14117.5</v>
      </c>
      <c r="AN122" s="236">
        <v>3</v>
      </c>
      <c r="AO122" s="266">
        <f t="shared" si="165"/>
        <v>20763</v>
      </c>
      <c r="AP122" s="256">
        <v>3.5</v>
      </c>
      <c r="AQ122" s="266">
        <f t="shared" si="166"/>
        <v>16941</v>
      </c>
      <c r="AR122" s="288"/>
      <c r="AS122" s="266">
        <f t="shared" si="167"/>
        <v>0</v>
      </c>
      <c r="AT122" s="287">
        <f t="shared" si="168"/>
        <v>520206</v>
      </c>
      <c r="AU122" s="256">
        <v>0</v>
      </c>
      <c r="AV122" s="285">
        <f t="shared" si="169"/>
        <v>0</v>
      </c>
      <c r="AW122" s="236">
        <v>0</v>
      </c>
      <c r="AX122" s="285">
        <f t="shared" si="170"/>
        <v>0</v>
      </c>
      <c r="AY122" s="236">
        <v>0</v>
      </c>
      <c r="AZ122" s="285">
        <f t="shared" si="171"/>
        <v>0</v>
      </c>
      <c r="BA122" s="236">
        <v>0</v>
      </c>
      <c r="BB122" s="285">
        <f t="shared" si="172"/>
        <v>0</v>
      </c>
      <c r="BC122" s="236">
        <v>0</v>
      </c>
      <c r="BD122" s="285">
        <f t="shared" si="173"/>
        <v>0</v>
      </c>
      <c r="BE122" s="236">
        <v>0</v>
      </c>
      <c r="BF122" s="285">
        <f t="shared" si="174"/>
        <v>0</v>
      </c>
      <c r="BG122" s="236">
        <v>13.75</v>
      </c>
      <c r="BH122" s="285">
        <f t="shared" si="175"/>
        <v>92633.75</v>
      </c>
      <c r="BI122" s="236">
        <v>1.5</v>
      </c>
      <c r="BJ122" s="285">
        <f t="shared" si="176"/>
        <v>19819.5</v>
      </c>
      <c r="BK122" s="236">
        <v>9</v>
      </c>
      <c r="BL122" s="266">
        <f t="shared" si="177"/>
        <v>51813</v>
      </c>
      <c r="BM122" s="307">
        <v>3.5</v>
      </c>
      <c r="BN122" s="92">
        <f t="shared" si="178"/>
        <v>23562</v>
      </c>
      <c r="BO122" s="93">
        <f t="shared" si="179"/>
        <v>187828.25</v>
      </c>
      <c r="BP122" s="223">
        <f t="shared" si="180"/>
        <v>708034.25</v>
      </c>
      <c r="BQ122" s="280">
        <f t="shared" si="232"/>
        <v>672750</v>
      </c>
      <c r="BR122" s="34">
        <f t="shared" si="182"/>
        <v>103.5</v>
      </c>
      <c r="CB122" s="277">
        <v>42745.422083333331</v>
      </c>
      <c r="CC122" s="276" t="s">
        <v>115</v>
      </c>
    </row>
    <row r="123" spans="1:81" ht="19.5" thickBot="1" x14ac:dyDescent="0.35">
      <c r="A123" s="313" t="s">
        <v>148</v>
      </c>
      <c r="B123" s="195" t="s">
        <v>144</v>
      </c>
      <c r="C123" s="138" t="s">
        <v>141</v>
      </c>
      <c r="D123" s="75">
        <v>0</v>
      </c>
      <c r="E123" s="95">
        <f t="shared" si="228"/>
        <v>0</v>
      </c>
      <c r="F123" s="103">
        <v>12</v>
      </c>
      <c r="G123" s="95">
        <f t="shared" si="229"/>
        <v>0</v>
      </c>
      <c r="H123" s="104">
        <v>2</v>
      </c>
      <c r="I123" s="95">
        <f t="shared" si="230"/>
        <v>0</v>
      </c>
      <c r="J123" s="137">
        <f>D123*E123+F123*G123+H123*I123</f>
        <v>0</v>
      </c>
      <c r="K123" s="334" t="str">
        <f t="shared" si="233"/>
        <v>E-S 600A-1D1-600A 3D2-200A6 VIASCJM</v>
      </c>
      <c r="L123" s="248">
        <v>2.5</v>
      </c>
      <c r="M123" s="285">
        <f t="shared" si="151"/>
        <v>17695</v>
      </c>
      <c r="N123" s="241">
        <v>0</v>
      </c>
      <c r="O123" s="285">
        <f t="shared" si="152"/>
        <v>0</v>
      </c>
      <c r="P123" s="241">
        <v>0</v>
      </c>
      <c r="Q123" s="285">
        <f t="shared" si="153"/>
        <v>0</v>
      </c>
      <c r="R123" s="241">
        <v>0</v>
      </c>
      <c r="S123" s="285">
        <f t="shared" si="154"/>
        <v>0</v>
      </c>
      <c r="T123" s="297">
        <v>2.5</v>
      </c>
      <c r="U123" s="266">
        <f t="shared" si="155"/>
        <v>17695</v>
      </c>
      <c r="V123" s="297">
        <v>2.25</v>
      </c>
      <c r="W123" s="266">
        <f t="shared" si="156"/>
        <v>12033</v>
      </c>
      <c r="X123" s="311">
        <v>18</v>
      </c>
      <c r="Y123" s="266">
        <f t="shared" si="157"/>
        <v>130068</v>
      </c>
      <c r="Z123" s="241">
        <v>2</v>
      </c>
      <c r="AA123" s="266">
        <f t="shared" si="158"/>
        <v>11294</v>
      </c>
      <c r="AB123" s="241">
        <v>2.5</v>
      </c>
      <c r="AC123" s="266">
        <f t="shared" si="159"/>
        <v>17302.5</v>
      </c>
      <c r="AD123" s="236">
        <v>2.5</v>
      </c>
      <c r="AE123" s="266">
        <f t="shared" si="160"/>
        <v>17695</v>
      </c>
      <c r="AF123" s="236">
        <v>2.5</v>
      </c>
      <c r="AG123" s="266">
        <f t="shared" si="161"/>
        <v>13370</v>
      </c>
      <c r="AH123" s="236">
        <v>32</v>
      </c>
      <c r="AI123" s="266">
        <f t="shared" si="162"/>
        <v>231232</v>
      </c>
      <c r="AJ123" s="297">
        <v>0</v>
      </c>
      <c r="AK123" s="266">
        <f t="shared" si="163"/>
        <v>0</v>
      </c>
      <c r="AL123" s="236">
        <v>2.5</v>
      </c>
      <c r="AM123" s="266">
        <f t="shared" si="164"/>
        <v>14117.5</v>
      </c>
      <c r="AN123" s="236">
        <v>3</v>
      </c>
      <c r="AO123" s="266">
        <f t="shared" si="165"/>
        <v>20763</v>
      </c>
      <c r="AP123" s="256">
        <v>3.5</v>
      </c>
      <c r="AQ123" s="266">
        <f t="shared" si="166"/>
        <v>16941</v>
      </c>
      <c r="AR123" s="288"/>
      <c r="AS123" s="266">
        <f t="shared" si="167"/>
        <v>0</v>
      </c>
      <c r="AT123" s="287">
        <f t="shared" si="168"/>
        <v>520206</v>
      </c>
      <c r="AU123" s="256">
        <v>0</v>
      </c>
      <c r="AV123" s="285">
        <f t="shared" si="169"/>
        <v>0</v>
      </c>
      <c r="AW123" s="236">
        <v>0</v>
      </c>
      <c r="AX123" s="285">
        <f t="shared" si="170"/>
        <v>0</v>
      </c>
      <c r="AY123" s="236">
        <v>0</v>
      </c>
      <c r="AZ123" s="285">
        <f t="shared" si="171"/>
        <v>0</v>
      </c>
      <c r="BA123" s="236">
        <v>0</v>
      </c>
      <c r="BB123" s="285">
        <f t="shared" si="172"/>
        <v>0</v>
      </c>
      <c r="BC123" s="236">
        <v>0</v>
      </c>
      <c r="BD123" s="285">
        <f t="shared" si="173"/>
        <v>0</v>
      </c>
      <c r="BE123" s="236">
        <v>0</v>
      </c>
      <c r="BF123" s="285">
        <f t="shared" si="174"/>
        <v>0</v>
      </c>
      <c r="BG123" s="236">
        <v>13.75</v>
      </c>
      <c r="BH123" s="285">
        <f t="shared" si="175"/>
        <v>92633.75</v>
      </c>
      <c r="BI123" s="236">
        <v>1.5</v>
      </c>
      <c r="BJ123" s="285">
        <f t="shared" si="176"/>
        <v>19819.5</v>
      </c>
      <c r="BK123" s="236">
        <v>9</v>
      </c>
      <c r="BL123" s="266">
        <f t="shared" si="177"/>
        <v>51813</v>
      </c>
      <c r="BM123" s="307">
        <v>3.5</v>
      </c>
      <c r="BN123" s="92">
        <f t="shared" si="178"/>
        <v>23562</v>
      </c>
      <c r="BO123" s="93">
        <f t="shared" si="179"/>
        <v>187828.25</v>
      </c>
      <c r="BP123" s="223">
        <f t="shared" si="180"/>
        <v>708034.25</v>
      </c>
      <c r="BQ123" s="280">
        <f t="shared" si="232"/>
        <v>672750</v>
      </c>
      <c r="BR123" s="34">
        <f t="shared" si="182"/>
        <v>103.5</v>
      </c>
      <c r="CB123" s="277">
        <v>42745.4221412037</v>
      </c>
      <c r="CC123" s="276" t="s">
        <v>115</v>
      </c>
    </row>
    <row r="124" spans="1:81" ht="19.5" thickBot="1" x14ac:dyDescent="0.35">
      <c r="A124" s="313" t="s">
        <v>148</v>
      </c>
      <c r="B124" s="195" t="s">
        <v>144</v>
      </c>
      <c r="C124" s="138" t="s">
        <v>142</v>
      </c>
      <c r="D124" s="75">
        <v>0</v>
      </c>
      <c r="E124" s="95">
        <f t="shared" si="228"/>
        <v>0</v>
      </c>
      <c r="F124" s="103">
        <v>12</v>
      </c>
      <c r="G124" s="95">
        <f t="shared" si="229"/>
        <v>0</v>
      </c>
      <c r="H124" s="104">
        <v>2</v>
      </c>
      <c r="I124" s="95">
        <f t="shared" si="230"/>
        <v>0</v>
      </c>
      <c r="J124" s="137">
        <f>D124*E124+F124*G124+H124*I124</f>
        <v>0</v>
      </c>
      <c r="K124" s="334" t="str">
        <f t="shared" si="233"/>
        <v>E-S 600A-2D1-600A 2D2-200A6 VIASCJM</v>
      </c>
      <c r="L124" s="248">
        <v>2.5</v>
      </c>
      <c r="M124" s="285">
        <f t="shared" si="151"/>
        <v>17695</v>
      </c>
      <c r="N124" s="241">
        <v>0</v>
      </c>
      <c r="O124" s="285">
        <f t="shared" si="152"/>
        <v>0</v>
      </c>
      <c r="P124" s="241">
        <v>0</v>
      </c>
      <c r="Q124" s="285">
        <f t="shared" si="153"/>
        <v>0</v>
      </c>
      <c r="R124" s="241">
        <v>0</v>
      </c>
      <c r="S124" s="285">
        <f t="shared" si="154"/>
        <v>0</v>
      </c>
      <c r="T124" s="297">
        <v>2.5</v>
      </c>
      <c r="U124" s="266">
        <f t="shared" si="155"/>
        <v>17695</v>
      </c>
      <c r="V124" s="297">
        <v>2.25</v>
      </c>
      <c r="W124" s="266">
        <f t="shared" si="156"/>
        <v>12033</v>
      </c>
      <c r="X124" s="311">
        <v>18</v>
      </c>
      <c r="Y124" s="266">
        <f t="shared" si="157"/>
        <v>130068</v>
      </c>
      <c r="Z124" s="241">
        <v>2</v>
      </c>
      <c r="AA124" s="266">
        <f t="shared" si="158"/>
        <v>11294</v>
      </c>
      <c r="AB124" s="241">
        <v>2.5</v>
      </c>
      <c r="AC124" s="266">
        <f t="shared" si="159"/>
        <v>17302.5</v>
      </c>
      <c r="AD124" s="236">
        <v>2.5</v>
      </c>
      <c r="AE124" s="266">
        <f t="shared" si="160"/>
        <v>17695</v>
      </c>
      <c r="AF124" s="236">
        <v>2.5</v>
      </c>
      <c r="AG124" s="266">
        <f t="shared" si="161"/>
        <v>13370</v>
      </c>
      <c r="AH124" s="236">
        <v>32</v>
      </c>
      <c r="AI124" s="266">
        <f t="shared" si="162"/>
        <v>231232</v>
      </c>
      <c r="AJ124" s="297">
        <v>0</v>
      </c>
      <c r="AK124" s="266">
        <f t="shared" si="163"/>
        <v>0</v>
      </c>
      <c r="AL124" s="236">
        <v>2.5</v>
      </c>
      <c r="AM124" s="266">
        <f t="shared" si="164"/>
        <v>14117.5</v>
      </c>
      <c r="AN124" s="236">
        <v>3</v>
      </c>
      <c r="AO124" s="266">
        <f t="shared" si="165"/>
        <v>20763</v>
      </c>
      <c r="AP124" s="256">
        <v>3.5</v>
      </c>
      <c r="AQ124" s="266">
        <f t="shared" si="166"/>
        <v>16941</v>
      </c>
      <c r="AR124" s="288"/>
      <c r="AS124" s="266">
        <f t="shared" si="167"/>
        <v>0</v>
      </c>
      <c r="AT124" s="287">
        <f t="shared" si="168"/>
        <v>520206</v>
      </c>
      <c r="AU124" s="256">
        <v>0</v>
      </c>
      <c r="AV124" s="285">
        <f t="shared" si="169"/>
        <v>0</v>
      </c>
      <c r="AW124" s="236">
        <v>0</v>
      </c>
      <c r="AX124" s="285">
        <f t="shared" si="170"/>
        <v>0</v>
      </c>
      <c r="AY124" s="236">
        <v>0</v>
      </c>
      <c r="AZ124" s="285">
        <f t="shared" si="171"/>
        <v>0</v>
      </c>
      <c r="BA124" s="236">
        <v>0</v>
      </c>
      <c r="BB124" s="285">
        <f t="shared" si="172"/>
        <v>0</v>
      </c>
      <c r="BC124" s="236">
        <v>0</v>
      </c>
      <c r="BD124" s="285">
        <f t="shared" si="173"/>
        <v>0</v>
      </c>
      <c r="BE124" s="236">
        <v>0</v>
      </c>
      <c r="BF124" s="285">
        <f t="shared" si="174"/>
        <v>0</v>
      </c>
      <c r="BG124" s="236">
        <v>13.75</v>
      </c>
      <c r="BH124" s="285">
        <f t="shared" si="175"/>
        <v>92633.75</v>
      </c>
      <c r="BI124" s="236">
        <v>1.5</v>
      </c>
      <c r="BJ124" s="285">
        <f t="shared" si="176"/>
        <v>19819.5</v>
      </c>
      <c r="BK124" s="236">
        <v>9</v>
      </c>
      <c r="BL124" s="266">
        <f t="shared" si="177"/>
        <v>51813</v>
      </c>
      <c r="BM124" s="307">
        <v>3.5</v>
      </c>
      <c r="BN124" s="92">
        <f t="shared" si="178"/>
        <v>23562</v>
      </c>
      <c r="BO124" s="93">
        <f t="shared" si="179"/>
        <v>187828.25</v>
      </c>
      <c r="BP124" s="223">
        <f t="shared" si="180"/>
        <v>708034.25</v>
      </c>
      <c r="BQ124" s="280">
        <f t="shared" si="232"/>
        <v>672750</v>
      </c>
      <c r="BR124" s="34">
        <f t="shared" si="182"/>
        <v>103.5</v>
      </c>
      <c r="CB124" s="277">
        <v>42745.422210648147</v>
      </c>
      <c r="CC124" s="276" t="s">
        <v>115</v>
      </c>
    </row>
    <row r="125" spans="1:81" x14ac:dyDescent="0.3">
      <c r="A125" s="313" t="s">
        <v>148</v>
      </c>
      <c r="B125" s="398" t="s">
        <v>144</v>
      </c>
      <c r="C125" s="211" t="s">
        <v>143</v>
      </c>
      <c r="D125" s="399">
        <v>0</v>
      </c>
      <c r="E125" s="400">
        <f t="shared" si="228"/>
        <v>0</v>
      </c>
      <c r="F125" s="401">
        <v>12</v>
      </c>
      <c r="G125" s="400">
        <f t="shared" si="229"/>
        <v>0</v>
      </c>
      <c r="H125" s="402">
        <v>2</v>
      </c>
      <c r="I125" s="400">
        <f t="shared" si="230"/>
        <v>0</v>
      </c>
      <c r="J125" s="403">
        <f>D125*E125+F125*G125+H125*I125</f>
        <v>0</v>
      </c>
      <c r="K125" s="404" t="str">
        <f>C125&amp;A125&amp;B125</f>
        <v>E-S 600A-3D1-600A 1D2-200A6 VIASCJM</v>
      </c>
      <c r="L125" s="405">
        <v>2.5</v>
      </c>
      <c r="M125" s="406">
        <f t="shared" si="151"/>
        <v>17695</v>
      </c>
      <c r="N125" s="407">
        <v>0</v>
      </c>
      <c r="O125" s="406">
        <f t="shared" si="152"/>
        <v>0</v>
      </c>
      <c r="P125" s="407">
        <v>0</v>
      </c>
      <c r="Q125" s="406">
        <f t="shared" si="153"/>
        <v>0</v>
      </c>
      <c r="R125" s="407">
        <v>0</v>
      </c>
      <c r="S125" s="406">
        <f t="shared" si="154"/>
        <v>0</v>
      </c>
      <c r="T125" s="300">
        <v>2.5</v>
      </c>
      <c r="U125" s="267">
        <f t="shared" si="155"/>
        <v>17695</v>
      </c>
      <c r="V125" s="300">
        <v>2.25</v>
      </c>
      <c r="W125" s="267">
        <f t="shared" si="156"/>
        <v>12033</v>
      </c>
      <c r="X125" s="408">
        <v>18</v>
      </c>
      <c r="Y125" s="267">
        <f t="shared" si="157"/>
        <v>130068</v>
      </c>
      <c r="Z125" s="407">
        <v>2</v>
      </c>
      <c r="AA125" s="267">
        <f t="shared" si="158"/>
        <v>11294</v>
      </c>
      <c r="AB125" s="407">
        <v>2.5</v>
      </c>
      <c r="AC125" s="267">
        <f t="shared" si="159"/>
        <v>17302.5</v>
      </c>
      <c r="AD125" s="301">
        <v>2.5</v>
      </c>
      <c r="AE125" s="267">
        <f t="shared" si="160"/>
        <v>17695</v>
      </c>
      <c r="AF125" s="301">
        <v>2.5</v>
      </c>
      <c r="AG125" s="267">
        <f t="shared" si="161"/>
        <v>13370</v>
      </c>
      <c r="AH125" s="301">
        <v>32</v>
      </c>
      <c r="AI125" s="267">
        <f t="shared" si="162"/>
        <v>231232</v>
      </c>
      <c r="AJ125" s="300">
        <v>0</v>
      </c>
      <c r="AK125" s="267">
        <f t="shared" si="163"/>
        <v>0</v>
      </c>
      <c r="AL125" s="301">
        <v>2.5</v>
      </c>
      <c r="AM125" s="267">
        <f t="shared" si="164"/>
        <v>14117.5</v>
      </c>
      <c r="AN125" s="301">
        <v>3</v>
      </c>
      <c r="AO125" s="267">
        <f t="shared" si="165"/>
        <v>20763</v>
      </c>
      <c r="AP125" s="252">
        <v>3.5</v>
      </c>
      <c r="AQ125" s="267">
        <f t="shared" si="166"/>
        <v>16941</v>
      </c>
      <c r="AR125" s="409"/>
      <c r="AS125" s="267">
        <f t="shared" si="167"/>
        <v>0</v>
      </c>
      <c r="AT125" s="410">
        <f t="shared" si="168"/>
        <v>520206</v>
      </c>
      <c r="AU125" s="252">
        <v>0</v>
      </c>
      <c r="AV125" s="406">
        <f t="shared" si="169"/>
        <v>0</v>
      </c>
      <c r="AW125" s="301">
        <v>0</v>
      </c>
      <c r="AX125" s="406">
        <f t="shared" si="170"/>
        <v>0</v>
      </c>
      <c r="AY125" s="301">
        <v>0</v>
      </c>
      <c r="AZ125" s="406">
        <f t="shared" si="171"/>
        <v>0</v>
      </c>
      <c r="BA125" s="301">
        <v>0</v>
      </c>
      <c r="BB125" s="406">
        <f t="shared" si="172"/>
        <v>0</v>
      </c>
      <c r="BC125" s="301">
        <v>0</v>
      </c>
      <c r="BD125" s="406">
        <f t="shared" si="173"/>
        <v>0</v>
      </c>
      <c r="BE125" s="301">
        <v>0</v>
      </c>
      <c r="BF125" s="406">
        <f t="shared" si="174"/>
        <v>0</v>
      </c>
      <c r="BG125" s="301">
        <v>13.75</v>
      </c>
      <c r="BH125" s="406">
        <f t="shared" si="175"/>
        <v>92633.75</v>
      </c>
      <c r="BI125" s="301">
        <v>1.5</v>
      </c>
      <c r="BJ125" s="406">
        <f t="shared" si="176"/>
        <v>19819.5</v>
      </c>
      <c r="BK125" s="301">
        <v>9</v>
      </c>
      <c r="BL125" s="267">
        <f t="shared" si="177"/>
        <v>51813</v>
      </c>
      <c r="BM125" s="411">
        <v>3.5</v>
      </c>
      <c r="BN125" s="94">
        <f t="shared" si="178"/>
        <v>23562</v>
      </c>
      <c r="BO125" s="412">
        <f t="shared" si="179"/>
        <v>187828.25</v>
      </c>
      <c r="BP125" s="413">
        <f t="shared" si="180"/>
        <v>708034.25</v>
      </c>
      <c r="BQ125" s="414">
        <f t="shared" si="232"/>
        <v>672750</v>
      </c>
      <c r="BR125" s="415">
        <f t="shared" si="182"/>
        <v>103.5</v>
      </c>
      <c r="CB125" s="277">
        <v>42745.431828703702</v>
      </c>
      <c r="CC125" s="276" t="s">
        <v>115</v>
      </c>
    </row>
    <row r="126" spans="1:81" x14ac:dyDescent="0.3">
      <c r="A126" s="397" t="s">
        <v>3</v>
      </c>
      <c r="B126" s="396" t="s">
        <v>33</v>
      </c>
      <c r="C126" s="383">
        <v>15</v>
      </c>
      <c r="D126" s="100"/>
      <c r="E126" s="95"/>
      <c r="F126" s="103"/>
      <c r="G126" s="95"/>
      <c r="H126" s="103"/>
      <c r="I126" s="95"/>
      <c r="J126" s="416"/>
      <c r="K126" s="416"/>
      <c r="L126" s="241"/>
      <c r="M126" s="417"/>
      <c r="N126" s="241"/>
      <c r="O126" s="417"/>
      <c r="P126" s="241"/>
      <c r="Q126" s="417"/>
      <c r="R126" s="241"/>
      <c r="S126" s="417"/>
      <c r="T126" s="241"/>
      <c r="U126" s="376"/>
      <c r="V126" s="241"/>
      <c r="W126" s="376"/>
      <c r="X126" s="241"/>
      <c r="Y126" s="376"/>
      <c r="Z126" s="241"/>
      <c r="AA126" s="376"/>
      <c r="AB126" s="241"/>
      <c r="AC126" s="376"/>
      <c r="AD126" s="297"/>
      <c r="AE126" s="376"/>
      <c r="AF126" s="297"/>
      <c r="AG126" s="376"/>
      <c r="AH126" s="236"/>
      <c r="AI126" s="376"/>
      <c r="AJ126" s="236"/>
      <c r="AK126" s="376"/>
      <c r="AL126" s="236"/>
      <c r="AM126" s="376"/>
      <c r="AN126" s="236"/>
      <c r="AO126" s="376"/>
      <c r="AP126" s="241"/>
      <c r="AQ126" s="376"/>
      <c r="AR126" s="288"/>
      <c r="AS126" s="376">
        <f t="shared" si="167"/>
        <v>0</v>
      </c>
      <c r="AT126" s="418"/>
      <c r="AU126" s="236"/>
      <c r="AV126" s="417"/>
      <c r="AW126" s="236"/>
      <c r="AX126" s="417"/>
      <c r="AY126" s="236"/>
      <c r="AZ126" s="417"/>
      <c r="BA126" s="241"/>
      <c r="BB126" s="417"/>
      <c r="BC126" s="236"/>
      <c r="BD126" s="417">
        <f t="shared" si="173"/>
        <v>0</v>
      </c>
      <c r="BE126" s="236"/>
      <c r="BF126" s="417"/>
      <c r="BG126" s="236"/>
      <c r="BH126" s="417"/>
      <c r="BI126" s="236"/>
      <c r="BJ126" s="417"/>
      <c r="BK126" s="236"/>
      <c r="BL126" s="376"/>
      <c r="BM126" s="288">
        <v>3.5</v>
      </c>
      <c r="BN126" s="95">
        <f t="shared" si="178"/>
        <v>23562</v>
      </c>
      <c r="BO126" s="416"/>
      <c r="BP126" s="419"/>
      <c r="BQ126" s="420"/>
      <c r="BR126" s="415">
        <f t="shared" si="182"/>
        <v>3.5</v>
      </c>
      <c r="CB126" s="277">
        <v>42762.597222222219</v>
      </c>
      <c r="CC126" s="276" t="s">
        <v>115</v>
      </c>
    </row>
    <row r="127" spans="1:81" x14ac:dyDescent="0.3">
      <c r="A127" s="482" t="s">
        <v>154</v>
      </c>
      <c r="B127" s="481" t="s">
        <v>155</v>
      </c>
      <c r="C127" s="383">
        <v>300</v>
      </c>
      <c r="K127" s="337">
        <v>1</v>
      </c>
      <c r="L127" s="407">
        <v>2</v>
      </c>
      <c r="M127" s="483"/>
      <c r="N127" s="407">
        <v>0.25</v>
      </c>
      <c r="O127" s="483"/>
      <c r="P127" s="407">
        <v>0.25</v>
      </c>
      <c r="Q127" s="483"/>
      <c r="R127" s="407">
        <v>0.75</v>
      </c>
      <c r="S127" s="483"/>
      <c r="T127" s="407">
        <v>0</v>
      </c>
      <c r="U127" s="435"/>
      <c r="V127" s="407">
        <v>0</v>
      </c>
      <c r="W127" s="435"/>
      <c r="X127" s="407">
        <v>0</v>
      </c>
      <c r="Y127" s="435"/>
      <c r="Z127" s="407">
        <v>0</v>
      </c>
      <c r="AA127" s="435"/>
      <c r="AB127" s="407">
        <v>0</v>
      </c>
      <c r="AC127" s="435"/>
      <c r="AD127" s="300">
        <v>2.25</v>
      </c>
      <c r="AE127" s="435"/>
      <c r="AF127" s="300">
        <v>2.5</v>
      </c>
      <c r="AG127" s="435"/>
      <c r="AH127" s="301">
        <v>32</v>
      </c>
      <c r="AI127" s="435"/>
      <c r="AJ127" s="301">
        <v>0</v>
      </c>
      <c r="AK127" s="435"/>
      <c r="AL127" s="301">
        <v>1.8</v>
      </c>
      <c r="AM127" s="435"/>
      <c r="AN127" s="301">
        <v>2</v>
      </c>
      <c r="AO127" s="435"/>
      <c r="AP127" s="407">
        <v>2.25</v>
      </c>
      <c r="AQ127" s="435"/>
      <c r="AR127" s="409"/>
      <c r="AS127" s="435">
        <f t="shared" ref="AS127" si="234">$AS$5*AR127</f>
        <v>0</v>
      </c>
      <c r="AT127" s="484"/>
      <c r="AU127" s="301">
        <v>34.5</v>
      </c>
      <c r="AV127" s="483"/>
      <c r="AW127" s="301">
        <v>8.75</v>
      </c>
      <c r="AX127" s="483"/>
      <c r="AY127" s="301">
        <v>2.84</v>
      </c>
      <c r="AZ127" s="483"/>
      <c r="BA127" s="301">
        <v>0</v>
      </c>
      <c r="BB127" s="483"/>
      <c r="BC127" s="301">
        <v>1.85</v>
      </c>
      <c r="BD127" s="483">
        <f t="shared" ref="BD127" si="235">$BD$5*BC127</f>
        <v>11673.5</v>
      </c>
      <c r="BE127" s="301">
        <v>15.2</v>
      </c>
      <c r="BF127" s="483"/>
      <c r="BG127" s="301">
        <v>6.45</v>
      </c>
      <c r="BH127" s="483"/>
      <c r="BI127" s="301">
        <v>2</v>
      </c>
      <c r="BJ127" s="483"/>
      <c r="BK127" s="301"/>
      <c r="BL127" s="435"/>
      <c r="BM127" s="409">
        <v>3.5</v>
      </c>
      <c r="BN127" s="400">
        <f t="shared" si="178"/>
        <v>23562</v>
      </c>
      <c r="BO127" s="485"/>
      <c r="BP127" s="486"/>
      <c r="BQ127" s="487"/>
      <c r="BR127" s="415">
        <f t="shared" si="182"/>
        <v>121.14</v>
      </c>
      <c r="CB127" s="277">
        <v>42864.467569444445</v>
      </c>
      <c r="CC127" s="276" t="s">
        <v>162</v>
      </c>
    </row>
    <row r="128" spans="1:81" ht="38.25" thickBot="1" x14ac:dyDescent="0.35">
      <c r="A128" s="482" t="s">
        <v>21</v>
      </c>
      <c r="B128" s="481" t="s">
        <v>166</v>
      </c>
      <c r="C128" s="383">
        <v>45</v>
      </c>
      <c r="L128" s="488"/>
      <c r="M128" s="460"/>
      <c r="N128" s="488"/>
      <c r="O128" s="460"/>
      <c r="P128" s="488"/>
      <c r="Q128" s="460"/>
      <c r="R128" s="488"/>
      <c r="S128" s="460"/>
      <c r="T128" s="489"/>
      <c r="U128" s="475"/>
      <c r="V128" s="489"/>
      <c r="W128" s="475"/>
      <c r="X128" s="489"/>
      <c r="Y128" s="475" t="s">
        <v>111</v>
      </c>
      <c r="Z128" s="490"/>
      <c r="AA128" s="475"/>
      <c r="AB128" s="490"/>
      <c r="AC128" s="475"/>
      <c r="AD128" s="489"/>
      <c r="AE128" s="475"/>
      <c r="AF128" s="489"/>
      <c r="AG128" s="475"/>
      <c r="AH128" s="489"/>
      <c r="AI128" s="475"/>
      <c r="AJ128" s="490"/>
      <c r="AK128" s="475"/>
      <c r="AL128" s="490"/>
      <c r="AM128" s="475"/>
      <c r="AN128" s="490"/>
      <c r="AO128" s="490"/>
      <c r="AP128" s="490"/>
      <c r="AQ128" s="475"/>
      <c r="AR128" s="491"/>
      <c r="AS128" s="475"/>
      <c r="AT128" s="476"/>
      <c r="AU128" s="476"/>
      <c r="AV128" s="475"/>
      <c r="AW128" s="489"/>
      <c r="AX128" s="475"/>
      <c r="AY128" s="489"/>
      <c r="AZ128" s="475"/>
      <c r="BA128" s="489"/>
      <c r="BB128" s="475"/>
      <c r="BC128" s="489"/>
      <c r="BD128" s="475"/>
      <c r="BE128" s="489"/>
      <c r="BF128" s="475"/>
      <c r="BG128" s="489"/>
      <c r="BH128" s="475"/>
      <c r="BI128" s="489"/>
      <c r="BJ128" s="475"/>
      <c r="BK128" s="489"/>
      <c r="BL128" s="475"/>
      <c r="BM128" s="489"/>
      <c r="BN128" s="475"/>
      <c r="BO128" s="476"/>
      <c r="BP128" s="492"/>
      <c r="BQ128" s="476"/>
      <c r="BR128" s="476"/>
      <c r="CB128" s="277">
        <v>42864.467962962961</v>
      </c>
      <c r="CC128" s="276" t="s">
        <v>162</v>
      </c>
    </row>
    <row r="129" spans="1:81" ht="19.5" thickBot="1" x14ac:dyDescent="0.35">
      <c r="A129" s="692" t="s">
        <v>21</v>
      </c>
      <c r="B129" s="692" t="s">
        <v>168</v>
      </c>
      <c r="C129" s="132">
        <v>15</v>
      </c>
      <c r="D129" s="140">
        <f t="shared" ref="D129:D145" si="236">D96</f>
        <v>6</v>
      </c>
      <c r="E129" s="92">
        <f t="shared" ref="E129:E145" si="237">$E$5</f>
        <v>0</v>
      </c>
      <c r="F129" s="105">
        <v>8</v>
      </c>
      <c r="G129" s="92">
        <f t="shared" ref="G129:G145" si="238">$G$5</f>
        <v>0</v>
      </c>
      <c r="H129" s="105">
        <v>2</v>
      </c>
      <c r="I129" s="92">
        <f t="shared" ref="I129:I145" si="239">$I$5</f>
        <v>0</v>
      </c>
      <c r="J129" s="98">
        <f t="shared" ref="J129:J132" si="240">D129*E129+F129*G129+H129*I129</f>
        <v>0</v>
      </c>
      <c r="K129" s="334" t="str">
        <f>C129&amp;$B$56&amp;$A$56</f>
        <v>15RDC15KV</v>
      </c>
      <c r="L129" s="269"/>
      <c r="M129" s="285">
        <f t="shared" ref="M129:M145" si="241">$M$5*L129</f>
        <v>0</v>
      </c>
      <c r="N129" s="264"/>
      <c r="O129" s="285">
        <f t="shared" ref="O129:O145" si="242">$O$5*N129</f>
        <v>0</v>
      </c>
      <c r="P129" s="264"/>
      <c r="Q129" s="285">
        <f t="shared" ref="Q129:Q145" si="243">$Q$5*P129</f>
        <v>0</v>
      </c>
      <c r="R129" s="241"/>
      <c r="S129" s="285">
        <f t="shared" ref="S129:S145" si="244">$S$5*R129</f>
        <v>0</v>
      </c>
      <c r="T129" s="264"/>
      <c r="U129" s="266">
        <f t="shared" ref="U129:U145" si="245">$U$5*T129</f>
        <v>0</v>
      </c>
      <c r="V129" s="264"/>
      <c r="W129" s="266">
        <f t="shared" ref="W129:W145" si="246">$W$5*V129</f>
        <v>0</v>
      </c>
      <c r="X129" s="264"/>
      <c r="Y129" s="266">
        <f t="shared" ref="Y129:Y145" si="247">$Y$5*X129</f>
        <v>0</v>
      </c>
      <c r="Z129" s="264"/>
      <c r="AA129" s="266">
        <f t="shared" ref="AA129:AA145" si="248">$AA$5*Z129</f>
        <v>0</v>
      </c>
      <c r="AB129" s="264"/>
      <c r="AC129" s="266">
        <f t="shared" ref="AC129:AC145" si="249">$AC$5*AB129</f>
        <v>0</v>
      </c>
      <c r="AD129" s="295"/>
      <c r="AE129" s="266">
        <f t="shared" ref="AE129:AE145" si="250">$AE$5*AD129</f>
        <v>0</v>
      </c>
      <c r="AF129" s="295"/>
      <c r="AG129" s="266">
        <f t="shared" ref="AG129:AG145" si="251">$AG$5*AF129</f>
        <v>0</v>
      </c>
      <c r="AH129" s="242"/>
      <c r="AI129" s="266">
        <f t="shared" ref="AI129:AI145" si="252">$AI$5*AH129</f>
        <v>0</v>
      </c>
      <c r="AJ129" s="242"/>
      <c r="AK129" s="266">
        <f t="shared" ref="AK129:AK145" si="253">$AK$5*AJ129</f>
        <v>0</v>
      </c>
      <c r="AL129" s="242"/>
      <c r="AM129" s="266">
        <f t="shared" ref="AM129:AM145" si="254">$AM$5*AL129</f>
        <v>0</v>
      </c>
      <c r="AN129" s="242"/>
      <c r="AO129" s="266">
        <f t="shared" ref="AO129:AO145" si="255">$AO$5*AN129</f>
        <v>0</v>
      </c>
      <c r="AP129" s="264"/>
      <c r="AQ129" s="266">
        <f t="shared" ref="AQ129:AQ145" si="256">$AQ$5*AN129</f>
        <v>0</v>
      </c>
      <c r="AR129" s="286"/>
      <c r="AS129" s="266">
        <f t="shared" ref="AS129:AS145" si="257">$AS$5*AR129</f>
        <v>0</v>
      </c>
      <c r="AT129" s="287">
        <f t="shared" ref="AT129:AT145" si="258">+M129+O129+Q129+S129+U129+W129+Y129+AA129+AC129+AE129+AG129+AI129+AK129+AM129+AO129+AQ129+AS129</f>
        <v>0</v>
      </c>
      <c r="AU129" s="296"/>
      <c r="AV129" s="285">
        <f t="shared" ref="AV129:AV145" si="259">$AV$5*AU129</f>
        <v>0</v>
      </c>
      <c r="AW129" s="242"/>
      <c r="AX129" s="285">
        <f t="shared" ref="AX129:AX145" si="260">$AX$5*AW129</f>
        <v>0</v>
      </c>
      <c r="AY129" s="242"/>
      <c r="AZ129" s="285">
        <f t="shared" ref="AZ129:AZ145" si="261">$AZ$5*AY129</f>
        <v>0</v>
      </c>
      <c r="BA129" s="264"/>
      <c r="BB129" s="285">
        <f t="shared" ref="BB129:BB145" si="262">$BB$5*BA129</f>
        <v>0</v>
      </c>
      <c r="BC129" s="242"/>
      <c r="BD129" s="285">
        <f t="shared" ref="BD129:BD145" si="263">$BD$5*BC129</f>
        <v>0</v>
      </c>
      <c r="BE129" s="242"/>
      <c r="BF129" s="285">
        <f t="shared" ref="BF129:BF145" si="264">$BF$5*BE129</f>
        <v>0</v>
      </c>
      <c r="BG129" s="242"/>
      <c r="BH129" s="285">
        <f t="shared" ref="BH129:BH145" si="265">$BH$5*BG129</f>
        <v>0</v>
      </c>
      <c r="BI129" s="242"/>
      <c r="BJ129" s="285">
        <f t="shared" ref="BJ129:BJ145" si="266">$BJ$5*BI129</f>
        <v>0</v>
      </c>
      <c r="BK129" s="242"/>
      <c r="BL129" s="266">
        <f t="shared" ref="BL129:BL145" si="267">$BL$5*BK129</f>
        <v>0</v>
      </c>
      <c r="BM129" s="286"/>
      <c r="BN129" s="92">
        <f t="shared" ref="BN129:BN145" si="268">+$BN$5*BM129</f>
        <v>0</v>
      </c>
      <c r="BO129" s="93">
        <f t="shared" ref="BO129:BO145" si="269">+AV129+AX129+AZ129+BB129+BD129+BF129+BH129+BJ129+BL129+BN129</f>
        <v>0</v>
      </c>
      <c r="BP129" s="223">
        <f t="shared" ref="BP129:BP145" si="270">AT129+BO129</f>
        <v>0</v>
      </c>
      <c r="BQ129" s="280">
        <f t="shared" ref="BQ129:BQ145" si="271">+$BQ$1*BR129</f>
        <v>0</v>
      </c>
      <c r="BR129" s="34">
        <f t="shared" ref="BR129:BR145" si="272">+L129+N129+P129+R129+T129+V129+X129+Z129+AB129+AD129+AF129+AH129+AJ129+AL129+AN129+AP129+AR129+AU129+AW129+AY129+BA129+BC129+BE129+BG129+BI129+BK129+BM129</f>
        <v>0</v>
      </c>
      <c r="CB129" s="277">
        <v>42906.389849537038</v>
      </c>
      <c r="CC129" s="276" t="s">
        <v>162</v>
      </c>
    </row>
    <row r="130" spans="1:81" ht="19.5" thickBot="1" x14ac:dyDescent="0.35">
      <c r="A130" s="693"/>
      <c r="B130" s="693"/>
      <c r="C130" s="133">
        <v>30</v>
      </c>
      <c r="D130" s="141">
        <f t="shared" si="236"/>
        <v>6</v>
      </c>
      <c r="E130" s="95">
        <f t="shared" si="237"/>
        <v>0</v>
      </c>
      <c r="F130" s="103">
        <v>8</v>
      </c>
      <c r="G130" s="95">
        <f t="shared" si="238"/>
        <v>0</v>
      </c>
      <c r="H130" s="103">
        <v>2</v>
      </c>
      <c r="I130" s="95">
        <f t="shared" si="239"/>
        <v>0</v>
      </c>
      <c r="J130" s="84">
        <f t="shared" si="240"/>
        <v>0</v>
      </c>
      <c r="K130" s="334" t="str">
        <f t="shared" ref="K130:K145" si="273">C130&amp;$B$56&amp;$A$56</f>
        <v>30RDC15KV</v>
      </c>
      <c r="L130" s="248"/>
      <c r="M130" s="285">
        <f t="shared" si="241"/>
        <v>0</v>
      </c>
      <c r="N130" s="241"/>
      <c r="O130" s="285">
        <f t="shared" si="242"/>
        <v>0</v>
      </c>
      <c r="P130" s="241"/>
      <c r="Q130" s="285">
        <f t="shared" si="243"/>
        <v>0</v>
      </c>
      <c r="R130" s="241"/>
      <c r="S130" s="285">
        <f t="shared" si="244"/>
        <v>0</v>
      </c>
      <c r="T130" s="241"/>
      <c r="U130" s="266">
        <f t="shared" si="245"/>
        <v>0</v>
      </c>
      <c r="V130" s="241"/>
      <c r="W130" s="266">
        <f t="shared" si="246"/>
        <v>0</v>
      </c>
      <c r="X130" s="241"/>
      <c r="Y130" s="266">
        <f t="shared" si="247"/>
        <v>0</v>
      </c>
      <c r="Z130" s="241"/>
      <c r="AA130" s="266">
        <f t="shared" si="248"/>
        <v>0</v>
      </c>
      <c r="AB130" s="241"/>
      <c r="AC130" s="266">
        <f t="shared" si="249"/>
        <v>0</v>
      </c>
      <c r="AD130" s="236"/>
      <c r="AE130" s="266">
        <f t="shared" si="250"/>
        <v>0</v>
      </c>
      <c r="AF130" s="236"/>
      <c r="AG130" s="266">
        <f t="shared" si="251"/>
        <v>0</v>
      </c>
      <c r="AH130" s="236"/>
      <c r="AI130" s="266">
        <f t="shared" si="252"/>
        <v>0</v>
      </c>
      <c r="AJ130" s="236"/>
      <c r="AK130" s="266">
        <f t="shared" si="253"/>
        <v>0</v>
      </c>
      <c r="AL130" s="236"/>
      <c r="AM130" s="266">
        <f t="shared" si="254"/>
        <v>0</v>
      </c>
      <c r="AN130" s="236"/>
      <c r="AO130" s="266">
        <f t="shared" si="255"/>
        <v>0</v>
      </c>
      <c r="AP130" s="241"/>
      <c r="AQ130" s="266">
        <f t="shared" si="256"/>
        <v>0</v>
      </c>
      <c r="AR130" s="288"/>
      <c r="AS130" s="266">
        <f t="shared" si="257"/>
        <v>0</v>
      </c>
      <c r="AT130" s="287">
        <f t="shared" si="258"/>
        <v>0</v>
      </c>
      <c r="AU130" s="244"/>
      <c r="AV130" s="285">
        <f t="shared" si="259"/>
        <v>0</v>
      </c>
      <c r="AW130" s="236"/>
      <c r="AX130" s="285">
        <f t="shared" si="260"/>
        <v>0</v>
      </c>
      <c r="AY130" s="236"/>
      <c r="AZ130" s="285">
        <f t="shared" si="261"/>
        <v>0</v>
      </c>
      <c r="BA130" s="241"/>
      <c r="BB130" s="285">
        <f t="shared" si="262"/>
        <v>0</v>
      </c>
      <c r="BC130" s="236"/>
      <c r="BD130" s="285">
        <f t="shared" si="263"/>
        <v>0</v>
      </c>
      <c r="BE130" s="236"/>
      <c r="BF130" s="285">
        <f t="shared" si="264"/>
        <v>0</v>
      </c>
      <c r="BG130" s="236"/>
      <c r="BH130" s="285">
        <f t="shared" si="265"/>
        <v>0</v>
      </c>
      <c r="BI130" s="236"/>
      <c r="BJ130" s="285">
        <f t="shared" si="266"/>
        <v>0</v>
      </c>
      <c r="BK130" s="236"/>
      <c r="BL130" s="266">
        <f t="shared" si="267"/>
        <v>0</v>
      </c>
      <c r="BM130" s="288"/>
      <c r="BN130" s="92">
        <f t="shared" si="268"/>
        <v>0</v>
      </c>
      <c r="BO130" s="93">
        <f t="shared" si="269"/>
        <v>0</v>
      </c>
      <c r="BP130" s="223">
        <f t="shared" si="270"/>
        <v>0</v>
      </c>
      <c r="BQ130" s="280">
        <f t="shared" si="271"/>
        <v>0</v>
      </c>
      <c r="BR130" s="34">
        <f t="shared" si="272"/>
        <v>0</v>
      </c>
      <c r="CB130" s="277">
        <v>42745.425312500003</v>
      </c>
      <c r="CC130" s="276" t="s">
        <v>115</v>
      </c>
    </row>
    <row r="131" spans="1:81" ht="19.5" thickBot="1" x14ac:dyDescent="0.35">
      <c r="A131" s="693"/>
      <c r="B131" s="693"/>
      <c r="C131" s="133">
        <v>45</v>
      </c>
      <c r="D131" s="141">
        <f t="shared" si="236"/>
        <v>6</v>
      </c>
      <c r="E131" s="95">
        <f t="shared" si="237"/>
        <v>0</v>
      </c>
      <c r="F131" s="103">
        <v>8</v>
      </c>
      <c r="G131" s="95">
        <f t="shared" si="238"/>
        <v>0</v>
      </c>
      <c r="H131" s="103">
        <v>2</v>
      </c>
      <c r="I131" s="95">
        <f t="shared" si="239"/>
        <v>0</v>
      </c>
      <c r="J131" s="84">
        <f t="shared" si="240"/>
        <v>0</v>
      </c>
      <c r="K131" s="334" t="str">
        <f t="shared" si="273"/>
        <v>45RDC15KV</v>
      </c>
      <c r="L131" s="248">
        <v>1.5</v>
      </c>
      <c r="M131" s="285">
        <f t="shared" si="241"/>
        <v>10617</v>
      </c>
      <c r="N131" s="241">
        <v>0.25</v>
      </c>
      <c r="O131" s="285">
        <f t="shared" si="242"/>
        <v>1769.5</v>
      </c>
      <c r="P131" s="241">
        <v>0.25</v>
      </c>
      <c r="Q131" s="285">
        <f t="shared" si="243"/>
        <v>1337</v>
      </c>
      <c r="R131" s="241">
        <v>0</v>
      </c>
      <c r="S131" s="285">
        <f t="shared" si="244"/>
        <v>0</v>
      </c>
      <c r="T131" s="241">
        <v>0</v>
      </c>
      <c r="U131" s="266">
        <f t="shared" si="245"/>
        <v>0</v>
      </c>
      <c r="V131" s="241">
        <v>0</v>
      </c>
      <c r="W131" s="266">
        <f t="shared" si="246"/>
        <v>0</v>
      </c>
      <c r="X131" s="241">
        <v>0</v>
      </c>
      <c r="Y131" s="266">
        <f t="shared" si="247"/>
        <v>0</v>
      </c>
      <c r="Z131" s="241">
        <v>0</v>
      </c>
      <c r="AA131" s="266">
        <f t="shared" si="248"/>
        <v>0</v>
      </c>
      <c r="AB131" s="241">
        <v>0</v>
      </c>
      <c r="AC131" s="266">
        <f t="shared" si="249"/>
        <v>0</v>
      </c>
      <c r="AD131" s="236">
        <v>2</v>
      </c>
      <c r="AE131" s="266">
        <f t="shared" si="250"/>
        <v>14156</v>
      </c>
      <c r="AF131" s="236">
        <v>1.35</v>
      </c>
      <c r="AG131" s="266">
        <f t="shared" si="251"/>
        <v>7219.8</v>
      </c>
      <c r="AH131" s="236">
        <v>30</v>
      </c>
      <c r="AI131" s="266">
        <f t="shared" si="252"/>
        <v>216780</v>
      </c>
      <c r="AJ131" s="236">
        <v>0</v>
      </c>
      <c r="AK131" s="266">
        <f t="shared" si="253"/>
        <v>0</v>
      </c>
      <c r="AL131" s="236">
        <v>1.25</v>
      </c>
      <c r="AM131" s="266">
        <f t="shared" si="254"/>
        <v>7058.75</v>
      </c>
      <c r="AN131" s="236">
        <v>1.25</v>
      </c>
      <c r="AO131" s="266">
        <f t="shared" si="255"/>
        <v>8651.25</v>
      </c>
      <c r="AP131" s="241">
        <v>2</v>
      </c>
      <c r="AQ131" s="266">
        <f t="shared" si="256"/>
        <v>7058.75</v>
      </c>
      <c r="AR131" s="288"/>
      <c r="AS131" s="266">
        <f t="shared" si="257"/>
        <v>0</v>
      </c>
      <c r="AT131" s="287">
        <f t="shared" si="258"/>
        <v>274648.05</v>
      </c>
      <c r="AU131" s="244">
        <v>31.47</v>
      </c>
      <c r="AV131" s="285">
        <f t="shared" si="259"/>
        <v>198575.69999999998</v>
      </c>
      <c r="AW131" s="236">
        <v>6.85</v>
      </c>
      <c r="AX131" s="285">
        <f t="shared" si="260"/>
        <v>43155</v>
      </c>
      <c r="AY131" s="236">
        <v>1.25</v>
      </c>
      <c r="AZ131" s="285">
        <f t="shared" si="261"/>
        <v>6712.5</v>
      </c>
      <c r="BA131" s="241">
        <v>0</v>
      </c>
      <c r="BB131" s="285">
        <f t="shared" si="262"/>
        <v>0</v>
      </c>
      <c r="BC131" s="236">
        <v>1.85</v>
      </c>
      <c r="BD131" s="285">
        <f t="shared" si="263"/>
        <v>11673.5</v>
      </c>
      <c r="BE131" s="236">
        <v>14.85</v>
      </c>
      <c r="BF131" s="285">
        <f t="shared" si="264"/>
        <v>100044.45</v>
      </c>
      <c r="BG131" s="236">
        <v>8.75</v>
      </c>
      <c r="BH131" s="285">
        <f t="shared" si="265"/>
        <v>58948.75</v>
      </c>
      <c r="BI131" s="236">
        <v>2</v>
      </c>
      <c r="BJ131" s="285">
        <f t="shared" si="266"/>
        <v>26426</v>
      </c>
      <c r="BK131" s="236">
        <v>6.45</v>
      </c>
      <c r="BL131" s="266">
        <f t="shared" si="267"/>
        <v>37132.65</v>
      </c>
      <c r="BM131" s="288"/>
      <c r="BN131" s="92">
        <f t="shared" si="268"/>
        <v>0</v>
      </c>
      <c r="BO131" s="93">
        <f t="shared" si="269"/>
        <v>482668.55</v>
      </c>
      <c r="BP131" s="223">
        <f t="shared" si="270"/>
        <v>757316.6</v>
      </c>
      <c r="BQ131" s="280">
        <f t="shared" si="271"/>
        <v>736579.99999999988</v>
      </c>
      <c r="BR131" s="34">
        <f t="shared" si="272"/>
        <v>113.31999999999998</v>
      </c>
      <c r="CB131" s="277">
        <v>42906.601122685184</v>
      </c>
      <c r="CC131" s="276" t="s">
        <v>167</v>
      </c>
    </row>
    <row r="132" spans="1:81" ht="19.5" thickBot="1" x14ac:dyDescent="0.35">
      <c r="A132" s="693"/>
      <c r="B132" s="693"/>
      <c r="C132" s="133">
        <v>75</v>
      </c>
      <c r="D132" s="141">
        <f t="shared" si="236"/>
        <v>6</v>
      </c>
      <c r="E132" s="95">
        <f t="shared" si="237"/>
        <v>0</v>
      </c>
      <c r="F132" s="103">
        <v>8</v>
      </c>
      <c r="G132" s="95">
        <f t="shared" si="238"/>
        <v>0</v>
      </c>
      <c r="H132" s="103">
        <v>2</v>
      </c>
      <c r="I132" s="95">
        <f t="shared" si="239"/>
        <v>0</v>
      </c>
      <c r="J132" s="84">
        <f t="shared" si="240"/>
        <v>0</v>
      </c>
      <c r="K132" s="334" t="str">
        <f t="shared" si="273"/>
        <v>75RDC15KV</v>
      </c>
      <c r="L132" s="248"/>
      <c r="M132" s="285">
        <f t="shared" si="241"/>
        <v>0</v>
      </c>
      <c r="N132" s="241"/>
      <c r="O132" s="285">
        <f t="shared" si="242"/>
        <v>0</v>
      </c>
      <c r="P132" s="241"/>
      <c r="Q132" s="285">
        <f t="shared" si="243"/>
        <v>0</v>
      </c>
      <c r="R132" s="241"/>
      <c r="S132" s="285">
        <f t="shared" si="244"/>
        <v>0</v>
      </c>
      <c r="T132" s="241"/>
      <c r="U132" s="266">
        <f t="shared" si="245"/>
        <v>0</v>
      </c>
      <c r="V132" s="241"/>
      <c r="W132" s="266">
        <f t="shared" si="246"/>
        <v>0</v>
      </c>
      <c r="X132" s="241"/>
      <c r="Y132" s="266">
        <f t="shared" si="247"/>
        <v>0</v>
      </c>
      <c r="Z132" s="241"/>
      <c r="AA132" s="266">
        <f t="shared" si="248"/>
        <v>0</v>
      </c>
      <c r="AB132" s="241"/>
      <c r="AC132" s="266">
        <f t="shared" si="249"/>
        <v>0</v>
      </c>
      <c r="AD132" s="236"/>
      <c r="AE132" s="266">
        <f t="shared" si="250"/>
        <v>0</v>
      </c>
      <c r="AF132" s="236"/>
      <c r="AG132" s="266">
        <f t="shared" si="251"/>
        <v>0</v>
      </c>
      <c r="AH132" s="236"/>
      <c r="AI132" s="266">
        <f t="shared" si="252"/>
        <v>0</v>
      </c>
      <c r="AJ132" s="236"/>
      <c r="AK132" s="266">
        <f t="shared" si="253"/>
        <v>0</v>
      </c>
      <c r="AL132" s="236"/>
      <c r="AM132" s="266">
        <f t="shared" si="254"/>
        <v>0</v>
      </c>
      <c r="AN132" s="236"/>
      <c r="AO132" s="266">
        <f t="shared" si="255"/>
        <v>0</v>
      </c>
      <c r="AP132" s="241"/>
      <c r="AQ132" s="266">
        <f t="shared" si="256"/>
        <v>0</v>
      </c>
      <c r="AR132" s="288"/>
      <c r="AS132" s="266">
        <f t="shared" si="257"/>
        <v>0</v>
      </c>
      <c r="AT132" s="287">
        <f t="shared" si="258"/>
        <v>0</v>
      </c>
      <c r="AU132" s="244"/>
      <c r="AV132" s="285">
        <f t="shared" si="259"/>
        <v>0</v>
      </c>
      <c r="AW132" s="236"/>
      <c r="AX132" s="285">
        <f t="shared" si="260"/>
        <v>0</v>
      </c>
      <c r="AY132" s="236"/>
      <c r="AZ132" s="285">
        <f t="shared" si="261"/>
        <v>0</v>
      </c>
      <c r="BA132" s="241"/>
      <c r="BB132" s="285">
        <f t="shared" si="262"/>
        <v>0</v>
      </c>
      <c r="BC132" s="236"/>
      <c r="BD132" s="285">
        <f t="shared" si="263"/>
        <v>0</v>
      </c>
      <c r="BE132" s="236"/>
      <c r="BF132" s="285">
        <f t="shared" si="264"/>
        <v>0</v>
      </c>
      <c r="BG132" s="236"/>
      <c r="BH132" s="285">
        <f t="shared" si="265"/>
        <v>0</v>
      </c>
      <c r="BI132" s="236"/>
      <c r="BJ132" s="285">
        <f t="shared" si="266"/>
        <v>0</v>
      </c>
      <c r="BK132" s="236"/>
      <c r="BL132" s="266">
        <f t="shared" si="267"/>
        <v>0</v>
      </c>
      <c r="BM132" s="288"/>
      <c r="BN132" s="92">
        <f t="shared" si="268"/>
        <v>0</v>
      </c>
      <c r="BO132" s="93">
        <f t="shared" si="269"/>
        <v>0</v>
      </c>
      <c r="BP132" s="223">
        <f t="shared" si="270"/>
        <v>0</v>
      </c>
      <c r="BQ132" s="280">
        <f t="shared" si="271"/>
        <v>0</v>
      </c>
      <c r="BR132" s="34">
        <f t="shared" si="272"/>
        <v>0</v>
      </c>
    </row>
    <row r="133" spans="1:81" ht="19.5" thickBot="1" x14ac:dyDescent="0.35">
      <c r="A133" s="693"/>
      <c r="B133" s="693"/>
      <c r="C133" s="133">
        <v>112.5</v>
      </c>
      <c r="D133" s="141">
        <f t="shared" si="236"/>
        <v>8</v>
      </c>
      <c r="E133" s="95">
        <f t="shared" si="237"/>
        <v>0</v>
      </c>
      <c r="F133" s="103">
        <v>8</v>
      </c>
      <c r="G133" s="95">
        <f t="shared" si="238"/>
        <v>0</v>
      </c>
      <c r="H133" s="103">
        <v>2</v>
      </c>
      <c r="I133" s="95">
        <f t="shared" si="239"/>
        <v>0</v>
      </c>
      <c r="J133" s="84">
        <f>D133*E133+F133*G133+H133*I133</f>
        <v>0</v>
      </c>
      <c r="K133" s="334" t="str">
        <f t="shared" si="273"/>
        <v>112.5RDC15KV</v>
      </c>
      <c r="L133" s="248"/>
      <c r="M133" s="285">
        <f t="shared" si="241"/>
        <v>0</v>
      </c>
      <c r="N133" s="241"/>
      <c r="O133" s="285">
        <f t="shared" si="242"/>
        <v>0</v>
      </c>
      <c r="P133" s="241"/>
      <c r="Q133" s="285">
        <f t="shared" si="243"/>
        <v>0</v>
      </c>
      <c r="R133" s="241"/>
      <c r="S133" s="285">
        <f t="shared" si="244"/>
        <v>0</v>
      </c>
      <c r="T133" s="241"/>
      <c r="U133" s="266">
        <f t="shared" si="245"/>
        <v>0</v>
      </c>
      <c r="V133" s="241"/>
      <c r="W133" s="266">
        <f t="shared" si="246"/>
        <v>0</v>
      </c>
      <c r="X133" s="241"/>
      <c r="Y133" s="266">
        <f t="shared" si="247"/>
        <v>0</v>
      </c>
      <c r="Z133" s="241"/>
      <c r="AA133" s="266">
        <f t="shared" si="248"/>
        <v>0</v>
      </c>
      <c r="AB133" s="241"/>
      <c r="AC133" s="266">
        <f t="shared" si="249"/>
        <v>0</v>
      </c>
      <c r="AD133" s="236"/>
      <c r="AE133" s="266">
        <f t="shared" si="250"/>
        <v>0</v>
      </c>
      <c r="AF133" s="236"/>
      <c r="AG133" s="266">
        <f t="shared" si="251"/>
        <v>0</v>
      </c>
      <c r="AH133" s="236"/>
      <c r="AI133" s="266">
        <f t="shared" si="252"/>
        <v>0</v>
      </c>
      <c r="AJ133" s="236"/>
      <c r="AK133" s="266">
        <f t="shared" si="253"/>
        <v>0</v>
      </c>
      <c r="AL133" s="236"/>
      <c r="AM133" s="266">
        <f t="shared" si="254"/>
        <v>0</v>
      </c>
      <c r="AN133" s="236"/>
      <c r="AO133" s="266">
        <f t="shared" si="255"/>
        <v>0</v>
      </c>
      <c r="AP133" s="241"/>
      <c r="AQ133" s="266">
        <f t="shared" si="256"/>
        <v>0</v>
      </c>
      <c r="AR133" s="288"/>
      <c r="AS133" s="266">
        <f t="shared" si="257"/>
        <v>0</v>
      </c>
      <c r="AT133" s="287">
        <f t="shared" si="258"/>
        <v>0</v>
      </c>
      <c r="AU133" s="244"/>
      <c r="AV133" s="285">
        <f t="shared" si="259"/>
        <v>0</v>
      </c>
      <c r="AW133" s="236"/>
      <c r="AX133" s="285">
        <f t="shared" si="260"/>
        <v>0</v>
      </c>
      <c r="AY133" s="236"/>
      <c r="AZ133" s="285">
        <f t="shared" si="261"/>
        <v>0</v>
      </c>
      <c r="BA133" s="241"/>
      <c r="BB133" s="285">
        <f t="shared" si="262"/>
        <v>0</v>
      </c>
      <c r="BC133" s="236"/>
      <c r="BD133" s="285">
        <f t="shared" si="263"/>
        <v>0</v>
      </c>
      <c r="BE133" s="236"/>
      <c r="BF133" s="285">
        <f t="shared" si="264"/>
        <v>0</v>
      </c>
      <c r="BG133" s="236"/>
      <c r="BH133" s="285">
        <f t="shared" si="265"/>
        <v>0</v>
      </c>
      <c r="BI133" s="236"/>
      <c r="BJ133" s="285">
        <f t="shared" si="266"/>
        <v>0</v>
      </c>
      <c r="BK133" s="236"/>
      <c r="BL133" s="266">
        <f t="shared" si="267"/>
        <v>0</v>
      </c>
      <c r="BM133" s="288"/>
      <c r="BN133" s="92">
        <f t="shared" si="268"/>
        <v>0</v>
      </c>
      <c r="BO133" s="93">
        <f t="shared" si="269"/>
        <v>0</v>
      </c>
      <c r="BP133" s="223">
        <f t="shared" si="270"/>
        <v>0</v>
      </c>
      <c r="BQ133" s="280">
        <f t="shared" si="271"/>
        <v>0</v>
      </c>
      <c r="BR133" s="34">
        <f t="shared" si="272"/>
        <v>0</v>
      </c>
    </row>
    <row r="134" spans="1:81" ht="19.5" thickBot="1" x14ac:dyDescent="0.35">
      <c r="A134" s="693"/>
      <c r="B134" s="693"/>
      <c r="C134" s="133">
        <v>150</v>
      </c>
      <c r="D134" s="141">
        <f t="shared" si="236"/>
        <v>8</v>
      </c>
      <c r="E134" s="95">
        <f t="shared" si="237"/>
        <v>0</v>
      </c>
      <c r="F134" s="103">
        <v>8</v>
      </c>
      <c r="G134" s="95">
        <f t="shared" si="238"/>
        <v>0</v>
      </c>
      <c r="H134" s="103">
        <v>2</v>
      </c>
      <c r="I134" s="95">
        <f t="shared" si="239"/>
        <v>0</v>
      </c>
      <c r="J134" s="84">
        <f>D134*E134+F134*G134+H134*I134</f>
        <v>0</v>
      </c>
      <c r="K134" s="334" t="str">
        <f t="shared" si="273"/>
        <v>150RDC15KV</v>
      </c>
      <c r="L134" s="248"/>
      <c r="M134" s="285">
        <f t="shared" si="241"/>
        <v>0</v>
      </c>
      <c r="N134" s="241"/>
      <c r="O134" s="285">
        <f t="shared" si="242"/>
        <v>0</v>
      </c>
      <c r="P134" s="241"/>
      <c r="Q134" s="285">
        <f t="shared" si="243"/>
        <v>0</v>
      </c>
      <c r="R134" s="241"/>
      <c r="S134" s="285">
        <f t="shared" si="244"/>
        <v>0</v>
      </c>
      <c r="T134" s="241"/>
      <c r="U134" s="266">
        <f t="shared" si="245"/>
        <v>0</v>
      </c>
      <c r="V134" s="241"/>
      <c r="W134" s="266">
        <f t="shared" si="246"/>
        <v>0</v>
      </c>
      <c r="X134" s="241"/>
      <c r="Y134" s="266">
        <f t="shared" si="247"/>
        <v>0</v>
      </c>
      <c r="Z134" s="241"/>
      <c r="AA134" s="266">
        <f t="shared" si="248"/>
        <v>0</v>
      </c>
      <c r="AB134" s="241"/>
      <c r="AC134" s="266">
        <f t="shared" si="249"/>
        <v>0</v>
      </c>
      <c r="AD134" s="236"/>
      <c r="AE134" s="266">
        <f t="shared" si="250"/>
        <v>0</v>
      </c>
      <c r="AF134" s="236"/>
      <c r="AG134" s="266">
        <f t="shared" si="251"/>
        <v>0</v>
      </c>
      <c r="AH134" s="236"/>
      <c r="AI134" s="266">
        <f t="shared" si="252"/>
        <v>0</v>
      </c>
      <c r="AJ134" s="236"/>
      <c r="AK134" s="266">
        <f t="shared" si="253"/>
        <v>0</v>
      </c>
      <c r="AL134" s="236"/>
      <c r="AM134" s="266">
        <f t="shared" si="254"/>
        <v>0</v>
      </c>
      <c r="AN134" s="236"/>
      <c r="AO134" s="266">
        <f t="shared" si="255"/>
        <v>0</v>
      </c>
      <c r="AP134" s="241"/>
      <c r="AQ134" s="266">
        <f t="shared" si="256"/>
        <v>0</v>
      </c>
      <c r="AR134" s="288"/>
      <c r="AS134" s="266">
        <f t="shared" si="257"/>
        <v>0</v>
      </c>
      <c r="AT134" s="287">
        <f t="shared" si="258"/>
        <v>0</v>
      </c>
      <c r="AU134" s="244"/>
      <c r="AV134" s="285">
        <f t="shared" si="259"/>
        <v>0</v>
      </c>
      <c r="AW134" s="236"/>
      <c r="AX134" s="285">
        <f t="shared" si="260"/>
        <v>0</v>
      </c>
      <c r="AY134" s="236"/>
      <c r="AZ134" s="285">
        <f t="shared" si="261"/>
        <v>0</v>
      </c>
      <c r="BA134" s="241"/>
      <c r="BB134" s="285">
        <f t="shared" si="262"/>
        <v>0</v>
      </c>
      <c r="BC134" s="236"/>
      <c r="BD134" s="285">
        <f t="shared" si="263"/>
        <v>0</v>
      </c>
      <c r="BE134" s="236"/>
      <c r="BF134" s="285">
        <f t="shared" si="264"/>
        <v>0</v>
      </c>
      <c r="BG134" s="236"/>
      <c r="BH134" s="285">
        <f t="shared" si="265"/>
        <v>0</v>
      </c>
      <c r="BI134" s="236"/>
      <c r="BJ134" s="285">
        <f t="shared" si="266"/>
        <v>0</v>
      </c>
      <c r="BK134" s="236"/>
      <c r="BL134" s="266">
        <f t="shared" si="267"/>
        <v>0</v>
      </c>
      <c r="BM134" s="288"/>
      <c r="BN134" s="92">
        <f t="shared" si="268"/>
        <v>0</v>
      </c>
      <c r="BO134" s="93">
        <f t="shared" si="269"/>
        <v>0</v>
      </c>
      <c r="BP134" s="223">
        <f t="shared" si="270"/>
        <v>0</v>
      </c>
      <c r="BQ134" s="280">
        <f t="shared" si="271"/>
        <v>0</v>
      </c>
      <c r="BR134" s="34">
        <f t="shared" si="272"/>
        <v>0</v>
      </c>
    </row>
    <row r="135" spans="1:81" ht="19.5" thickBot="1" x14ac:dyDescent="0.35">
      <c r="A135" s="693"/>
      <c r="B135" s="693"/>
      <c r="C135" s="133">
        <v>225</v>
      </c>
      <c r="D135" s="141">
        <f t="shared" si="236"/>
        <v>12</v>
      </c>
      <c r="E135" s="95">
        <f t="shared" si="237"/>
        <v>0</v>
      </c>
      <c r="F135" s="103">
        <v>8</v>
      </c>
      <c r="G135" s="95">
        <f t="shared" si="238"/>
        <v>0</v>
      </c>
      <c r="H135" s="103">
        <v>2</v>
      </c>
      <c r="I135" s="95">
        <f t="shared" si="239"/>
        <v>0</v>
      </c>
      <c r="J135" s="84">
        <f>D135*E135+F135*G135+H135*I135</f>
        <v>0</v>
      </c>
      <c r="K135" s="334" t="str">
        <f t="shared" si="273"/>
        <v>225RDC15KV</v>
      </c>
      <c r="L135" s="248"/>
      <c r="M135" s="285">
        <f t="shared" si="241"/>
        <v>0</v>
      </c>
      <c r="N135" s="241"/>
      <c r="O135" s="285">
        <f t="shared" si="242"/>
        <v>0</v>
      </c>
      <c r="P135" s="241"/>
      <c r="Q135" s="285">
        <f t="shared" si="243"/>
        <v>0</v>
      </c>
      <c r="R135" s="241"/>
      <c r="S135" s="285">
        <f t="shared" si="244"/>
        <v>0</v>
      </c>
      <c r="T135" s="241"/>
      <c r="U135" s="266">
        <f t="shared" si="245"/>
        <v>0</v>
      </c>
      <c r="V135" s="241"/>
      <c r="W135" s="266">
        <f t="shared" si="246"/>
        <v>0</v>
      </c>
      <c r="X135" s="241"/>
      <c r="Y135" s="266">
        <f t="shared" si="247"/>
        <v>0</v>
      </c>
      <c r="Z135" s="241"/>
      <c r="AA135" s="266">
        <f t="shared" si="248"/>
        <v>0</v>
      </c>
      <c r="AB135" s="241"/>
      <c r="AC135" s="266">
        <f t="shared" si="249"/>
        <v>0</v>
      </c>
      <c r="AD135" s="236"/>
      <c r="AE135" s="266">
        <f t="shared" si="250"/>
        <v>0</v>
      </c>
      <c r="AF135" s="236"/>
      <c r="AG135" s="266">
        <f t="shared" si="251"/>
        <v>0</v>
      </c>
      <c r="AH135" s="236"/>
      <c r="AI135" s="266">
        <f t="shared" si="252"/>
        <v>0</v>
      </c>
      <c r="AJ135" s="236"/>
      <c r="AK135" s="266">
        <f t="shared" si="253"/>
        <v>0</v>
      </c>
      <c r="AL135" s="236"/>
      <c r="AM135" s="266">
        <f t="shared" si="254"/>
        <v>0</v>
      </c>
      <c r="AN135" s="236"/>
      <c r="AO135" s="266">
        <f t="shared" si="255"/>
        <v>0</v>
      </c>
      <c r="AP135" s="241"/>
      <c r="AQ135" s="266">
        <f t="shared" si="256"/>
        <v>0</v>
      </c>
      <c r="AR135" s="288"/>
      <c r="AS135" s="266">
        <f t="shared" si="257"/>
        <v>0</v>
      </c>
      <c r="AT135" s="287">
        <f t="shared" si="258"/>
        <v>0</v>
      </c>
      <c r="AU135" s="244"/>
      <c r="AV135" s="285">
        <f t="shared" si="259"/>
        <v>0</v>
      </c>
      <c r="AW135" s="236"/>
      <c r="AX135" s="285">
        <f t="shared" si="260"/>
        <v>0</v>
      </c>
      <c r="AY135" s="236"/>
      <c r="AZ135" s="285">
        <f t="shared" si="261"/>
        <v>0</v>
      </c>
      <c r="BA135" s="241"/>
      <c r="BB135" s="285">
        <f t="shared" si="262"/>
        <v>0</v>
      </c>
      <c r="BC135" s="236"/>
      <c r="BD135" s="285">
        <f t="shared" si="263"/>
        <v>0</v>
      </c>
      <c r="BE135" s="236"/>
      <c r="BF135" s="285">
        <f t="shared" si="264"/>
        <v>0</v>
      </c>
      <c r="BG135" s="236"/>
      <c r="BH135" s="285">
        <f t="shared" si="265"/>
        <v>0</v>
      </c>
      <c r="BI135" s="236"/>
      <c r="BJ135" s="285">
        <f t="shared" si="266"/>
        <v>0</v>
      </c>
      <c r="BK135" s="236"/>
      <c r="BL135" s="266">
        <f t="shared" si="267"/>
        <v>0</v>
      </c>
      <c r="BM135" s="288"/>
      <c r="BN135" s="92">
        <f t="shared" si="268"/>
        <v>0</v>
      </c>
      <c r="BO135" s="93">
        <f t="shared" si="269"/>
        <v>0</v>
      </c>
      <c r="BP135" s="223">
        <f t="shared" si="270"/>
        <v>0</v>
      </c>
      <c r="BQ135" s="280">
        <f t="shared" si="271"/>
        <v>0</v>
      </c>
      <c r="BR135" s="34">
        <f t="shared" si="272"/>
        <v>0</v>
      </c>
    </row>
    <row r="136" spans="1:81" ht="19.5" thickBot="1" x14ac:dyDescent="0.35">
      <c r="A136" s="693"/>
      <c r="B136" s="693"/>
      <c r="C136" s="133">
        <v>300</v>
      </c>
      <c r="D136" s="141">
        <f t="shared" si="236"/>
        <v>12</v>
      </c>
      <c r="E136" s="95">
        <f t="shared" si="237"/>
        <v>0</v>
      </c>
      <c r="F136" s="103">
        <v>8</v>
      </c>
      <c r="G136" s="95">
        <f t="shared" si="238"/>
        <v>0</v>
      </c>
      <c r="H136" s="103">
        <v>2</v>
      </c>
      <c r="I136" s="95">
        <f t="shared" si="239"/>
        <v>0</v>
      </c>
      <c r="J136" s="84">
        <f>D136*E136+F136*G136+H136*I136</f>
        <v>0</v>
      </c>
      <c r="K136" s="334" t="str">
        <f t="shared" si="273"/>
        <v>300RDC15KV</v>
      </c>
      <c r="L136" s="248"/>
      <c r="M136" s="285">
        <f t="shared" si="241"/>
        <v>0</v>
      </c>
      <c r="N136" s="241"/>
      <c r="O136" s="285">
        <f t="shared" si="242"/>
        <v>0</v>
      </c>
      <c r="P136" s="241"/>
      <c r="Q136" s="285">
        <f t="shared" si="243"/>
        <v>0</v>
      </c>
      <c r="R136" s="241"/>
      <c r="S136" s="285">
        <f t="shared" si="244"/>
        <v>0</v>
      </c>
      <c r="T136" s="241"/>
      <c r="U136" s="266">
        <f t="shared" si="245"/>
        <v>0</v>
      </c>
      <c r="V136" s="241"/>
      <c r="W136" s="266">
        <f t="shared" si="246"/>
        <v>0</v>
      </c>
      <c r="X136" s="241"/>
      <c r="Y136" s="266">
        <f t="shared" si="247"/>
        <v>0</v>
      </c>
      <c r="Z136" s="241"/>
      <c r="AA136" s="266">
        <f t="shared" si="248"/>
        <v>0</v>
      </c>
      <c r="AB136" s="241"/>
      <c r="AC136" s="266">
        <f t="shared" si="249"/>
        <v>0</v>
      </c>
      <c r="AD136" s="236"/>
      <c r="AE136" s="266">
        <f t="shared" si="250"/>
        <v>0</v>
      </c>
      <c r="AF136" s="236"/>
      <c r="AG136" s="266">
        <f t="shared" si="251"/>
        <v>0</v>
      </c>
      <c r="AH136" s="236"/>
      <c r="AI136" s="266">
        <f t="shared" si="252"/>
        <v>0</v>
      </c>
      <c r="AJ136" s="236"/>
      <c r="AK136" s="266">
        <f t="shared" si="253"/>
        <v>0</v>
      </c>
      <c r="AL136" s="236"/>
      <c r="AM136" s="266">
        <f t="shared" si="254"/>
        <v>0</v>
      </c>
      <c r="AN136" s="236"/>
      <c r="AO136" s="266">
        <f t="shared" si="255"/>
        <v>0</v>
      </c>
      <c r="AP136" s="241"/>
      <c r="AQ136" s="266">
        <f t="shared" si="256"/>
        <v>0</v>
      </c>
      <c r="AR136" s="288"/>
      <c r="AS136" s="266">
        <f t="shared" si="257"/>
        <v>0</v>
      </c>
      <c r="AT136" s="287">
        <f t="shared" si="258"/>
        <v>0</v>
      </c>
      <c r="AU136" s="244"/>
      <c r="AV136" s="285">
        <f t="shared" si="259"/>
        <v>0</v>
      </c>
      <c r="AW136" s="236"/>
      <c r="AX136" s="285">
        <f t="shared" si="260"/>
        <v>0</v>
      </c>
      <c r="AY136" s="236"/>
      <c r="AZ136" s="285">
        <f t="shared" si="261"/>
        <v>0</v>
      </c>
      <c r="BA136" s="241"/>
      <c r="BB136" s="285">
        <f t="shared" si="262"/>
        <v>0</v>
      </c>
      <c r="BC136" s="236"/>
      <c r="BD136" s="285">
        <f t="shared" si="263"/>
        <v>0</v>
      </c>
      <c r="BE136" s="236"/>
      <c r="BF136" s="285">
        <f t="shared" si="264"/>
        <v>0</v>
      </c>
      <c r="BG136" s="236"/>
      <c r="BH136" s="285">
        <f t="shared" si="265"/>
        <v>0</v>
      </c>
      <c r="BI136" s="236"/>
      <c r="BJ136" s="285">
        <f t="shared" si="266"/>
        <v>0</v>
      </c>
      <c r="BK136" s="236"/>
      <c r="BL136" s="266">
        <f t="shared" si="267"/>
        <v>0</v>
      </c>
      <c r="BM136" s="288"/>
      <c r="BN136" s="92">
        <f t="shared" si="268"/>
        <v>0</v>
      </c>
      <c r="BO136" s="93">
        <f t="shared" si="269"/>
        <v>0</v>
      </c>
      <c r="BP136" s="223">
        <f t="shared" si="270"/>
        <v>0</v>
      </c>
      <c r="BQ136" s="280">
        <f t="shared" si="271"/>
        <v>0</v>
      </c>
      <c r="BR136" s="34">
        <f t="shared" si="272"/>
        <v>0</v>
      </c>
      <c r="CB136" s="277">
        <v>42906.390428240738</v>
      </c>
      <c r="CC136" s="276" t="s">
        <v>162</v>
      </c>
    </row>
    <row r="137" spans="1:81" ht="19.5" thickBot="1" x14ac:dyDescent="0.35">
      <c r="A137" s="693"/>
      <c r="B137" s="693"/>
      <c r="C137" s="133">
        <v>400</v>
      </c>
      <c r="D137" s="141">
        <f t="shared" si="236"/>
        <v>16</v>
      </c>
      <c r="E137" s="95">
        <f t="shared" si="237"/>
        <v>0</v>
      </c>
      <c r="F137" s="103">
        <v>10</v>
      </c>
      <c r="G137" s="95">
        <f t="shared" si="238"/>
        <v>0</v>
      </c>
      <c r="H137" s="104">
        <v>2</v>
      </c>
      <c r="I137" s="95">
        <f t="shared" si="239"/>
        <v>0</v>
      </c>
      <c r="J137" s="84">
        <f t="shared" ref="J137:J145" si="274">D137*E137+F137*G137+H137*I137</f>
        <v>0</v>
      </c>
      <c r="K137" s="334" t="str">
        <f t="shared" si="273"/>
        <v>400RDC15KV</v>
      </c>
      <c r="L137" s="248"/>
      <c r="M137" s="285">
        <f t="shared" si="241"/>
        <v>0</v>
      </c>
      <c r="N137" s="241"/>
      <c r="O137" s="285">
        <f t="shared" si="242"/>
        <v>0</v>
      </c>
      <c r="P137" s="241"/>
      <c r="Q137" s="285">
        <f t="shared" si="243"/>
        <v>0</v>
      </c>
      <c r="R137" s="241"/>
      <c r="S137" s="285">
        <f t="shared" si="244"/>
        <v>0</v>
      </c>
      <c r="T137" s="241"/>
      <c r="U137" s="266">
        <f t="shared" si="245"/>
        <v>0</v>
      </c>
      <c r="V137" s="241"/>
      <c r="W137" s="266">
        <f t="shared" si="246"/>
        <v>0</v>
      </c>
      <c r="X137" s="241"/>
      <c r="Y137" s="266">
        <f t="shared" si="247"/>
        <v>0</v>
      </c>
      <c r="Z137" s="241"/>
      <c r="AA137" s="266">
        <f t="shared" si="248"/>
        <v>0</v>
      </c>
      <c r="AB137" s="241"/>
      <c r="AC137" s="266">
        <f t="shared" si="249"/>
        <v>0</v>
      </c>
      <c r="AD137" s="236"/>
      <c r="AE137" s="266">
        <f t="shared" si="250"/>
        <v>0</v>
      </c>
      <c r="AF137" s="236"/>
      <c r="AG137" s="266">
        <f t="shared" si="251"/>
        <v>0</v>
      </c>
      <c r="AH137" s="236"/>
      <c r="AI137" s="266">
        <f t="shared" si="252"/>
        <v>0</v>
      </c>
      <c r="AJ137" s="236"/>
      <c r="AK137" s="266">
        <f t="shared" si="253"/>
        <v>0</v>
      </c>
      <c r="AL137" s="236"/>
      <c r="AM137" s="266">
        <f t="shared" si="254"/>
        <v>0</v>
      </c>
      <c r="AN137" s="236"/>
      <c r="AO137" s="266">
        <f t="shared" si="255"/>
        <v>0</v>
      </c>
      <c r="AP137" s="236"/>
      <c r="AQ137" s="266">
        <f t="shared" si="256"/>
        <v>0</v>
      </c>
      <c r="AR137" s="288"/>
      <c r="AS137" s="266">
        <f t="shared" si="257"/>
        <v>0</v>
      </c>
      <c r="AT137" s="287">
        <f t="shared" si="258"/>
        <v>0</v>
      </c>
      <c r="AU137" s="244"/>
      <c r="AV137" s="285">
        <f t="shared" si="259"/>
        <v>0</v>
      </c>
      <c r="AW137" s="236"/>
      <c r="AX137" s="285">
        <f t="shared" si="260"/>
        <v>0</v>
      </c>
      <c r="AY137" s="236"/>
      <c r="AZ137" s="285">
        <f t="shared" si="261"/>
        <v>0</v>
      </c>
      <c r="BA137" s="241"/>
      <c r="BB137" s="285">
        <f t="shared" si="262"/>
        <v>0</v>
      </c>
      <c r="BC137" s="236"/>
      <c r="BD137" s="285">
        <f t="shared" si="263"/>
        <v>0</v>
      </c>
      <c r="BE137" s="236"/>
      <c r="BF137" s="285">
        <f t="shared" si="264"/>
        <v>0</v>
      </c>
      <c r="BG137" s="236"/>
      <c r="BH137" s="285">
        <f t="shared" si="265"/>
        <v>0</v>
      </c>
      <c r="BI137" s="236"/>
      <c r="BJ137" s="285">
        <f t="shared" si="266"/>
        <v>0</v>
      </c>
      <c r="BK137" s="236"/>
      <c r="BL137" s="266">
        <f t="shared" si="267"/>
        <v>0</v>
      </c>
      <c r="BM137" s="288"/>
      <c r="BN137" s="92">
        <f t="shared" si="268"/>
        <v>0</v>
      </c>
      <c r="BO137" s="93">
        <f t="shared" si="269"/>
        <v>0</v>
      </c>
      <c r="BP137" s="223">
        <f t="shared" si="270"/>
        <v>0</v>
      </c>
      <c r="BQ137" s="280">
        <f t="shared" si="271"/>
        <v>0</v>
      </c>
      <c r="BR137" s="34">
        <f t="shared" si="272"/>
        <v>0</v>
      </c>
    </row>
    <row r="138" spans="1:81" ht="19.5" thickBot="1" x14ac:dyDescent="0.35">
      <c r="A138" s="693"/>
      <c r="B138" s="693"/>
      <c r="C138" s="133">
        <v>500</v>
      </c>
      <c r="D138" s="141">
        <f t="shared" si="236"/>
        <v>16</v>
      </c>
      <c r="E138" s="95">
        <f t="shared" si="237"/>
        <v>0</v>
      </c>
      <c r="F138" s="103">
        <v>10</v>
      </c>
      <c r="G138" s="95">
        <f t="shared" si="238"/>
        <v>0</v>
      </c>
      <c r="H138" s="104">
        <v>2</v>
      </c>
      <c r="I138" s="95">
        <f t="shared" si="239"/>
        <v>0</v>
      </c>
      <c r="J138" s="84">
        <f t="shared" si="274"/>
        <v>0</v>
      </c>
      <c r="K138" s="334" t="str">
        <f t="shared" si="273"/>
        <v>500RDC15KV</v>
      </c>
      <c r="L138" s="248"/>
      <c r="M138" s="285">
        <f t="shared" si="241"/>
        <v>0</v>
      </c>
      <c r="N138" s="241"/>
      <c r="O138" s="285">
        <f t="shared" si="242"/>
        <v>0</v>
      </c>
      <c r="P138" s="241"/>
      <c r="Q138" s="285">
        <f t="shared" si="243"/>
        <v>0</v>
      </c>
      <c r="R138" s="241"/>
      <c r="S138" s="285">
        <f t="shared" si="244"/>
        <v>0</v>
      </c>
      <c r="T138" s="241"/>
      <c r="U138" s="266">
        <f t="shared" si="245"/>
        <v>0</v>
      </c>
      <c r="V138" s="241"/>
      <c r="W138" s="266">
        <f t="shared" si="246"/>
        <v>0</v>
      </c>
      <c r="X138" s="241"/>
      <c r="Y138" s="266">
        <f t="shared" si="247"/>
        <v>0</v>
      </c>
      <c r="Z138" s="241"/>
      <c r="AA138" s="266">
        <f t="shared" si="248"/>
        <v>0</v>
      </c>
      <c r="AB138" s="241"/>
      <c r="AC138" s="266">
        <f t="shared" si="249"/>
        <v>0</v>
      </c>
      <c r="AD138" s="236"/>
      <c r="AE138" s="266">
        <f t="shared" si="250"/>
        <v>0</v>
      </c>
      <c r="AF138" s="236"/>
      <c r="AG138" s="266">
        <f t="shared" si="251"/>
        <v>0</v>
      </c>
      <c r="AH138" s="236"/>
      <c r="AI138" s="266">
        <f t="shared" si="252"/>
        <v>0</v>
      </c>
      <c r="AJ138" s="236"/>
      <c r="AK138" s="266">
        <f t="shared" si="253"/>
        <v>0</v>
      </c>
      <c r="AL138" s="236"/>
      <c r="AM138" s="266">
        <f t="shared" si="254"/>
        <v>0</v>
      </c>
      <c r="AN138" s="236"/>
      <c r="AO138" s="266">
        <f t="shared" si="255"/>
        <v>0</v>
      </c>
      <c r="AP138" s="236"/>
      <c r="AQ138" s="266">
        <f t="shared" si="256"/>
        <v>0</v>
      </c>
      <c r="AR138" s="288"/>
      <c r="AS138" s="266">
        <f t="shared" si="257"/>
        <v>0</v>
      </c>
      <c r="AT138" s="287">
        <f t="shared" si="258"/>
        <v>0</v>
      </c>
      <c r="AU138" s="244"/>
      <c r="AV138" s="285">
        <f t="shared" si="259"/>
        <v>0</v>
      </c>
      <c r="AW138" s="236"/>
      <c r="AX138" s="285">
        <f t="shared" si="260"/>
        <v>0</v>
      </c>
      <c r="AY138" s="236"/>
      <c r="AZ138" s="285">
        <f t="shared" si="261"/>
        <v>0</v>
      </c>
      <c r="BA138" s="241"/>
      <c r="BB138" s="285">
        <f t="shared" si="262"/>
        <v>0</v>
      </c>
      <c r="BC138" s="236"/>
      <c r="BD138" s="285">
        <f t="shared" si="263"/>
        <v>0</v>
      </c>
      <c r="BE138" s="236"/>
      <c r="BF138" s="285">
        <f t="shared" si="264"/>
        <v>0</v>
      </c>
      <c r="BG138" s="236"/>
      <c r="BH138" s="285">
        <f t="shared" si="265"/>
        <v>0</v>
      </c>
      <c r="BI138" s="236"/>
      <c r="BJ138" s="285">
        <f t="shared" si="266"/>
        <v>0</v>
      </c>
      <c r="BK138" s="236"/>
      <c r="BL138" s="266">
        <f t="shared" si="267"/>
        <v>0</v>
      </c>
      <c r="BM138" s="288"/>
      <c r="BN138" s="92">
        <f t="shared" si="268"/>
        <v>0</v>
      </c>
      <c r="BO138" s="93">
        <f t="shared" si="269"/>
        <v>0</v>
      </c>
      <c r="BP138" s="223">
        <f t="shared" si="270"/>
        <v>0</v>
      </c>
      <c r="BQ138" s="280">
        <f t="shared" si="271"/>
        <v>0</v>
      </c>
      <c r="BR138" s="34">
        <f t="shared" si="272"/>
        <v>0</v>
      </c>
    </row>
    <row r="139" spans="1:81" ht="19.5" thickBot="1" x14ac:dyDescent="0.35">
      <c r="A139" s="693"/>
      <c r="B139" s="693"/>
      <c r="C139" s="133">
        <v>630</v>
      </c>
      <c r="D139" s="141">
        <f t="shared" si="236"/>
        <v>0</v>
      </c>
      <c r="E139" s="95">
        <f t="shared" si="237"/>
        <v>0</v>
      </c>
      <c r="F139" s="103">
        <v>10</v>
      </c>
      <c r="G139" s="95">
        <f t="shared" si="238"/>
        <v>0</v>
      </c>
      <c r="H139" s="104">
        <v>2</v>
      </c>
      <c r="I139" s="95">
        <f t="shared" si="239"/>
        <v>0</v>
      </c>
      <c r="J139" s="84">
        <f t="shared" si="274"/>
        <v>0</v>
      </c>
      <c r="K139" s="334" t="str">
        <f t="shared" si="273"/>
        <v>630RDC15KV</v>
      </c>
      <c r="L139" s="248"/>
      <c r="M139" s="285">
        <f t="shared" si="241"/>
        <v>0</v>
      </c>
      <c r="N139" s="241"/>
      <c r="O139" s="285">
        <f t="shared" si="242"/>
        <v>0</v>
      </c>
      <c r="P139" s="241"/>
      <c r="Q139" s="285">
        <f t="shared" si="243"/>
        <v>0</v>
      </c>
      <c r="R139" s="241"/>
      <c r="S139" s="285">
        <f t="shared" si="244"/>
        <v>0</v>
      </c>
      <c r="T139" s="241"/>
      <c r="U139" s="266">
        <f t="shared" si="245"/>
        <v>0</v>
      </c>
      <c r="V139" s="241"/>
      <c r="W139" s="266">
        <f t="shared" si="246"/>
        <v>0</v>
      </c>
      <c r="X139" s="241"/>
      <c r="Y139" s="266">
        <f t="shared" si="247"/>
        <v>0</v>
      </c>
      <c r="Z139" s="241"/>
      <c r="AA139" s="266">
        <f t="shared" si="248"/>
        <v>0</v>
      </c>
      <c r="AB139" s="241"/>
      <c r="AC139" s="266">
        <f t="shared" si="249"/>
        <v>0</v>
      </c>
      <c r="AD139" s="236"/>
      <c r="AE139" s="266">
        <f t="shared" si="250"/>
        <v>0</v>
      </c>
      <c r="AF139" s="236"/>
      <c r="AG139" s="266">
        <f t="shared" si="251"/>
        <v>0</v>
      </c>
      <c r="AH139" s="236"/>
      <c r="AI139" s="266">
        <f t="shared" si="252"/>
        <v>0</v>
      </c>
      <c r="AJ139" s="236"/>
      <c r="AK139" s="266">
        <f t="shared" si="253"/>
        <v>0</v>
      </c>
      <c r="AL139" s="236"/>
      <c r="AM139" s="266">
        <f t="shared" si="254"/>
        <v>0</v>
      </c>
      <c r="AN139" s="236"/>
      <c r="AO139" s="266">
        <f t="shared" si="255"/>
        <v>0</v>
      </c>
      <c r="AP139" s="236"/>
      <c r="AQ139" s="266">
        <f t="shared" si="256"/>
        <v>0</v>
      </c>
      <c r="AR139" s="288"/>
      <c r="AS139" s="266">
        <f t="shared" si="257"/>
        <v>0</v>
      </c>
      <c r="AT139" s="287">
        <f t="shared" si="258"/>
        <v>0</v>
      </c>
      <c r="AU139" s="244"/>
      <c r="AV139" s="285">
        <f t="shared" si="259"/>
        <v>0</v>
      </c>
      <c r="AW139" s="236"/>
      <c r="AX139" s="285">
        <f t="shared" si="260"/>
        <v>0</v>
      </c>
      <c r="AY139" s="236"/>
      <c r="AZ139" s="285">
        <f t="shared" si="261"/>
        <v>0</v>
      </c>
      <c r="BA139" s="241"/>
      <c r="BB139" s="285">
        <f t="shared" si="262"/>
        <v>0</v>
      </c>
      <c r="BC139" s="236"/>
      <c r="BD139" s="285">
        <f t="shared" si="263"/>
        <v>0</v>
      </c>
      <c r="BE139" s="236"/>
      <c r="BF139" s="285">
        <f t="shared" si="264"/>
        <v>0</v>
      </c>
      <c r="BG139" s="236"/>
      <c r="BH139" s="285">
        <f t="shared" si="265"/>
        <v>0</v>
      </c>
      <c r="BI139" s="236"/>
      <c r="BJ139" s="285">
        <f t="shared" si="266"/>
        <v>0</v>
      </c>
      <c r="BK139" s="236"/>
      <c r="BL139" s="266">
        <f t="shared" si="267"/>
        <v>0</v>
      </c>
      <c r="BM139" s="288"/>
      <c r="BN139" s="92">
        <f t="shared" si="268"/>
        <v>0</v>
      </c>
      <c r="BO139" s="93">
        <f t="shared" si="269"/>
        <v>0</v>
      </c>
      <c r="BP139" s="223">
        <f t="shared" si="270"/>
        <v>0</v>
      </c>
      <c r="BQ139" s="280">
        <f t="shared" si="271"/>
        <v>0</v>
      </c>
      <c r="BR139" s="34">
        <f t="shared" si="272"/>
        <v>0</v>
      </c>
    </row>
    <row r="140" spans="1:81" ht="19.5" thickBot="1" x14ac:dyDescent="0.35">
      <c r="A140" s="693"/>
      <c r="B140" s="693"/>
      <c r="C140" s="133">
        <v>750</v>
      </c>
      <c r="D140" s="141">
        <f t="shared" si="236"/>
        <v>0</v>
      </c>
      <c r="E140" s="95">
        <f t="shared" si="237"/>
        <v>0</v>
      </c>
      <c r="F140" s="103">
        <v>10</v>
      </c>
      <c r="G140" s="95">
        <f t="shared" si="238"/>
        <v>0</v>
      </c>
      <c r="H140" s="104">
        <v>2</v>
      </c>
      <c r="I140" s="95">
        <f t="shared" si="239"/>
        <v>0</v>
      </c>
      <c r="J140" s="84">
        <f t="shared" si="274"/>
        <v>0</v>
      </c>
      <c r="K140" s="334" t="str">
        <f t="shared" si="273"/>
        <v>750RDC15KV</v>
      </c>
      <c r="L140" s="248"/>
      <c r="M140" s="285">
        <f t="shared" si="241"/>
        <v>0</v>
      </c>
      <c r="N140" s="241"/>
      <c r="O140" s="285">
        <f t="shared" si="242"/>
        <v>0</v>
      </c>
      <c r="P140" s="241"/>
      <c r="Q140" s="285">
        <f t="shared" si="243"/>
        <v>0</v>
      </c>
      <c r="R140" s="241"/>
      <c r="S140" s="285">
        <f t="shared" si="244"/>
        <v>0</v>
      </c>
      <c r="T140" s="241"/>
      <c r="U140" s="266">
        <f t="shared" si="245"/>
        <v>0</v>
      </c>
      <c r="V140" s="241"/>
      <c r="W140" s="266">
        <f t="shared" si="246"/>
        <v>0</v>
      </c>
      <c r="X140" s="241"/>
      <c r="Y140" s="266">
        <f t="shared" si="247"/>
        <v>0</v>
      </c>
      <c r="Z140" s="241"/>
      <c r="AA140" s="266">
        <f t="shared" si="248"/>
        <v>0</v>
      </c>
      <c r="AB140" s="241"/>
      <c r="AC140" s="266">
        <f t="shared" si="249"/>
        <v>0</v>
      </c>
      <c r="AD140" s="236"/>
      <c r="AE140" s="266">
        <f t="shared" si="250"/>
        <v>0</v>
      </c>
      <c r="AF140" s="236"/>
      <c r="AG140" s="266">
        <f t="shared" si="251"/>
        <v>0</v>
      </c>
      <c r="AH140" s="236"/>
      <c r="AI140" s="266">
        <f t="shared" si="252"/>
        <v>0</v>
      </c>
      <c r="AJ140" s="236"/>
      <c r="AK140" s="266">
        <f t="shared" si="253"/>
        <v>0</v>
      </c>
      <c r="AL140" s="236"/>
      <c r="AM140" s="266">
        <f t="shared" si="254"/>
        <v>0</v>
      </c>
      <c r="AN140" s="236"/>
      <c r="AO140" s="266">
        <f t="shared" si="255"/>
        <v>0</v>
      </c>
      <c r="AP140" s="236"/>
      <c r="AQ140" s="266">
        <f t="shared" si="256"/>
        <v>0</v>
      </c>
      <c r="AR140" s="288"/>
      <c r="AS140" s="266">
        <f t="shared" si="257"/>
        <v>0</v>
      </c>
      <c r="AT140" s="287">
        <f t="shared" si="258"/>
        <v>0</v>
      </c>
      <c r="AU140" s="244"/>
      <c r="AV140" s="285">
        <f t="shared" si="259"/>
        <v>0</v>
      </c>
      <c r="AW140" s="236"/>
      <c r="AX140" s="285">
        <f t="shared" si="260"/>
        <v>0</v>
      </c>
      <c r="AY140" s="236"/>
      <c r="AZ140" s="285">
        <f t="shared" si="261"/>
        <v>0</v>
      </c>
      <c r="BA140" s="241"/>
      <c r="BB140" s="285">
        <f t="shared" si="262"/>
        <v>0</v>
      </c>
      <c r="BC140" s="236"/>
      <c r="BD140" s="285">
        <f t="shared" si="263"/>
        <v>0</v>
      </c>
      <c r="BE140" s="236"/>
      <c r="BF140" s="285">
        <f t="shared" si="264"/>
        <v>0</v>
      </c>
      <c r="BG140" s="236"/>
      <c r="BH140" s="285">
        <f t="shared" si="265"/>
        <v>0</v>
      </c>
      <c r="BI140" s="236"/>
      <c r="BJ140" s="285">
        <f t="shared" si="266"/>
        <v>0</v>
      </c>
      <c r="BK140" s="236"/>
      <c r="BL140" s="266">
        <f t="shared" si="267"/>
        <v>0</v>
      </c>
      <c r="BM140" s="288"/>
      <c r="BN140" s="92">
        <f t="shared" si="268"/>
        <v>0</v>
      </c>
      <c r="BO140" s="93">
        <f t="shared" si="269"/>
        <v>0</v>
      </c>
      <c r="BP140" s="223">
        <f t="shared" si="270"/>
        <v>0</v>
      </c>
      <c r="BQ140" s="280">
        <f t="shared" si="271"/>
        <v>0</v>
      </c>
      <c r="BR140" s="34">
        <f t="shared" si="272"/>
        <v>0</v>
      </c>
      <c r="CB140" s="277">
        <v>42906.390439814815</v>
      </c>
      <c r="CC140" s="276" t="s">
        <v>162</v>
      </c>
    </row>
    <row r="141" spans="1:81" ht="19.5" thickBot="1" x14ac:dyDescent="0.35">
      <c r="A141" s="693"/>
      <c r="B141" s="693"/>
      <c r="C141" s="133">
        <v>800</v>
      </c>
      <c r="D141" s="141">
        <f t="shared" si="236"/>
        <v>0</v>
      </c>
      <c r="E141" s="95">
        <f t="shared" si="237"/>
        <v>0</v>
      </c>
      <c r="F141" s="103">
        <v>10</v>
      </c>
      <c r="G141" s="95">
        <f t="shared" si="238"/>
        <v>0</v>
      </c>
      <c r="H141" s="104">
        <v>2</v>
      </c>
      <c r="I141" s="95">
        <f t="shared" si="239"/>
        <v>0</v>
      </c>
      <c r="J141" s="84">
        <f t="shared" si="274"/>
        <v>0</v>
      </c>
      <c r="K141" s="334" t="str">
        <f t="shared" si="273"/>
        <v>800RDC15KV</v>
      </c>
      <c r="L141" s="248"/>
      <c r="M141" s="285">
        <f t="shared" si="241"/>
        <v>0</v>
      </c>
      <c r="N141" s="241"/>
      <c r="O141" s="285">
        <f t="shared" si="242"/>
        <v>0</v>
      </c>
      <c r="P141" s="241"/>
      <c r="Q141" s="285">
        <f t="shared" si="243"/>
        <v>0</v>
      </c>
      <c r="R141" s="241"/>
      <c r="S141" s="285">
        <f t="shared" si="244"/>
        <v>0</v>
      </c>
      <c r="T141" s="241"/>
      <c r="U141" s="266">
        <f t="shared" si="245"/>
        <v>0</v>
      </c>
      <c r="V141" s="241"/>
      <c r="W141" s="266">
        <f t="shared" si="246"/>
        <v>0</v>
      </c>
      <c r="X141" s="241"/>
      <c r="Y141" s="266">
        <f t="shared" si="247"/>
        <v>0</v>
      </c>
      <c r="Z141" s="241"/>
      <c r="AA141" s="266">
        <f t="shared" si="248"/>
        <v>0</v>
      </c>
      <c r="AB141" s="241"/>
      <c r="AC141" s="266">
        <f t="shared" si="249"/>
        <v>0</v>
      </c>
      <c r="AD141" s="236"/>
      <c r="AE141" s="266">
        <f t="shared" si="250"/>
        <v>0</v>
      </c>
      <c r="AF141" s="236"/>
      <c r="AG141" s="266">
        <f t="shared" si="251"/>
        <v>0</v>
      </c>
      <c r="AH141" s="236"/>
      <c r="AI141" s="266">
        <f t="shared" si="252"/>
        <v>0</v>
      </c>
      <c r="AJ141" s="236"/>
      <c r="AK141" s="266">
        <f t="shared" si="253"/>
        <v>0</v>
      </c>
      <c r="AL141" s="236"/>
      <c r="AM141" s="266">
        <f t="shared" si="254"/>
        <v>0</v>
      </c>
      <c r="AN141" s="236"/>
      <c r="AO141" s="266">
        <f t="shared" si="255"/>
        <v>0</v>
      </c>
      <c r="AP141" s="236"/>
      <c r="AQ141" s="266">
        <f t="shared" si="256"/>
        <v>0</v>
      </c>
      <c r="AR141" s="288"/>
      <c r="AS141" s="266">
        <f t="shared" si="257"/>
        <v>0</v>
      </c>
      <c r="AT141" s="287">
        <f t="shared" si="258"/>
        <v>0</v>
      </c>
      <c r="AU141" s="244"/>
      <c r="AV141" s="285">
        <f t="shared" si="259"/>
        <v>0</v>
      </c>
      <c r="AW141" s="236"/>
      <c r="AX141" s="285">
        <f t="shared" si="260"/>
        <v>0</v>
      </c>
      <c r="AY141" s="236"/>
      <c r="AZ141" s="285">
        <f t="shared" si="261"/>
        <v>0</v>
      </c>
      <c r="BA141" s="241"/>
      <c r="BB141" s="285">
        <f t="shared" si="262"/>
        <v>0</v>
      </c>
      <c r="BC141" s="236"/>
      <c r="BD141" s="285">
        <f t="shared" si="263"/>
        <v>0</v>
      </c>
      <c r="BE141" s="236"/>
      <c r="BF141" s="285">
        <f t="shared" si="264"/>
        <v>0</v>
      </c>
      <c r="BG141" s="236"/>
      <c r="BH141" s="285">
        <f t="shared" si="265"/>
        <v>0</v>
      </c>
      <c r="BI141" s="236"/>
      <c r="BJ141" s="285">
        <f t="shared" si="266"/>
        <v>0</v>
      </c>
      <c r="BK141" s="236"/>
      <c r="BL141" s="266">
        <f t="shared" si="267"/>
        <v>0</v>
      </c>
      <c r="BM141" s="288"/>
      <c r="BN141" s="92">
        <f t="shared" si="268"/>
        <v>0</v>
      </c>
      <c r="BO141" s="93">
        <f t="shared" si="269"/>
        <v>0</v>
      </c>
      <c r="BP141" s="223">
        <f t="shared" si="270"/>
        <v>0</v>
      </c>
      <c r="BQ141" s="280">
        <f t="shared" si="271"/>
        <v>0</v>
      </c>
      <c r="BR141" s="34">
        <f t="shared" si="272"/>
        <v>0</v>
      </c>
    </row>
    <row r="142" spans="1:81" ht="19.5" thickBot="1" x14ac:dyDescent="0.35">
      <c r="A142" s="693"/>
      <c r="B142" s="693"/>
      <c r="C142" s="143">
        <v>1000</v>
      </c>
      <c r="D142" s="141">
        <f t="shared" si="236"/>
        <v>0</v>
      </c>
      <c r="E142" s="95">
        <f t="shared" si="237"/>
        <v>0</v>
      </c>
      <c r="F142" s="103">
        <v>12</v>
      </c>
      <c r="G142" s="95">
        <f t="shared" si="238"/>
        <v>0</v>
      </c>
      <c r="H142" s="104">
        <v>2</v>
      </c>
      <c r="I142" s="95">
        <f t="shared" si="239"/>
        <v>0</v>
      </c>
      <c r="J142" s="84">
        <f t="shared" si="274"/>
        <v>0</v>
      </c>
      <c r="K142" s="334" t="str">
        <f t="shared" si="273"/>
        <v>1000RDC15KV</v>
      </c>
      <c r="L142" s="248"/>
      <c r="M142" s="285">
        <f t="shared" si="241"/>
        <v>0</v>
      </c>
      <c r="N142" s="241"/>
      <c r="O142" s="285">
        <f t="shared" si="242"/>
        <v>0</v>
      </c>
      <c r="P142" s="241"/>
      <c r="Q142" s="285">
        <f t="shared" si="243"/>
        <v>0</v>
      </c>
      <c r="R142" s="241"/>
      <c r="S142" s="285">
        <f t="shared" si="244"/>
        <v>0</v>
      </c>
      <c r="T142" s="241"/>
      <c r="U142" s="266">
        <f t="shared" si="245"/>
        <v>0</v>
      </c>
      <c r="V142" s="241"/>
      <c r="W142" s="266">
        <f t="shared" si="246"/>
        <v>0</v>
      </c>
      <c r="X142" s="241"/>
      <c r="Y142" s="266">
        <f t="shared" si="247"/>
        <v>0</v>
      </c>
      <c r="Z142" s="241"/>
      <c r="AA142" s="266">
        <f t="shared" si="248"/>
        <v>0</v>
      </c>
      <c r="AB142" s="241"/>
      <c r="AC142" s="266">
        <f t="shared" si="249"/>
        <v>0</v>
      </c>
      <c r="AD142" s="236"/>
      <c r="AE142" s="266">
        <f t="shared" si="250"/>
        <v>0</v>
      </c>
      <c r="AF142" s="236"/>
      <c r="AG142" s="266">
        <f t="shared" si="251"/>
        <v>0</v>
      </c>
      <c r="AH142" s="236"/>
      <c r="AI142" s="266">
        <f t="shared" si="252"/>
        <v>0</v>
      </c>
      <c r="AJ142" s="236"/>
      <c r="AK142" s="266">
        <f t="shared" si="253"/>
        <v>0</v>
      </c>
      <c r="AL142" s="236"/>
      <c r="AM142" s="266">
        <f t="shared" si="254"/>
        <v>0</v>
      </c>
      <c r="AN142" s="236"/>
      <c r="AO142" s="266">
        <f t="shared" si="255"/>
        <v>0</v>
      </c>
      <c r="AP142" s="236"/>
      <c r="AQ142" s="266">
        <f t="shared" si="256"/>
        <v>0</v>
      </c>
      <c r="AR142" s="288"/>
      <c r="AS142" s="266">
        <f t="shared" si="257"/>
        <v>0</v>
      </c>
      <c r="AT142" s="287">
        <f t="shared" si="258"/>
        <v>0</v>
      </c>
      <c r="AU142" s="244"/>
      <c r="AV142" s="285">
        <f t="shared" si="259"/>
        <v>0</v>
      </c>
      <c r="AW142" s="236"/>
      <c r="AX142" s="285">
        <f t="shared" si="260"/>
        <v>0</v>
      </c>
      <c r="AY142" s="236"/>
      <c r="AZ142" s="285">
        <f t="shared" si="261"/>
        <v>0</v>
      </c>
      <c r="BA142" s="241"/>
      <c r="BB142" s="285">
        <f t="shared" si="262"/>
        <v>0</v>
      </c>
      <c r="BC142" s="236"/>
      <c r="BD142" s="285">
        <f t="shared" si="263"/>
        <v>0</v>
      </c>
      <c r="BE142" s="236"/>
      <c r="BF142" s="285">
        <f t="shared" si="264"/>
        <v>0</v>
      </c>
      <c r="BG142" s="236"/>
      <c r="BH142" s="285">
        <f t="shared" si="265"/>
        <v>0</v>
      </c>
      <c r="BI142" s="236"/>
      <c r="BJ142" s="285">
        <f t="shared" si="266"/>
        <v>0</v>
      </c>
      <c r="BK142" s="236"/>
      <c r="BL142" s="266">
        <f t="shared" si="267"/>
        <v>0</v>
      </c>
      <c r="BM142" s="288"/>
      <c r="BN142" s="92">
        <f t="shared" si="268"/>
        <v>0</v>
      </c>
      <c r="BO142" s="93">
        <f t="shared" si="269"/>
        <v>0</v>
      </c>
      <c r="BP142" s="223">
        <f t="shared" si="270"/>
        <v>0</v>
      </c>
      <c r="BQ142" s="280">
        <f t="shared" si="271"/>
        <v>0</v>
      </c>
      <c r="BR142" s="34">
        <f t="shared" si="272"/>
        <v>0</v>
      </c>
    </row>
    <row r="143" spans="1:81" ht="19.5" thickBot="1" x14ac:dyDescent="0.35">
      <c r="A143" s="693"/>
      <c r="B143" s="693"/>
      <c r="C143" s="144">
        <v>1250</v>
      </c>
      <c r="D143" s="141">
        <f t="shared" si="236"/>
        <v>0</v>
      </c>
      <c r="E143" s="95">
        <f t="shared" si="237"/>
        <v>0</v>
      </c>
      <c r="F143" s="103">
        <v>12</v>
      </c>
      <c r="G143" s="95">
        <f t="shared" si="238"/>
        <v>0</v>
      </c>
      <c r="H143" s="104">
        <v>4</v>
      </c>
      <c r="I143" s="95">
        <f t="shared" si="239"/>
        <v>0</v>
      </c>
      <c r="J143" s="84">
        <f t="shared" si="274"/>
        <v>0</v>
      </c>
      <c r="K143" s="334" t="str">
        <f t="shared" si="273"/>
        <v>1250RDC15KV</v>
      </c>
      <c r="L143" s="248"/>
      <c r="M143" s="285">
        <f t="shared" si="241"/>
        <v>0</v>
      </c>
      <c r="N143" s="241"/>
      <c r="O143" s="285">
        <f t="shared" si="242"/>
        <v>0</v>
      </c>
      <c r="P143" s="241"/>
      <c r="Q143" s="285">
        <f t="shared" si="243"/>
        <v>0</v>
      </c>
      <c r="R143" s="241"/>
      <c r="S143" s="285">
        <f t="shared" si="244"/>
        <v>0</v>
      </c>
      <c r="T143" s="241"/>
      <c r="U143" s="266">
        <f t="shared" si="245"/>
        <v>0</v>
      </c>
      <c r="V143" s="241"/>
      <c r="W143" s="266">
        <f t="shared" si="246"/>
        <v>0</v>
      </c>
      <c r="X143" s="241"/>
      <c r="Y143" s="266">
        <f t="shared" si="247"/>
        <v>0</v>
      </c>
      <c r="Z143" s="241"/>
      <c r="AA143" s="266">
        <f t="shared" si="248"/>
        <v>0</v>
      </c>
      <c r="AB143" s="241"/>
      <c r="AC143" s="266">
        <f t="shared" si="249"/>
        <v>0</v>
      </c>
      <c r="AD143" s="236"/>
      <c r="AE143" s="266">
        <f t="shared" si="250"/>
        <v>0</v>
      </c>
      <c r="AF143" s="236"/>
      <c r="AG143" s="266">
        <f t="shared" si="251"/>
        <v>0</v>
      </c>
      <c r="AH143" s="236"/>
      <c r="AI143" s="266">
        <f t="shared" si="252"/>
        <v>0</v>
      </c>
      <c r="AJ143" s="236"/>
      <c r="AK143" s="266">
        <f t="shared" si="253"/>
        <v>0</v>
      </c>
      <c r="AL143" s="236"/>
      <c r="AM143" s="266">
        <f t="shared" si="254"/>
        <v>0</v>
      </c>
      <c r="AN143" s="236"/>
      <c r="AO143" s="266">
        <f t="shared" si="255"/>
        <v>0</v>
      </c>
      <c r="AP143" s="236"/>
      <c r="AQ143" s="266">
        <f t="shared" si="256"/>
        <v>0</v>
      </c>
      <c r="AR143" s="288"/>
      <c r="AS143" s="266">
        <f t="shared" si="257"/>
        <v>0</v>
      </c>
      <c r="AT143" s="287">
        <f t="shared" si="258"/>
        <v>0</v>
      </c>
      <c r="AU143" s="244"/>
      <c r="AV143" s="285">
        <f t="shared" si="259"/>
        <v>0</v>
      </c>
      <c r="AW143" s="236"/>
      <c r="AX143" s="285">
        <f t="shared" si="260"/>
        <v>0</v>
      </c>
      <c r="AY143" s="236"/>
      <c r="AZ143" s="285">
        <f t="shared" si="261"/>
        <v>0</v>
      </c>
      <c r="BA143" s="241"/>
      <c r="BB143" s="285">
        <f t="shared" si="262"/>
        <v>0</v>
      </c>
      <c r="BC143" s="236"/>
      <c r="BD143" s="285">
        <f t="shared" si="263"/>
        <v>0</v>
      </c>
      <c r="BE143" s="236"/>
      <c r="BF143" s="285">
        <f t="shared" si="264"/>
        <v>0</v>
      </c>
      <c r="BG143" s="236"/>
      <c r="BH143" s="285">
        <f t="shared" si="265"/>
        <v>0</v>
      </c>
      <c r="BI143" s="236"/>
      <c r="BJ143" s="285">
        <f t="shared" si="266"/>
        <v>0</v>
      </c>
      <c r="BK143" s="236"/>
      <c r="BL143" s="266">
        <f t="shared" si="267"/>
        <v>0</v>
      </c>
      <c r="BM143" s="288"/>
      <c r="BN143" s="92">
        <f t="shared" si="268"/>
        <v>0</v>
      </c>
      <c r="BO143" s="93">
        <f t="shared" si="269"/>
        <v>0</v>
      </c>
      <c r="BP143" s="223">
        <f t="shared" si="270"/>
        <v>0</v>
      </c>
      <c r="BQ143" s="280">
        <f t="shared" si="271"/>
        <v>0</v>
      </c>
      <c r="BR143" s="34">
        <f t="shared" si="272"/>
        <v>0</v>
      </c>
    </row>
    <row r="144" spans="1:81" ht="19.5" thickBot="1" x14ac:dyDescent="0.35">
      <c r="A144" s="693"/>
      <c r="B144" s="693"/>
      <c r="C144" s="144">
        <v>1600</v>
      </c>
      <c r="D144" s="141">
        <f t="shared" si="236"/>
        <v>0</v>
      </c>
      <c r="E144" s="95">
        <f t="shared" si="237"/>
        <v>0</v>
      </c>
      <c r="F144" s="103">
        <v>16</v>
      </c>
      <c r="G144" s="95">
        <f t="shared" si="238"/>
        <v>0</v>
      </c>
      <c r="H144" s="104">
        <v>4</v>
      </c>
      <c r="I144" s="95">
        <f t="shared" si="239"/>
        <v>0</v>
      </c>
      <c r="J144" s="84">
        <f t="shared" si="274"/>
        <v>0</v>
      </c>
      <c r="K144" s="334" t="str">
        <f t="shared" si="273"/>
        <v>1600RDC15KV</v>
      </c>
      <c r="L144" s="248"/>
      <c r="M144" s="285">
        <f t="shared" si="241"/>
        <v>0</v>
      </c>
      <c r="N144" s="241"/>
      <c r="O144" s="285">
        <f t="shared" si="242"/>
        <v>0</v>
      </c>
      <c r="P144" s="241"/>
      <c r="Q144" s="285">
        <f t="shared" si="243"/>
        <v>0</v>
      </c>
      <c r="R144" s="241"/>
      <c r="S144" s="285">
        <f t="shared" si="244"/>
        <v>0</v>
      </c>
      <c r="T144" s="241"/>
      <c r="U144" s="266">
        <f t="shared" si="245"/>
        <v>0</v>
      </c>
      <c r="V144" s="241"/>
      <c r="W144" s="266">
        <f t="shared" si="246"/>
        <v>0</v>
      </c>
      <c r="X144" s="241"/>
      <c r="Y144" s="266">
        <f t="shared" si="247"/>
        <v>0</v>
      </c>
      <c r="Z144" s="241"/>
      <c r="AA144" s="266">
        <f t="shared" si="248"/>
        <v>0</v>
      </c>
      <c r="AB144" s="241"/>
      <c r="AC144" s="266">
        <f t="shared" si="249"/>
        <v>0</v>
      </c>
      <c r="AD144" s="236"/>
      <c r="AE144" s="266">
        <f t="shared" si="250"/>
        <v>0</v>
      </c>
      <c r="AF144" s="236"/>
      <c r="AG144" s="266">
        <f t="shared" si="251"/>
        <v>0</v>
      </c>
      <c r="AH144" s="236"/>
      <c r="AI144" s="266">
        <f t="shared" si="252"/>
        <v>0</v>
      </c>
      <c r="AJ144" s="236"/>
      <c r="AK144" s="266">
        <f t="shared" si="253"/>
        <v>0</v>
      </c>
      <c r="AL144" s="236"/>
      <c r="AM144" s="266">
        <f t="shared" si="254"/>
        <v>0</v>
      </c>
      <c r="AN144" s="236"/>
      <c r="AO144" s="266">
        <f t="shared" si="255"/>
        <v>0</v>
      </c>
      <c r="AP144" s="236"/>
      <c r="AQ144" s="266">
        <f t="shared" si="256"/>
        <v>0</v>
      </c>
      <c r="AR144" s="288"/>
      <c r="AS144" s="266">
        <f t="shared" si="257"/>
        <v>0</v>
      </c>
      <c r="AT144" s="287">
        <f t="shared" si="258"/>
        <v>0</v>
      </c>
      <c r="AU144" s="244"/>
      <c r="AV144" s="285">
        <f t="shared" si="259"/>
        <v>0</v>
      </c>
      <c r="AW144" s="236"/>
      <c r="AX144" s="285">
        <f t="shared" si="260"/>
        <v>0</v>
      </c>
      <c r="AY144" s="236"/>
      <c r="AZ144" s="285">
        <f t="shared" si="261"/>
        <v>0</v>
      </c>
      <c r="BA144" s="241"/>
      <c r="BB144" s="285">
        <f t="shared" si="262"/>
        <v>0</v>
      </c>
      <c r="BC144" s="236"/>
      <c r="BD144" s="285">
        <f t="shared" si="263"/>
        <v>0</v>
      </c>
      <c r="BE144" s="236"/>
      <c r="BF144" s="285">
        <f t="shared" si="264"/>
        <v>0</v>
      </c>
      <c r="BG144" s="236"/>
      <c r="BH144" s="285">
        <f t="shared" si="265"/>
        <v>0</v>
      </c>
      <c r="BI144" s="236"/>
      <c r="BJ144" s="285">
        <f t="shared" si="266"/>
        <v>0</v>
      </c>
      <c r="BK144" s="236"/>
      <c r="BL144" s="266">
        <f t="shared" si="267"/>
        <v>0</v>
      </c>
      <c r="BM144" s="288"/>
      <c r="BN144" s="92">
        <f t="shared" si="268"/>
        <v>0</v>
      </c>
      <c r="BO144" s="93">
        <f t="shared" si="269"/>
        <v>0</v>
      </c>
      <c r="BP144" s="223">
        <f t="shared" si="270"/>
        <v>0</v>
      </c>
      <c r="BQ144" s="280">
        <f t="shared" si="271"/>
        <v>0</v>
      </c>
      <c r="BR144" s="34">
        <f t="shared" si="272"/>
        <v>0</v>
      </c>
    </row>
    <row r="145" spans="1:70" ht="19.5" thickBot="1" x14ac:dyDescent="0.35">
      <c r="A145" s="694"/>
      <c r="B145" s="694"/>
      <c r="C145" s="145">
        <v>2000</v>
      </c>
      <c r="D145" s="142">
        <f t="shared" si="236"/>
        <v>0</v>
      </c>
      <c r="E145" s="96">
        <f t="shared" si="237"/>
        <v>0</v>
      </c>
      <c r="F145" s="107">
        <v>20</v>
      </c>
      <c r="G145" s="96">
        <f t="shared" si="238"/>
        <v>0</v>
      </c>
      <c r="H145" s="106">
        <v>4</v>
      </c>
      <c r="I145" s="96">
        <f t="shared" si="239"/>
        <v>0</v>
      </c>
      <c r="J145" s="99">
        <f t="shared" si="274"/>
        <v>0</v>
      </c>
      <c r="K145" s="334" t="str">
        <f t="shared" si="273"/>
        <v>2000RDC15KV</v>
      </c>
      <c r="L145" s="290"/>
      <c r="M145" s="285">
        <f t="shared" si="241"/>
        <v>0</v>
      </c>
      <c r="N145" s="291"/>
      <c r="O145" s="285">
        <f t="shared" si="242"/>
        <v>0</v>
      </c>
      <c r="P145" s="291"/>
      <c r="Q145" s="285">
        <f t="shared" si="243"/>
        <v>0</v>
      </c>
      <c r="R145" s="291"/>
      <c r="S145" s="285">
        <f t="shared" si="244"/>
        <v>0</v>
      </c>
      <c r="T145" s="291"/>
      <c r="U145" s="266">
        <f t="shared" si="245"/>
        <v>0</v>
      </c>
      <c r="V145" s="291"/>
      <c r="W145" s="266">
        <f t="shared" si="246"/>
        <v>0</v>
      </c>
      <c r="X145" s="291"/>
      <c r="Y145" s="266">
        <f t="shared" si="247"/>
        <v>0</v>
      </c>
      <c r="Z145" s="291"/>
      <c r="AA145" s="266">
        <f t="shared" si="248"/>
        <v>0</v>
      </c>
      <c r="AB145" s="291"/>
      <c r="AC145" s="266">
        <f t="shared" si="249"/>
        <v>0</v>
      </c>
      <c r="AD145" s="292"/>
      <c r="AE145" s="266">
        <f t="shared" si="250"/>
        <v>0</v>
      </c>
      <c r="AF145" s="292"/>
      <c r="AG145" s="266">
        <f t="shared" si="251"/>
        <v>0</v>
      </c>
      <c r="AH145" s="292"/>
      <c r="AI145" s="266">
        <f t="shared" si="252"/>
        <v>0</v>
      </c>
      <c r="AJ145" s="292"/>
      <c r="AK145" s="266">
        <f t="shared" si="253"/>
        <v>0</v>
      </c>
      <c r="AL145" s="292"/>
      <c r="AM145" s="266">
        <f t="shared" si="254"/>
        <v>0</v>
      </c>
      <c r="AN145" s="292"/>
      <c r="AO145" s="266">
        <f t="shared" si="255"/>
        <v>0</v>
      </c>
      <c r="AP145" s="292"/>
      <c r="AQ145" s="266">
        <f t="shared" si="256"/>
        <v>0</v>
      </c>
      <c r="AR145" s="293"/>
      <c r="AS145" s="266">
        <f t="shared" si="257"/>
        <v>0</v>
      </c>
      <c r="AT145" s="287">
        <f t="shared" si="258"/>
        <v>0</v>
      </c>
      <c r="AU145" s="294"/>
      <c r="AV145" s="285">
        <f t="shared" si="259"/>
        <v>0</v>
      </c>
      <c r="AW145" s="292"/>
      <c r="AX145" s="285">
        <f t="shared" si="260"/>
        <v>0</v>
      </c>
      <c r="AY145" s="292"/>
      <c r="AZ145" s="285">
        <f t="shared" si="261"/>
        <v>0</v>
      </c>
      <c r="BA145" s="291"/>
      <c r="BB145" s="285">
        <f t="shared" si="262"/>
        <v>0</v>
      </c>
      <c r="BC145" s="292"/>
      <c r="BD145" s="285">
        <f t="shared" si="263"/>
        <v>0</v>
      </c>
      <c r="BE145" s="292"/>
      <c r="BF145" s="285">
        <f t="shared" si="264"/>
        <v>0</v>
      </c>
      <c r="BG145" s="292"/>
      <c r="BH145" s="285">
        <f t="shared" si="265"/>
        <v>0</v>
      </c>
      <c r="BI145" s="292"/>
      <c r="BJ145" s="285">
        <f t="shared" si="266"/>
        <v>0</v>
      </c>
      <c r="BK145" s="292"/>
      <c r="BL145" s="266">
        <f t="shared" si="267"/>
        <v>0</v>
      </c>
      <c r="BM145" s="293"/>
      <c r="BN145" s="92">
        <f t="shared" si="268"/>
        <v>0</v>
      </c>
      <c r="BO145" s="93">
        <f t="shared" si="269"/>
        <v>0</v>
      </c>
      <c r="BP145" s="223">
        <f t="shared" si="270"/>
        <v>0</v>
      </c>
      <c r="BQ145" s="280">
        <f t="shared" si="271"/>
        <v>0</v>
      </c>
      <c r="BR145" s="34">
        <f t="shared" si="272"/>
        <v>0</v>
      </c>
    </row>
    <row r="149" spans="1:70" x14ac:dyDescent="0.3">
      <c r="U149" s="26"/>
      <c r="V149" s="191"/>
      <c r="W149" s="26"/>
      <c r="X149" s="191"/>
      <c r="Y149" s="26"/>
      <c r="Z149" s="117"/>
      <c r="AA149" s="26"/>
      <c r="AB149" s="117"/>
      <c r="AC149" s="26"/>
      <c r="AD149" s="191"/>
      <c r="AE149" s="26"/>
      <c r="AF149" s="191"/>
      <c r="AH149" s="191"/>
      <c r="AR149" s="115"/>
      <c r="AU149" s="80"/>
      <c r="AV149" s="26"/>
      <c r="AW149" s="191"/>
      <c r="AX149" s="26"/>
      <c r="AY149" s="191"/>
      <c r="AZ149" s="26"/>
      <c r="BA149" s="191"/>
      <c r="BB149" s="26"/>
      <c r="BC149" s="191"/>
      <c r="BD149" s="26"/>
      <c r="BE149" s="191"/>
      <c r="BF149" s="26"/>
      <c r="BG149" s="191"/>
      <c r="BH149" s="26"/>
      <c r="BI149" s="191"/>
      <c r="BJ149" s="26"/>
      <c r="BK149" s="191"/>
      <c r="BL149" s="26"/>
      <c r="BM149" s="192"/>
      <c r="BN149" s="26"/>
      <c r="BP149" s="26"/>
    </row>
    <row r="150" spans="1:70" x14ac:dyDescent="0.3">
      <c r="U150" s="26"/>
      <c r="V150" s="191"/>
      <c r="W150" s="26"/>
      <c r="X150" s="191"/>
      <c r="Y150" s="26"/>
      <c r="Z150" s="117"/>
      <c r="AA150" s="26"/>
      <c r="AB150" s="117"/>
      <c r="AC150" s="26"/>
      <c r="AD150" s="191"/>
      <c r="AE150" s="26"/>
      <c r="AF150" s="191"/>
      <c r="AH150" s="191"/>
      <c r="AR150" s="115"/>
      <c r="AU150" s="80"/>
      <c r="AV150" s="26"/>
      <c r="AW150" s="191"/>
      <c r="AX150" s="26"/>
      <c r="AY150" s="191"/>
      <c r="AZ150" s="26"/>
      <c r="BA150" s="191"/>
      <c r="BB150" s="26"/>
      <c r="BC150" s="191"/>
      <c r="BD150" s="26"/>
      <c r="BE150" s="191"/>
      <c r="BF150" s="26"/>
      <c r="BG150" s="191"/>
      <c r="BH150" s="26"/>
      <c r="BI150" s="191"/>
      <c r="BJ150" s="26"/>
      <c r="BK150" s="191"/>
      <c r="BL150" s="26"/>
      <c r="BM150" s="192"/>
      <c r="BN150" s="26"/>
      <c r="BP150" s="26"/>
    </row>
    <row r="151" spans="1:70" ht="18.75" customHeight="1" x14ac:dyDescent="0.3">
      <c r="U151" s="26"/>
      <c r="V151" s="191"/>
      <c r="W151" s="26"/>
      <c r="X151" s="191"/>
      <c r="Y151" s="26"/>
      <c r="Z151" s="117"/>
      <c r="AA151" s="26"/>
      <c r="AB151" s="117"/>
      <c r="AC151" s="26"/>
      <c r="AD151" s="191"/>
      <c r="AE151" s="26"/>
      <c r="AF151" s="191"/>
      <c r="AH151" s="191"/>
      <c r="AR151" s="115"/>
      <c r="AU151" s="80"/>
      <c r="AV151" s="26"/>
      <c r="AW151" s="191"/>
      <c r="AX151" s="26"/>
      <c r="AY151" s="191"/>
      <c r="AZ151" s="26"/>
      <c r="BA151" s="191"/>
      <c r="BB151" s="26"/>
      <c r="BC151" s="191"/>
      <c r="BD151" s="26"/>
      <c r="BE151" s="191"/>
      <c r="BF151" s="26"/>
      <c r="BG151" s="191"/>
      <c r="BH151" s="26"/>
      <c r="BI151" s="191"/>
      <c r="BJ151" s="26"/>
      <c r="BK151" s="191"/>
      <c r="BL151" s="26"/>
      <c r="BM151" s="192"/>
      <c r="BN151" s="26"/>
      <c r="BP151" s="26"/>
    </row>
    <row r="152" spans="1:70" ht="18.75" customHeight="1" x14ac:dyDescent="0.3">
      <c r="U152" s="26"/>
      <c r="V152" s="191"/>
      <c r="W152" s="26"/>
      <c r="X152" s="191"/>
      <c r="Y152" s="26"/>
      <c r="Z152" s="117"/>
      <c r="AA152" s="26"/>
      <c r="AB152" s="117"/>
      <c r="AC152" s="26"/>
      <c r="AD152" s="191"/>
      <c r="AE152" s="26"/>
      <c r="AF152" s="191"/>
      <c r="AH152" s="191"/>
      <c r="AR152" s="115"/>
      <c r="AU152" s="80"/>
      <c r="AV152" s="26"/>
      <c r="AW152" s="191"/>
      <c r="AX152" s="26"/>
      <c r="AY152" s="191"/>
      <c r="AZ152" s="26"/>
      <c r="BA152" s="191"/>
      <c r="BB152" s="26"/>
      <c r="BC152" s="191"/>
      <c r="BD152" s="26"/>
      <c r="BE152" s="191"/>
      <c r="BF152" s="26"/>
      <c r="BG152" s="191"/>
      <c r="BH152" s="26"/>
      <c r="BI152" s="191"/>
      <c r="BJ152" s="26"/>
      <c r="BK152" s="191"/>
      <c r="BL152" s="26"/>
      <c r="BM152" s="192"/>
      <c r="BN152" s="26"/>
      <c r="BP152" s="26"/>
    </row>
    <row r="153" spans="1:70" ht="18.75" customHeight="1" x14ac:dyDescent="0.3">
      <c r="U153" s="26"/>
      <c r="V153" s="191"/>
      <c r="W153" s="26"/>
      <c r="X153" s="191"/>
      <c r="Y153" s="26"/>
      <c r="Z153" s="117"/>
      <c r="AA153" s="26"/>
      <c r="AB153" s="117"/>
      <c r="AC153" s="26"/>
      <c r="AD153" s="191"/>
      <c r="AE153" s="26"/>
      <c r="AF153" s="191"/>
      <c r="AH153" s="191"/>
      <c r="AR153" s="115"/>
      <c r="AU153" s="80"/>
      <c r="AV153" s="26"/>
      <c r="AW153" s="191"/>
      <c r="AX153" s="26"/>
      <c r="AY153" s="191"/>
      <c r="AZ153" s="26"/>
      <c r="BA153" s="191"/>
      <c r="BB153" s="26"/>
      <c r="BC153" s="191"/>
      <c r="BD153" s="26"/>
      <c r="BE153" s="191"/>
      <c r="BF153" s="26"/>
      <c r="BG153" s="191"/>
      <c r="BH153" s="26"/>
      <c r="BI153" s="191"/>
      <c r="BJ153" s="26"/>
      <c r="BK153" s="191"/>
      <c r="BL153" s="26"/>
      <c r="BM153" s="192"/>
      <c r="BN153" s="26"/>
      <c r="BP153" s="26"/>
    </row>
    <row r="154" spans="1:70" ht="18.75" customHeight="1" x14ac:dyDescent="0.3">
      <c r="U154" s="26"/>
      <c r="V154" s="191"/>
      <c r="W154" s="26"/>
      <c r="X154" s="191"/>
      <c r="Y154" s="26"/>
      <c r="Z154" s="117"/>
      <c r="AA154" s="26"/>
      <c r="AB154" s="117"/>
      <c r="AC154" s="26"/>
      <c r="AD154" s="191"/>
      <c r="AE154" s="26"/>
      <c r="AF154" s="191"/>
      <c r="AH154" s="191"/>
      <c r="AR154" s="115"/>
      <c r="AU154" s="80"/>
      <c r="AV154" s="26"/>
      <c r="AW154" s="191"/>
      <c r="AX154" s="26"/>
      <c r="AY154" s="191"/>
      <c r="AZ154" s="26"/>
      <c r="BA154" s="191"/>
      <c r="BB154" s="26"/>
      <c r="BC154" s="191"/>
      <c r="BD154" s="26"/>
      <c r="BE154" s="191"/>
      <c r="BF154" s="26"/>
      <c r="BG154" s="191"/>
      <c r="BH154" s="26"/>
      <c r="BI154" s="191"/>
      <c r="BJ154" s="26"/>
      <c r="BK154" s="191"/>
      <c r="BL154" s="26"/>
      <c r="BM154" s="192"/>
      <c r="BN154" s="26"/>
      <c r="BP154" s="26"/>
    </row>
    <row r="155" spans="1:70" ht="18.75" customHeight="1" x14ac:dyDescent="0.3">
      <c r="U155" s="26"/>
      <c r="V155" s="191"/>
      <c r="W155" s="26"/>
      <c r="X155" s="191"/>
      <c r="Y155" s="26"/>
      <c r="Z155" s="117"/>
      <c r="AA155" s="26"/>
      <c r="AB155" s="117"/>
      <c r="AC155" s="26"/>
      <c r="AD155" s="191"/>
      <c r="AE155" s="26"/>
      <c r="AF155" s="191"/>
      <c r="AH155" s="191"/>
      <c r="AR155" s="115"/>
      <c r="AU155" s="80"/>
      <c r="AV155" s="26"/>
      <c r="AW155" s="191"/>
      <c r="AX155" s="26"/>
      <c r="AY155" s="191"/>
      <c r="AZ155" s="26"/>
      <c r="BA155" s="191"/>
      <c r="BB155" s="26"/>
      <c r="BC155" s="191"/>
      <c r="BD155" s="26"/>
      <c r="BE155" s="191"/>
      <c r="BF155" s="26"/>
      <c r="BG155" s="191"/>
      <c r="BH155" s="26"/>
      <c r="BI155" s="191"/>
      <c r="BJ155" s="26"/>
      <c r="BK155" s="191"/>
      <c r="BL155" s="26"/>
      <c r="BM155" s="192"/>
      <c r="BN155" s="26"/>
      <c r="BP155" s="26"/>
    </row>
    <row r="156" spans="1:70" ht="18.75" customHeight="1" x14ac:dyDescent="0.3">
      <c r="U156" s="26"/>
      <c r="V156" s="191"/>
      <c r="W156" s="26"/>
      <c r="X156" s="191"/>
      <c r="Y156" s="26"/>
      <c r="Z156" s="117"/>
      <c r="AA156" s="26"/>
      <c r="AB156" s="117"/>
      <c r="AC156" s="26"/>
      <c r="AD156" s="191"/>
      <c r="AE156" s="26"/>
      <c r="AF156" s="191"/>
      <c r="AH156" s="191"/>
      <c r="AR156" s="115"/>
      <c r="AU156" s="80"/>
      <c r="AV156" s="26"/>
      <c r="AW156" s="191"/>
      <c r="AX156" s="26"/>
      <c r="AY156" s="191"/>
      <c r="AZ156" s="26"/>
      <c r="BA156" s="191"/>
      <c r="BB156" s="26"/>
      <c r="BC156" s="191"/>
      <c r="BD156" s="26"/>
      <c r="BE156" s="191"/>
      <c r="BF156" s="26"/>
      <c r="BG156" s="191"/>
      <c r="BH156" s="26"/>
      <c r="BI156" s="191"/>
      <c r="BJ156" s="26"/>
      <c r="BK156" s="191"/>
      <c r="BL156" s="26"/>
      <c r="BM156" s="192"/>
      <c r="BN156" s="26"/>
      <c r="BP156" s="26"/>
    </row>
    <row r="157" spans="1:70" ht="18.75" customHeight="1" x14ac:dyDescent="0.3">
      <c r="U157" s="26"/>
      <c r="V157" s="191"/>
      <c r="W157" s="26"/>
      <c r="X157" s="191"/>
      <c r="Y157" s="26"/>
      <c r="Z157" s="117"/>
      <c r="AA157" s="26"/>
      <c r="AB157" s="117"/>
      <c r="AC157" s="26"/>
      <c r="AD157" s="191"/>
      <c r="AE157" s="26"/>
      <c r="AF157" s="191"/>
      <c r="AH157" s="191"/>
      <c r="AR157" s="115"/>
      <c r="AU157" s="80"/>
      <c r="AV157" s="26"/>
      <c r="AW157" s="191"/>
      <c r="AX157" s="26"/>
      <c r="AY157" s="191"/>
      <c r="AZ157" s="26"/>
      <c r="BA157" s="191"/>
      <c r="BB157" s="26"/>
      <c r="BC157" s="191"/>
      <c r="BD157" s="26"/>
      <c r="BE157" s="191"/>
      <c r="BF157" s="26"/>
      <c r="BG157" s="191"/>
      <c r="BH157" s="26"/>
      <c r="BI157" s="191"/>
      <c r="BJ157" s="26"/>
      <c r="BK157" s="191"/>
      <c r="BL157" s="26"/>
      <c r="BM157" s="192"/>
      <c r="BN157" s="26"/>
      <c r="BP157" s="26"/>
    </row>
    <row r="158" spans="1:70" ht="18.75" customHeight="1" x14ac:dyDescent="0.3">
      <c r="U158" s="26"/>
      <c r="V158" s="191"/>
      <c r="W158" s="26"/>
      <c r="X158" s="191"/>
      <c r="Y158" s="26"/>
      <c r="Z158" s="117"/>
      <c r="AA158" s="26"/>
      <c r="AB158" s="117"/>
      <c r="AC158" s="26"/>
      <c r="AD158" s="191"/>
      <c r="AE158" s="26"/>
      <c r="AF158" s="191"/>
      <c r="AH158" s="191"/>
      <c r="AR158" s="115"/>
      <c r="AT158" s="80"/>
      <c r="BH158" s="89"/>
      <c r="BJ158" s="26"/>
      <c r="BL158" s="26"/>
      <c r="BN158" s="26"/>
      <c r="BP158" s="26"/>
    </row>
    <row r="159" spans="1:70" ht="18.75" customHeight="1" x14ac:dyDescent="0.3">
      <c r="U159" s="26"/>
      <c r="V159" s="191"/>
      <c r="W159" s="26"/>
      <c r="X159" s="191"/>
      <c r="Y159" s="26"/>
      <c r="Z159" s="117"/>
      <c r="AA159" s="26"/>
      <c r="AB159" s="117"/>
      <c r="AC159" s="26"/>
      <c r="AD159" s="191"/>
      <c r="AE159" s="26"/>
      <c r="AF159" s="191"/>
      <c r="AH159" s="191"/>
      <c r="AR159" s="115"/>
      <c r="AT159" s="80"/>
      <c r="BH159" s="89"/>
      <c r="BJ159" s="26"/>
      <c r="BL159" s="26"/>
      <c r="BN159" s="26"/>
      <c r="BP159" s="26"/>
    </row>
    <row r="160" spans="1:70" ht="18.75" customHeight="1" x14ac:dyDescent="0.3">
      <c r="U160" s="26"/>
      <c r="V160" s="191"/>
      <c r="W160" s="26"/>
      <c r="X160" s="191"/>
      <c r="Y160" s="26"/>
      <c r="Z160" s="117"/>
      <c r="AA160" s="26"/>
      <c r="AB160" s="117"/>
      <c r="AC160" s="26"/>
      <c r="AD160" s="191"/>
      <c r="AE160" s="26"/>
      <c r="AF160" s="191"/>
      <c r="AH160" s="191"/>
      <c r="AR160" s="115"/>
      <c r="AT160" s="80"/>
      <c r="BH160" s="89"/>
      <c r="BJ160" s="26"/>
      <c r="BL160" s="26"/>
      <c r="BN160" s="26"/>
      <c r="BP160" s="26"/>
    </row>
    <row r="161" spans="21:68" ht="18.75" customHeight="1" x14ac:dyDescent="0.3">
      <c r="U161" s="26"/>
      <c r="V161" s="191"/>
      <c r="W161" s="26"/>
      <c r="X161" s="191"/>
      <c r="Y161" s="26"/>
      <c r="Z161" s="117"/>
      <c r="AA161" s="26"/>
      <c r="AB161" s="117"/>
      <c r="AC161" s="26"/>
      <c r="AD161" s="191"/>
      <c r="AE161" s="26"/>
      <c r="AF161" s="191"/>
      <c r="AH161" s="191"/>
      <c r="AR161" s="115"/>
      <c r="AT161" s="80"/>
      <c r="BH161" s="89"/>
      <c r="BJ161" s="26"/>
      <c r="BL161" s="26"/>
      <c r="BN161" s="26"/>
      <c r="BP161" s="26"/>
    </row>
    <row r="162" spans="21:68" ht="18.75" customHeight="1" x14ac:dyDescent="0.3">
      <c r="U162" s="26"/>
      <c r="V162" s="191"/>
      <c r="W162" s="26"/>
      <c r="X162" s="191"/>
      <c r="Y162" s="26"/>
      <c r="Z162" s="117"/>
      <c r="AA162" s="26"/>
      <c r="AB162" s="117"/>
      <c r="AC162" s="26"/>
      <c r="AD162" s="191"/>
      <c r="AE162" s="26"/>
      <c r="AF162" s="191"/>
      <c r="AH162" s="191"/>
      <c r="AR162" s="115"/>
      <c r="AT162" s="80"/>
      <c r="BH162" s="89"/>
      <c r="BJ162" s="26"/>
      <c r="BL162" s="26"/>
      <c r="BN162" s="26"/>
      <c r="BP162" s="26"/>
    </row>
    <row r="163" spans="21:68" ht="18.75" customHeight="1" x14ac:dyDescent="0.3">
      <c r="U163" s="26"/>
      <c r="V163" s="191"/>
      <c r="W163" s="26"/>
      <c r="X163" s="191"/>
      <c r="Y163" s="26"/>
      <c r="Z163" s="117"/>
      <c r="AA163" s="26"/>
      <c r="AB163" s="117"/>
      <c r="AC163" s="26"/>
      <c r="AD163" s="191"/>
      <c r="AE163" s="26"/>
      <c r="AF163" s="191"/>
      <c r="AH163" s="191"/>
      <c r="AR163" s="115"/>
      <c r="AT163" s="80"/>
      <c r="BH163" s="89"/>
      <c r="BJ163" s="26"/>
      <c r="BL163" s="26"/>
      <c r="BN163" s="26"/>
      <c r="BP163" s="26"/>
    </row>
    <row r="164" spans="21:68" ht="18.75" customHeight="1" x14ac:dyDescent="0.3">
      <c r="U164" s="26"/>
      <c r="V164" s="191"/>
      <c r="W164" s="26"/>
      <c r="X164" s="191"/>
      <c r="Y164" s="26"/>
      <c r="Z164" s="117"/>
      <c r="AA164" s="26"/>
      <c r="AB164" s="117"/>
      <c r="AC164" s="26"/>
      <c r="AD164" s="191"/>
      <c r="AE164" s="26"/>
      <c r="AF164" s="191"/>
      <c r="AH164" s="191"/>
      <c r="AR164" s="115"/>
      <c r="AT164" s="80"/>
      <c r="BH164" s="89"/>
      <c r="BJ164" s="26"/>
      <c r="BL164" s="26"/>
      <c r="BN164" s="26"/>
      <c r="BP164" s="26"/>
    </row>
    <row r="165" spans="21:68" ht="18.75" customHeight="1" x14ac:dyDescent="0.3">
      <c r="U165" s="26"/>
      <c r="V165" s="191"/>
      <c r="W165" s="26"/>
      <c r="X165" s="191"/>
      <c r="Y165" s="26"/>
      <c r="Z165" s="117"/>
      <c r="AA165" s="26"/>
      <c r="AB165" s="117"/>
      <c r="AC165" s="26"/>
      <c r="AD165" s="191"/>
      <c r="AE165" s="26"/>
      <c r="AF165" s="191"/>
      <c r="AH165" s="191"/>
      <c r="AR165" s="115"/>
      <c r="AT165" s="80"/>
      <c r="BH165" s="89"/>
      <c r="BJ165" s="26"/>
      <c r="BL165" s="26"/>
      <c r="BN165" s="26"/>
      <c r="BP165" s="26"/>
    </row>
    <row r="166" spans="21:68" ht="18.75" customHeight="1" x14ac:dyDescent="0.3">
      <c r="U166" s="26"/>
      <c r="V166" s="191"/>
      <c r="W166" s="26"/>
      <c r="X166" s="191"/>
      <c r="Y166" s="26"/>
      <c r="Z166" s="117"/>
      <c r="AA166" s="26"/>
      <c r="AB166" s="117"/>
      <c r="AC166" s="26"/>
      <c r="AD166" s="191"/>
      <c r="AE166" s="26"/>
      <c r="AF166" s="191"/>
      <c r="AH166" s="191"/>
      <c r="AR166" s="115"/>
      <c r="AT166" s="80"/>
      <c r="BH166" s="89"/>
      <c r="BJ166" s="26"/>
      <c r="BL166" s="26"/>
      <c r="BN166" s="26"/>
      <c r="BP166" s="26"/>
    </row>
    <row r="167" spans="21:68" ht="18.75" customHeight="1" x14ac:dyDescent="0.3">
      <c r="U167" s="26"/>
      <c r="V167" s="191"/>
      <c r="W167" s="26"/>
      <c r="X167" s="191"/>
      <c r="Y167" s="26"/>
      <c r="Z167" s="117"/>
      <c r="AA167" s="26"/>
      <c r="AB167" s="117"/>
      <c r="AC167" s="26"/>
      <c r="AD167" s="191"/>
      <c r="AE167" s="26"/>
      <c r="AF167" s="191"/>
      <c r="AH167" s="191"/>
      <c r="AR167" s="115"/>
      <c r="AT167" s="80"/>
      <c r="BH167" s="89"/>
      <c r="BJ167" s="26"/>
      <c r="BL167" s="26"/>
      <c r="BN167" s="26"/>
      <c r="BP167" s="26"/>
    </row>
    <row r="168" spans="21:68" ht="18.75" customHeight="1" x14ac:dyDescent="0.3">
      <c r="U168" s="26"/>
      <c r="V168" s="191"/>
      <c r="W168" s="26"/>
      <c r="X168" s="191"/>
      <c r="Y168" s="26"/>
      <c r="Z168" s="117"/>
      <c r="AA168" s="26"/>
      <c r="AB168" s="117"/>
      <c r="AC168" s="26"/>
      <c r="AD168" s="191"/>
      <c r="AE168" s="26"/>
      <c r="AF168" s="191"/>
      <c r="AH168" s="191"/>
      <c r="AR168" s="115"/>
      <c r="AT168" s="80"/>
      <c r="BH168" s="89"/>
      <c r="BJ168" s="26"/>
      <c r="BL168" s="26"/>
      <c r="BN168" s="26"/>
      <c r="BP168" s="26"/>
    </row>
    <row r="169" spans="21:68" x14ac:dyDescent="0.3">
      <c r="U169" s="26"/>
      <c r="V169" s="191"/>
      <c r="W169" s="26"/>
      <c r="X169" s="191"/>
      <c r="Y169" s="26"/>
      <c r="Z169" s="117"/>
      <c r="AA169" s="26"/>
      <c r="AB169" s="117"/>
      <c r="AC169" s="26"/>
      <c r="AD169" s="191"/>
      <c r="AE169" s="26"/>
      <c r="AF169" s="191"/>
      <c r="AH169" s="191"/>
      <c r="AR169" s="115"/>
      <c r="AT169" s="80"/>
      <c r="BH169" s="89"/>
      <c r="BJ169" s="26"/>
      <c r="BL169" s="26"/>
      <c r="BN169" s="26"/>
      <c r="BP169" s="26"/>
    </row>
    <row r="170" spans="21:68" x14ac:dyDescent="0.3">
      <c r="AU170" s="80"/>
      <c r="AV170" s="26"/>
      <c r="AW170" s="191"/>
      <c r="AX170" s="26"/>
      <c r="AY170" s="191"/>
      <c r="AZ170" s="26"/>
      <c r="BA170" s="191"/>
      <c r="BB170" s="26"/>
      <c r="BC170" s="191"/>
      <c r="BD170" s="26"/>
      <c r="BE170" s="191"/>
      <c r="BF170" s="26"/>
      <c r="BG170" s="191"/>
      <c r="BH170" s="26"/>
      <c r="BI170" s="191"/>
      <c r="BJ170" s="26"/>
      <c r="BK170" s="192"/>
      <c r="BL170" s="26"/>
      <c r="BN170" s="26"/>
      <c r="BP170" s="26"/>
    </row>
    <row r="171" spans="21:68" x14ac:dyDescent="0.3">
      <c r="AU171" s="80"/>
      <c r="AV171" s="26"/>
      <c r="AW171" s="191"/>
      <c r="AX171" s="26"/>
      <c r="AY171" s="191"/>
      <c r="AZ171" s="26"/>
      <c r="BA171" s="191"/>
      <c r="BB171" s="26"/>
      <c r="BC171" s="191"/>
      <c r="BD171" s="26"/>
      <c r="BE171" s="191"/>
      <c r="BF171" s="26"/>
      <c r="BG171" s="191"/>
      <c r="BH171" s="26"/>
      <c r="BI171" s="191"/>
      <c r="BJ171" s="26"/>
      <c r="BK171" s="192"/>
      <c r="BL171" s="26"/>
      <c r="BN171" s="26"/>
      <c r="BP171" s="26"/>
    </row>
    <row r="172" spans="21:68" x14ac:dyDescent="0.3">
      <c r="AU172" s="80"/>
      <c r="AV172" s="26"/>
      <c r="AW172" s="191"/>
      <c r="AX172" s="26"/>
      <c r="AY172" s="191"/>
      <c r="AZ172" s="26"/>
      <c r="BA172" s="191"/>
      <c r="BB172" s="26"/>
      <c r="BC172" s="191"/>
      <c r="BD172" s="26"/>
      <c r="BE172" s="191"/>
      <c r="BF172" s="26"/>
      <c r="BG172" s="191"/>
      <c r="BH172" s="26"/>
      <c r="BI172" s="191"/>
      <c r="BJ172" s="26"/>
      <c r="BK172" s="192"/>
      <c r="BL172" s="26"/>
      <c r="BN172" s="26"/>
      <c r="BP172" s="26"/>
    </row>
    <row r="173" spans="21:68" x14ac:dyDescent="0.3">
      <c r="AU173" s="80"/>
      <c r="AV173" s="26"/>
      <c r="AW173" s="191"/>
      <c r="AX173" s="26"/>
      <c r="AY173" s="191"/>
      <c r="AZ173" s="26"/>
      <c r="BA173" s="191"/>
      <c r="BB173" s="26"/>
      <c r="BC173" s="191"/>
      <c r="BD173" s="26"/>
      <c r="BE173" s="191"/>
      <c r="BF173" s="26"/>
      <c r="BG173" s="191"/>
      <c r="BH173" s="26"/>
      <c r="BI173" s="191"/>
      <c r="BJ173" s="26"/>
      <c r="BK173" s="192"/>
      <c r="BL173" s="26"/>
      <c r="BN173" s="26"/>
      <c r="BP173" s="26"/>
    </row>
    <row r="174" spans="21:68" x14ac:dyDescent="0.3">
      <c r="AU174" s="80"/>
      <c r="AV174" s="26"/>
      <c r="AW174" s="191"/>
      <c r="AX174" s="26"/>
      <c r="AY174" s="191"/>
      <c r="AZ174" s="26"/>
      <c r="BA174" s="191"/>
      <c r="BB174" s="26"/>
      <c r="BC174" s="191"/>
      <c r="BD174" s="26"/>
      <c r="BE174" s="191"/>
      <c r="BF174" s="26"/>
      <c r="BG174" s="191"/>
      <c r="BH174" s="26"/>
      <c r="BI174" s="191"/>
      <c r="BJ174" s="26"/>
      <c r="BK174" s="192"/>
      <c r="BL174" s="26"/>
      <c r="BN174" s="26"/>
      <c r="BP174" s="26"/>
    </row>
    <row r="175" spans="21:68" x14ac:dyDescent="0.3">
      <c r="AU175" s="80"/>
      <c r="AV175" s="26"/>
      <c r="AW175" s="191"/>
      <c r="AX175" s="26"/>
      <c r="AY175" s="191"/>
      <c r="AZ175" s="26"/>
      <c r="BA175" s="191"/>
      <c r="BB175" s="26"/>
      <c r="BC175" s="191"/>
      <c r="BD175" s="26"/>
      <c r="BE175" s="191"/>
      <c r="BF175" s="26"/>
      <c r="BG175" s="191"/>
      <c r="BH175" s="26"/>
      <c r="BI175" s="191"/>
      <c r="BJ175" s="26"/>
      <c r="BK175" s="192"/>
      <c r="BL175" s="26"/>
      <c r="BN175" s="26"/>
      <c r="BP175" s="26"/>
    </row>
    <row r="176" spans="21:68" x14ac:dyDescent="0.3">
      <c r="AU176" s="80"/>
      <c r="AV176" s="26"/>
      <c r="AW176" s="191"/>
      <c r="AX176" s="26"/>
      <c r="AY176" s="191"/>
      <c r="AZ176" s="26"/>
      <c r="BA176" s="191"/>
      <c r="BB176" s="26"/>
      <c r="BC176" s="191"/>
      <c r="BD176" s="26"/>
      <c r="BE176" s="191"/>
      <c r="BF176" s="26"/>
      <c r="BG176" s="191"/>
      <c r="BH176" s="26"/>
      <c r="BI176" s="191"/>
      <c r="BJ176" s="26"/>
      <c r="BK176" s="192"/>
      <c r="BL176" s="26"/>
      <c r="BN176" s="26"/>
      <c r="BP176" s="26"/>
    </row>
    <row r="177" spans="47:68" x14ac:dyDescent="0.3">
      <c r="AU177" s="80"/>
      <c r="AV177" s="26"/>
      <c r="AW177" s="191"/>
      <c r="AX177" s="26"/>
      <c r="AY177" s="191"/>
      <c r="AZ177" s="26"/>
      <c r="BA177" s="191"/>
      <c r="BB177" s="26"/>
      <c r="BC177" s="191"/>
      <c r="BD177" s="26"/>
      <c r="BE177" s="191"/>
      <c r="BF177" s="26"/>
      <c r="BG177" s="191"/>
      <c r="BH177" s="26"/>
      <c r="BI177" s="191"/>
      <c r="BJ177" s="26"/>
      <c r="BK177" s="192"/>
      <c r="BL177" s="26"/>
      <c r="BN177" s="26"/>
      <c r="BP177" s="26"/>
    </row>
    <row r="178" spans="47:68" x14ac:dyDescent="0.3">
      <c r="AU178" s="80"/>
      <c r="AV178" s="26"/>
      <c r="AW178" s="191"/>
      <c r="AX178" s="26"/>
      <c r="AY178" s="191"/>
      <c r="AZ178" s="26"/>
      <c r="BA178" s="191"/>
      <c r="BB178" s="26"/>
      <c r="BC178" s="191"/>
      <c r="BD178" s="26"/>
      <c r="BE178" s="191"/>
      <c r="BF178" s="26"/>
      <c r="BG178" s="191"/>
      <c r="BH178" s="26"/>
      <c r="BI178" s="191"/>
      <c r="BJ178" s="26"/>
      <c r="BK178" s="192"/>
      <c r="BL178" s="26"/>
      <c r="BN178" s="26"/>
      <c r="BP178" s="26"/>
    </row>
    <row r="179" spans="47:68" x14ac:dyDescent="0.3">
      <c r="AU179" s="80"/>
      <c r="AV179" s="26"/>
      <c r="AW179" s="191"/>
      <c r="AX179" s="26"/>
      <c r="AY179" s="191"/>
      <c r="AZ179" s="26"/>
      <c r="BA179" s="191"/>
      <c r="BB179" s="26"/>
      <c r="BC179" s="191"/>
      <c r="BD179" s="26"/>
      <c r="BE179" s="191"/>
      <c r="BF179" s="26"/>
      <c r="BG179" s="191"/>
      <c r="BH179" s="26"/>
      <c r="BI179" s="191"/>
      <c r="BJ179" s="26"/>
      <c r="BK179" s="192"/>
      <c r="BL179" s="26"/>
      <c r="BN179" s="26"/>
      <c r="BP179" s="26"/>
    </row>
    <row r="180" spans="47:68" x14ac:dyDescent="0.3">
      <c r="AU180" s="80"/>
      <c r="AV180" s="26"/>
      <c r="AW180" s="191"/>
      <c r="AX180" s="26"/>
      <c r="AY180" s="191"/>
      <c r="AZ180" s="26"/>
      <c r="BA180" s="191"/>
      <c r="BB180" s="26"/>
      <c r="BC180" s="191"/>
      <c r="BD180" s="26"/>
      <c r="BE180" s="191"/>
      <c r="BF180" s="26"/>
      <c r="BG180" s="191"/>
      <c r="BH180" s="26"/>
      <c r="BI180" s="191"/>
      <c r="BJ180" s="26"/>
      <c r="BK180" s="192"/>
      <c r="BL180" s="26"/>
      <c r="BN180" s="26"/>
      <c r="BP180" s="26"/>
    </row>
    <row r="181" spans="47:68" x14ac:dyDescent="0.3">
      <c r="AU181" s="80"/>
      <c r="AV181" s="26"/>
      <c r="AW181" s="191"/>
      <c r="AX181" s="26"/>
      <c r="AY181" s="191"/>
      <c r="AZ181" s="26"/>
      <c r="BA181" s="191"/>
      <c r="BB181" s="26"/>
      <c r="BC181" s="191"/>
      <c r="BD181" s="26"/>
      <c r="BE181" s="191"/>
      <c r="BF181" s="26"/>
      <c r="BG181" s="191"/>
      <c r="BH181" s="26"/>
      <c r="BI181" s="191"/>
      <c r="BJ181" s="26"/>
      <c r="BK181" s="192"/>
      <c r="BL181" s="26"/>
      <c r="BN181" s="26"/>
      <c r="BP181" s="26"/>
    </row>
    <row r="182" spans="47:68" x14ac:dyDescent="0.3">
      <c r="AU182" s="80"/>
      <c r="AV182" s="26"/>
      <c r="AW182" s="191"/>
      <c r="AX182" s="26"/>
      <c r="AY182" s="191"/>
      <c r="AZ182" s="26"/>
      <c r="BA182" s="191"/>
      <c r="BB182" s="26"/>
      <c r="BC182" s="191"/>
      <c r="BD182" s="26"/>
      <c r="BE182" s="191"/>
      <c r="BF182" s="26"/>
      <c r="BG182" s="191"/>
      <c r="BH182" s="26"/>
      <c r="BI182" s="191"/>
      <c r="BJ182" s="26"/>
      <c r="BK182" s="192"/>
      <c r="BL182" s="26"/>
      <c r="BN182" s="26"/>
      <c r="BP182" s="26"/>
    </row>
    <row r="183" spans="47:68" x14ac:dyDescent="0.3">
      <c r="AU183" s="80"/>
      <c r="AV183" s="26"/>
      <c r="AW183" s="191"/>
      <c r="AX183" s="26"/>
      <c r="AY183" s="191"/>
      <c r="AZ183" s="26"/>
      <c r="BA183" s="191"/>
      <c r="BB183" s="26"/>
      <c r="BC183" s="191"/>
      <c r="BD183" s="26"/>
      <c r="BE183" s="191"/>
      <c r="BF183" s="26"/>
      <c r="BG183" s="191"/>
      <c r="BH183" s="26"/>
      <c r="BI183" s="191"/>
      <c r="BJ183" s="26"/>
      <c r="BK183" s="192"/>
      <c r="BL183" s="26"/>
      <c r="BN183" s="26"/>
      <c r="BP183" s="26"/>
    </row>
    <row r="184" spans="47:68" x14ac:dyDescent="0.3">
      <c r="AU184" s="80"/>
      <c r="AV184" s="26"/>
      <c r="AW184" s="191"/>
      <c r="AX184" s="26"/>
      <c r="AY184" s="191"/>
      <c r="AZ184" s="26"/>
      <c r="BA184" s="191"/>
      <c r="BB184" s="26"/>
      <c r="BC184" s="191"/>
      <c r="BD184" s="26"/>
      <c r="BE184" s="191"/>
      <c r="BF184" s="26"/>
      <c r="BG184" s="191"/>
      <c r="BH184" s="26"/>
      <c r="BI184" s="191"/>
      <c r="BJ184" s="26"/>
      <c r="BK184" s="192"/>
      <c r="BL184" s="26"/>
      <c r="BN184" s="26"/>
      <c r="BP184" s="26"/>
    </row>
    <row r="185" spans="47:68" x14ac:dyDescent="0.3">
      <c r="AU185" s="80"/>
      <c r="AV185" s="26"/>
      <c r="AW185" s="191"/>
      <c r="AX185" s="26"/>
      <c r="AY185" s="191"/>
      <c r="AZ185" s="26"/>
      <c r="BA185" s="191"/>
      <c r="BB185" s="26"/>
      <c r="BC185" s="191"/>
      <c r="BD185" s="26"/>
      <c r="BE185" s="191"/>
      <c r="BF185" s="26"/>
      <c r="BG185" s="191"/>
      <c r="BH185" s="26"/>
      <c r="BI185" s="191"/>
      <c r="BJ185" s="26"/>
      <c r="BK185" s="192"/>
      <c r="BL185" s="26"/>
      <c r="BN185" s="26"/>
      <c r="BP185" s="26"/>
    </row>
  </sheetData>
  <sheetProtection selectLockedCells="1"/>
  <mergeCells count="87">
    <mergeCell ref="A22:A38"/>
    <mergeCell ref="B22:B38"/>
    <mergeCell ref="A39:A55"/>
    <mergeCell ref="B39:B55"/>
    <mergeCell ref="BP2:BP5"/>
    <mergeCell ref="BI3:BJ3"/>
    <mergeCell ref="AJ4:AJ5"/>
    <mergeCell ref="K2:K5"/>
    <mergeCell ref="AN4:AN5"/>
    <mergeCell ref="AF3:AG3"/>
    <mergeCell ref="AU3:AV3"/>
    <mergeCell ref="AH3:AI3"/>
    <mergeCell ref="R4:R5"/>
    <mergeCell ref="AY3:AZ3"/>
    <mergeCell ref="BA3:BB3"/>
    <mergeCell ref="BC3:BD3"/>
    <mergeCell ref="D3:E3"/>
    <mergeCell ref="F3:G3"/>
    <mergeCell ref="H3:I3"/>
    <mergeCell ref="J3:J5"/>
    <mergeCell ref="T3:U3"/>
    <mergeCell ref="D4:D5"/>
    <mergeCell ref="P4:P5"/>
    <mergeCell ref="BK4:BK5"/>
    <mergeCell ref="AN3:AO3"/>
    <mergeCell ref="AP4:AP5"/>
    <mergeCell ref="BQ2:BQ5"/>
    <mergeCell ref="V3:W3"/>
    <mergeCell ref="X3:Y3"/>
    <mergeCell ref="AD3:AE3"/>
    <mergeCell ref="AU2:BO2"/>
    <mergeCell ref="AW3:AX3"/>
    <mergeCell ref="AR4:AR5"/>
    <mergeCell ref="AU4:AU5"/>
    <mergeCell ref="BO3:BO5"/>
    <mergeCell ref="BG3:BH3"/>
    <mergeCell ref="AF4:AF5"/>
    <mergeCell ref="AH4:AH5"/>
    <mergeCell ref="AJ3:AK3"/>
    <mergeCell ref="BM4:BM5"/>
    <mergeCell ref="BA4:BA5"/>
    <mergeCell ref="BC4:BC5"/>
    <mergeCell ref="BE4:BE5"/>
    <mergeCell ref="BG4:BG5"/>
    <mergeCell ref="BI4:BI5"/>
    <mergeCell ref="BE3:BF3"/>
    <mergeCell ref="R3:S3"/>
    <mergeCell ref="AB3:AC3"/>
    <mergeCell ref="Z4:Z5"/>
    <mergeCell ref="AB4:AB5"/>
    <mergeCell ref="AD4:AD5"/>
    <mergeCell ref="V4:V5"/>
    <mergeCell ref="X4:X5"/>
    <mergeCell ref="T4:T5"/>
    <mergeCell ref="Z3:AA3"/>
    <mergeCell ref="BR2:BR5"/>
    <mergeCell ref="AL4:AL5"/>
    <mergeCell ref="A2:A5"/>
    <mergeCell ref="B2:B5"/>
    <mergeCell ref="D2:J2"/>
    <mergeCell ref="L2:AT2"/>
    <mergeCell ref="AL3:AM3"/>
    <mergeCell ref="AP3:AQ3"/>
    <mergeCell ref="AR3:AS3"/>
    <mergeCell ref="AT3:AT5"/>
    <mergeCell ref="L3:M3"/>
    <mergeCell ref="N3:O3"/>
    <mergeCell ref="BM3:BN3"/>
    <mergeCell ref="AY4:AY5"/>
    <mergeCell ref="AW4:AW5"/>
    <mergeCell ref="BK3:BL3"/>
    <mergeCell ref="C2:C5"/>
    <mergeCell ref="P3:Q3"/>
    <mergeCell ref="F4:F5"/>
    <mergeCell ref="H4:H5"/>
    <mergeCell ref="A129:A145"/>
    <mergeCell ref="B129:B145"/>
    <mergeCell ref="A73:A89"/>
    <mergeCell ref="B73:B89"/>
    <mergeCell ref="A90:A105"/>
    <mergeCell ref="B90:B105"/>
    <mergeCell ref="A6:A21"/>
    <mergeCell ref="B6:B21"/>
    <mergeCell ref="A56:A72"/>
    <mergeCell ref="B56:B72"/>
    <mergeCell ref="L4:L5"/>
    <mergeCell ref="N4:N5"/>
  </mergeCells>
  <conditionalFormatting sqref="L126:BK126 L127:AZ127 BB127:BK127">
    <cfRule type="cellIs" dxfId="1" priority="3" operator="lessThan">
      <formula>0.1</formula>
    </cfRule>
  </conditionalFormatting>
  <conditionalFormatting sqref="L128:BR128">
    <cfRule type="cellIs" dxfId="0" priority="1" operator="equal">
      <formula>0</formula>
    </cfRule>
  </conditionalFormatting>
  <pageMargins left="0.25" right="0.25" top="0.75" bottom="0.75" header="0.3" footer="0.3"/>
  <pageSetup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M18"/>
  <sheetViews>
    <sheetView workbookViewId="0">
      <selection activeCell="D3" sqref="D3"/>
    </sheetView>
  </sheetViews>
  <sheetFormatPr baseColWidth="10" defaultRowHeight="15" x14ac:dyDescent="0.25"/>
  <cols>
    <col min="1" max="1" width="17.42578125" style="26" customWidth="1"/>
    <col min="2" max="2" width="13.140625" bestFit="1" customWidth="1"/>
    <col min="7" max="7" width="16.42578125" customWidth="1"/>
    <col min="11" max="11" width="4.7109375" customWidth="1"/>
  </cols>
  <sheetData>
    <row r="2" spans="1:13" x14ac:dyDescent="0.25">
      <c r="C2" t="s">
        <v>157</v>
      </c>
      <c r="D2" t="s">
        <v>158</v>
      </c>
      <c r="E2" t="s">
        <v>11</v>
      </c>
      <c r="J2" s="447" t="s">
        <v>163</v>
      </c>
    </row>
    <row r="3" spans="1:13" x14ac:dyDescent="0.25">
      <c r="A3" s="737" t="s">
        <v>161</v>
      </c>
      <c r="B3" s="33" t="s">
        <v>151</v>
      </c>
      <c r="C3" s="33">
        <v>1.5</v>
      </c>
      <c r="D3" s="33">
        <v>7742</v>
      </c>
      <c r="E3" s="33">
        <f>+C3*D3</f>
        <v>11613</v>
      </c>
      <c r="G3" s="33" t="s">
        <v>151</v>
      </c>
      <c r="H3" s="33">
        <v>1</v>
      </c>
      <c r="I3" s="33">
        <v>6606</v>
      </c>
      <c r="J3" s="27">
        <f>+I3*H3</f>
        <v>6606</v>
      </c>
      <c r="L3">
        <v>0.25</v>
      </c>
      <c r="M3">
        <f>+I3*L3</f>
        <v>1651.5</v>
      </c>
    </row>
    <row r="4" spans="1:13" x14ac:dyDescent="0.25">
      <c r="A4" s="737"/>
      <c r="B4" s="33" t="s">
        <v>16</v>
      </c>
      <c r="C4" s="33">
        <v>4</v>
      </c>
      <c r="D4" s="33">
        <v>7742</v>
      </c>
      <c r="E4" s="33">
        <f t="shared" ref="E4:E14" si="0">+C4*D4</f>
        <v>30968</v>
      </c>
      <c r="G4" s="33" t="s">
        <v>16</v>
      </c>
      <c r="H4" s="33">
        <v>5</v>
      </c>
      <c r="I4" s="33">
        <v>6606</v>
      </c>
      <c r="J4" s="27">
        <f t="shared" ref="J4:J13" si="1">+I4*H4</f>
        <v>33030</v>
      </c>
      <c r="L4" s="448">
        <v>4.5</v>
      </c>
      <c r="M4" s="26">
        <f t="shared" ref="M4:M13" si="2">+I4*L4</f>
        <v>29727</v>
      </c>
    </row>
    <row r="5" spans="1:13" x14ac:dyDescent="0.25">
      <c r="A5" s="737"/>
      <c r="B5" s="33" t="s">
        <v>17</v>
      </c>
      <c r="C5" s="33">
        <v>0.2</v>
      </c>
      <c r="D5" s="33">
        <v>7742</v>
      </c>
      <c r="E5" s="33">
        <f t="shared" si="0"/>
        <v>1548.4</v>
      </c>
      <c r="G5" s="33" t="s">
        <v>17</v>
      </c>
      <c r="H5" s="33">
        <v>0.3</v>
      </c>
      <c r="I5" s="33">
        <v>5347</v>
      </c>
      <c r="J5" s="27">
        <f t="shared" si="1"/>
        <v>1604.1</v>
      </c>
      <c r="L5">
        <v>0.2</v>
      </c>
      <c r="M5" s="26">
        <f t="shared" si="2"/>
        <v>1069.4000000000001</v>
      </c>
    </row>
    <row r="6" spans="1:13" x14ac:dyDescent="0.25">
      <c r="A6" s="737"/>
      <c r="B6" s="33" t="s">
        <v>18</v>
      </c>
      <c r="C6" s="33">
        <v>0.4</v>
      </c>
      <c r="D6" s="33">
        <v>7406</v>
      </c>
      <c r="E6" s="33">
        <f t="shared" si="0"/>
        <v>2962.4</v>
      </c>
      <c r="G6" s="33" t="s">
        <v>18</v>
      </c>
      <c r="H6" s="33">
        <v>0.25</v>
      </c>
      <c r="I6" s="33">
        <v>6920</v>
      </c>
      <c r="J6" s="27">
        <f t="shared" si="1"/>
        <v>1730</v>
      </c>
      <c r="L6">
        <v>0.27</v>
      </c>
      <c r="M6" s="26">
        <f t="shared" si="2"/>
        <v>1868.4</v>
      </c>
    </row>
    <row r="7" spans="1:13" x14ac:dyDescent="0.25">
      <c r="A7" s="737"/>
      <c r="B7" s="33" t="s">
        <v>23</v>
      </c>
      <c r="C7" s="33">
        <v>3.3</v>
      </c>
      <c r="D7" s="33">
        <v>7405</v>
      </c>
      <c r="E7" s="33">
        <f t="shared" si="0"/>
        <v>24436.5</v>
      </c>
      <c r="G7" s="33" t="s">
        <v>23</v>
      </c>
      <c r="H7" s="33">
        <v>5</v>
      </c>
      <c r="I7" s="33">
        <v>7270</v>
      </c>
      <c r="J7" s="27">
        <f t="shared" si="1"/>
        <v>36350</v>
      </c>
      <c r="L7">
        <v>3</v>
      </c>
      <c r="M7" s="26">
        <f t="shared" si="2"/>
        <v>21810</v>
      </c>
    </row>
    <row r="8" spans="1:13" x14ac:dyDescent="0.25">
      <c r="A8" s="737"/>
      <c r="B8" s="33" t="s">
        <v>6</v>
      </c>
      <c r="C8" s="33">
        <v>25</v>
      </c>
      <c r="D8" s="33">
        <v>7406</v>
      </c>
      <c r="E8" s="33">
        <f t="shared" si="0"/>
        <v>185150</v>
      </c>
      <c r="G8" s="33" t="s">
        <v>6</v>
      </c>
      <c r="H8" s="33">
        <v>21</v>
      </c>
      <c r="I8" s="33">
        <v>7270</v>
      </c>
      <c r="J8" s="27">
        <f t="shared" si="1"/>
        <v>152670</v>
      </c>
      <c r="L8">
        <v>16.2</v>
      </c>
      <c r="M8" s="26">
        <f t="shared" si="2"/>
        <v>117774</v>
      </c>
    </row>
    <row r="9" spans="1:13" x14ac:dyDescent="0.25">
      <c r="A9" s="737"/>
      <c r="B9" s="33" t="s">
        <v>121</v>
      </c>
      <c r="C9" s="33">
        <v>12</v>
      </c>
      <c r="D9" s="33">
        <v>8080</v>
      </c>
      <c r="E9" s="33">
        <f t="shared" si="0"/>
        <v>96960</v>
      </c>
      <c r="G9" s="33" t="s">
        <v>121</v>
      </c>
      <c r="H9" s="33">
        <v>1</v>
      </c>
      <c r="I9" s="33">
        <v>7927</v>
      </c>
      <c r="J9" s="27">
        <f t="shared" si="1"/>
        <v>7927</v>
      </c>
      <c r="L9">
        <v>0.55000000000000004</v>
      </c>
      <c r="M9" s="26">
        <f t="shared" si="2"/>
        <v>4359.8500000000004</v>
      </c>
    </row>
    <row r="10" spans="1:13" x14ac:dyDescent="0.25">
      <c r="A10" s="737"/>
      <c r="B10" s="33" t="s">
        <v>25</v>
      </c>
      <c r="C10" s="33">
        <v>7.3</v>
      </c>
      <c r="D10" s="33">
        <v>8079</v>
      </c>
      <c r="E10" s="33">
        <f t="shared" si="0"/>
        <v>58976.7</v>
      </c>
      <c r="G10" s="33" t="s">
        <v>25</v>
      </c>
      <c r="H10" s="33">
        <v>12</v>
      </c>
      <c r="I10" s="33">
        <v>7927</v>
      </c>
      <c r="J10" s="27">
        <f t="shared" si="1"/>
        <v>95124</v>
      </c>
      <c r="L10">
        <v>13</v>
      </c>
      <c r="M10" s="26">
        <f t="shared" si="2"/>
        <v>103051</v>
      </c>
    </row>
    <row r="11" spans="1:13" x14ac:dyDescent="0.25">
      <c r="A11" s="737"/>
      <c r="B11" s="33" t="s">
        <v>26</v>
      </c>
      <c r="C11" s="33">
        <v>2.2999999999999998</v>
      </c>
      <c r="D11" s="33">
        <v>13500</v>
      </c>
      <c r="E11" s="33">
        <f t="shared" si="0"/>
        <v>31049.999999999996</v>
      </c>
      <c r="G11" s="33" t="s">
        <v>26</v>
      </c>
      <c r="H11" s="33">
        <v>3</v>
      </c>
      <c r="I11" s="33">
        <v>13212</v>
      </c>
      <c r="J11" s="27">
        <f t="shared" si="1"/>
        <v>39636</v>
      </c>
      <c r="L11">
        <v>3</v>
      </c>
      <c r="M11" s="26">
        <f t="shared" si="2"/>
        <v>39636</v>
      </c>
    </row>
    <row r="12" spans="1:13" x14ac:dyDescent="0.25">
      <c r="A12" s="737"/>
      <c r="B12" s="33" t="s">
        <v>10</v>
      </c>
      <c r="C12" s="33">
        <v>2.2999999999999998</v>
      </c>
      <c r="D12" s="33">
        <v>6060</v>
      </c>
      <c r="E12" s="33">
        <f t="shared" si="0"/>
        <v>13937.999999999998</v>
      </c>
      <c r="G12" s="33" t="s">
        <v>10</v>
      </c>
      <c r="H12" s="33">
        <v>3</v>
      </c>
      <c r="I12" s="33">
        <v>5977</v>
      </c>
      <c r="J12" s="27">
        <f t="shared" si="1"/>
        <v>17931</v>
      </c>
      <c r="L12">
        <v>3.5</v>
      </c>
      <c r="M12" s="26">
        <f t="shared" si="2"/>
        <v>20919.5</v>
      </c>
    </row>
    <row r="13" spans="1:13" x14ac:dyDescent="0.25">
      <c r="A13" s="737"/>
      <c r="B13" s="33" t="s">
        <v>120</v>
      </c>
      <c r="C13" s="33">
        <v>0.5</v>
      </c>
      <c r="D13" s="33">
        <v>7742</v>
      </c>
      <c r="E13" s="33">
        <f t="shared" si="0"/>
        <v>3871</v>
      </c>
      <c r="G13" s="33" t="s">
        <v>120</v>
      </c>
      <c r="H13" s="33">
        <v>1</v>
      </c>
      <c r="I13" s="33">
        <v>7550</v>
      </c>
      <c r="J13" s="27">
        <f t="shared" si="1"/>
        <v>7550</v>
      </c>
      <c r="L13">
        <v>0.5</v>
      </c>
      <c r="M13" s="26">
        <f t="shared" si="2"/>
        <v>3775</v>
      </c>
    </row>
    <row r="14" spans="1:13" x14ac:dyDescent="0.25">
      <c r="A14" s="737"/>
      <c r="B14" s="44" t="s">
        <v>156</v>
      </c>
      <c r="C14" s="44">
        <v>0</v>
      </c>
      <c r="D14" s="33">
        <v>6732</v>
      </c>
      <c r="E14" s="44">
        <f t="shared" si="0"/>
        <v>0</v>
      </c>
      <c r="H14" s="33">
        <f>SUM(H3:H13)</f>
        <v>52.55</v>
      </c>
      <c r="I14" s="33" t="s">
        <v>164</v>
      </c>
      <c r="J14" s="27">
        <f>SUM(J3:J13)</f>
        <v>400158.1</v>
      </c>
      <c r="L14">
        <f>SUM(L3:L13)</f>
        <v>44.97</v>
      </c>
      <c r="M14">
        <f>SUM(M3:M13)</f>
        <v>345641.65</v>
      </c>
    </row>
    <row r="15" spans="1:13" x14ac:dyDescent="0.25">
      <c r="B15" s="33">
        <v>6500</v>
      </c>
      <c r="C15" s="33">
        <f>SUM(C3:C14)</f>
        <v>58.79999999999999</v>
      </c>
      <c r="E15" s="33">
        <f>SUM(E3:E14)</f>
        <v>461474</v>
      </c>
      <c r="H15" s="33">
        <v>6500</v>
      </c>
      <c r="I15" s="33" t="s">
        <v>160</v>
      </c>
      <c r="J15" s="27">
        <f>+H15*H14</f>
        <v>341575</v>
      </c>
      <c r="M15">
        <f>+H15*L14</f>
        <v>292305</v>
      </c>
    </row>
    <row r="17" spans="4:5" x14ac:dyDescent="0.25">
      <c r="D17" s="33" t="s">
        <v>159</v>
      </c>
      <c r="E17" s="33">
        <f>+E15</f>
        <v>461474</v>
      </c>
    </row>
    <row r="18" spans="4:5" x14ac:dyDescent="0.25">
      <c r="D18" s="33" t="s">
        <v>160</v>
      </c>
      <c r="E18" s="33">
        <f>+C15*B15</f>
        <v>382199.99999999994</v>
      </c>
    </row>
  </sheetData>
  <mergeCells count="1">
    <mergeCell ref="A3:A1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B6" sqref="B6"/>
    </sheetView>
  </sheetViews>
  <sheetFormatPr baseColWidth="10" defaultRowHeight="15" x14ac:dyDescent="0.25"/>
  <cols>
    <col min="1" max="1" width="18.5703125" bestFit="1" customWidth="1"/>
    <col min="2" max="2" width="43.42578125" bestFit="1" customWidth="1"/>
  </cols>
  <sheetData>
    <row r="1" spans="1:2" ht="15.75" thickBot="1" x14ac:dyDescent="0.3">
      <c r="A1" s="493" t="s">
        <v>169</v>
      </c>
      <c r="B1" s="494" t="s">
        <v>170</v>
      </c>
    </row>
    <row r="2" spans="1:2" ht="15.75" thickBot="1" x14ac:dyDescent="0.3">
      <c r="A2" s="495" t="s">
        <v>6</v>
      </c>
      <c r="B2" s="496">
        <v>6310</v>
      </c>
    </row>
    <row r="3" spans="1:2" ht="15.75" thickBot="1" x14ac:dyDescent="0.3">
      <c r="A3" s="495" t="s">
        <v>25</v>
      </c>
      <c r="B3" s="496">
        <v>6737</v>
      </c>
    </row>
    <row r="4" spans="1:2" ht="15.75" thickBot="1" x14ac:dyDescent="0.3">
      <c r="A4" s="495" t="s">
        <v>171</v>
      </c>
      <c r="B4" s="496">
        <v>6300</v>
      </c>
    </row>
    <row r="5" spans="1:2" ht="15.75" thickBot="1" x14ac:dyDescent="0.3">
      <c r="A5" s="495" t="s">
        <v>121</v>
      </c>
      <c r="B5" s="496">
        <v>5370</v>
      </c>
    </row>
    <row r="6" spans="1:2" ht="15.75" thickBot="1" x14ac:dyDescent="0.3">
      <c r="A6" s="495" t="s">
        <v>122</v>
      </c>
      <c r="B6" s="496">
        <v>6921</v>
      </c>
    </row>
    <row r="7" spans="1:2" ht="15.75" thickBot="1" x14ac:dyDescent="0.3">
      <c r="A7" s="495" t="s">
        <v>26</v>
      </c>
      <c r="B7" s="496">
        <v>13213</v>
      </c>
    </row>
    <row r="8" spans="1:2" ht="15.75" thickBot="1" x14ac:dyDescent="0.3">
      <c r="A8" s="495" t="s">
        <v>10</v>
      </c>
      <c r="B8" s="496">
        <v>5757</v>
      </c>
    </row>
    <row r="9" spans="1:2" ht="15.75" thickBot="1" x14ac:dyDescent="0.3">
      <c r="A9" s="495" t="s">
        <v>172</v>
      </c>
      <c r="B9" s="496">
        <v>7226</v>
      </c>
    </row>
    <row r="10" spans="1:2" ht="15.75" thickBot="1" x14ac:dyDescent="0.3">
      <c r="A10" s="495" t="s">
        <v>173</v>
      </c>
      <c r="B10" s="496">
        <v>7078</v>
      </c>
    </row>
    <row r="11" spans="1:2" ht="15.75" thickBot="1" x14ac:dyDescent="0.3">
      <c r="A11" s="495" t="s">
        <v>174</v>
      </c>
      <c r="B11" s="496">
        <v>5348</v>
      </c>
    </row>
    <row r="12" spans="1:2" ht="15.75" thickBot="1" x14ac:dyDescent="0.3">
      <c r="A12" s="495" t="s">
        <v>17</v>
      </c>
      <c r="B12" s="496">
        <v>5647</v>
      </c>
    </row>
  </sheetData>
  <sheetProtection password="E047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CONSULTA</vt:lpstr>
      <vt:lpstr>SECOS CON CUBICULO</vt:lpstr>
      <vt:lpstr>SECOS</vt:lpstr>
      <vt:lpstr>HORAS HOMBRE</vt:lpstr>
      <vt:lpstr>Hoja1</vt:lpstr>
      <vt:lpstr>ACEITE JEISON</vt:lpstr>
      <vt:lpstr>Hoja3</vt:lpstr>
      <vt:lpstr>ACEITE</vt:lpstr>
      <vt:lpstr>AJUSTES</vt:lpstr>
      <vt:lpstr>VALOR HH</vt:lpstr>
      <vt:lpstr>'ACEITE JEISON'!Área_de_impresión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PRoduccion3</dc:creator>
  <cp:lastModifiedBy>Oscar Millan</cp:lastModifiedBy>
  <cp:lastPrinted>2017-01-03T21:00:08Z</cp:lastPrinted>
  <dcterms:created xsi:type="dcterms:W3CDTF">2015-11-10T13:34:57Z</dcterms:created>
  <dcterms:modified xsi:type="dcterms:W3CDTF">2017-08-10T21:58:49Z</dcterms:modified>
</cp:coreProperties>
</file>