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heckCompatibility="1" defaultThemeVersion="124226"/>
  <bookViews>
    <workbookView xWindow="3948" yWindow="-168" windowWidth="11364" windowHeight="9120" firstSheet="23" activeTab="26"/>
  </bookViews>
  <sheets>
    <sheet name="Description" sheetId="7" r:id="rId1"/>
    <sheet name="PlayerData" sheetId="1" r:id="rId2"/>
    <sheet name="TeamData" sheetId="2" r:id="rId3"/>
    <sheet name="Summary" sheetId="6" r:id="rId4"/>
    <sheet name="RawData" sheetId="5" r:id="rId5"/>
    <sheet name="TS Analysis" sheetId="19" r:id="rId6"/>
    <sheet name="Match predictor" sheetId="4" r:id="rId7"/>
    <sheet name="Team tool (GBK)" sheetId="14" r:id="rId8"/>
    <sheet name="Team tool (SWE)" sheetId="16" r:id="rId9"/>
    <sheet name="Ability analyser" sheetId="17" r:id="rId10"/>
    <sheet name="Coach" sheetId="22" r:id="rId11"/>
    <sheet name="Confidence" sheetId="23" r:id="rId12"/>
    <sheet name="Player tool 2" sheetId="21" r:id="rId13"/>
    <sheet name="Player Tools" sheetId="9" r:id="rId14"/>
    <sheet name="Övriga vertyg" sheetId="10" r:id="rId15"/>
    <sheet name="Parser" sheetId="8" r:id="rId16"/>
    <sheet name="Tables" sheetId="20" r:id="rId17"/>
    <sheet name="LL Player tool" sheetId="12" r:id="rId18"/>
    <sheet name="CA" sheetId="13" r:id="rId19"/>
    <sheet name="Player tool 2.0" sheetId="11" r:id="rId20"/>
    <sheet name="Salary" sheetId="18" r:id="rId21"/>
    <sheet name="Economy" sheetId="15" r:id="rId22"/>
    <sheet name="Stamina performance" sheetId="24" r:id="rId23"/>
    <sheet name="Stamina training" sheetId="25" r:id="rId24"/>
    <sheet name="Form vs Stamina" sheetId="26" r:id="rId25"/>
    <sheet name="Experience vs Form" sheetId="27" r:id="rId26"/>
    <sheet name=" Experience vs Stamina" sheetId="28" r:id="rId27"/>
  </sheets>
  <definedNames>
    <definedName name="_xlnm._FilterDatabase" localSheetId="16" hidden="1">Tables!$V$1:$V$122</definedName>
    <definedName name="Förmågenivå">Tables!$V$2:$V$122</definedName>
    <definedName name="Input">Tables!$G$17:$G$18</definedName>
  </definedNames>
  <calcPr calcId="125725"/>
</workbook>
</file>

<file path=xl/calcChain.xml><?xml version="1.0" encoding="utf-8"?>
<calcChain xmlns="http://schemas.openxmlformats.org/spreadsheetml/2006/main">
  <c r="E3" i="28"/>
  <c r="F3"/>
  <c r="G3"/>
  <c r="H3"/>
  <c r="I3"/>
  <c r="J3"/>
  <c r="K3"/>
  <c r="L3"/>
  <c r="M3"/>
  <c r="N3"/>
  <c r="O3"/>
  <c r="P3"/>
  <c r="Q3"/>
  <c r="R3"/>
  <c r="S3"/>
  <c r="T3"/>
  <c r="E4"/>
  <c r="F4"/>
  <c r="G4"/>
  <c r="H4"/>
  <c r="I4"/>
  <c r="J4"/>
  <c r="K4"/>
  <c r="L4"/>
  <c r="M4"/>
  <c r="N4"/>
  <c r="O4"/>
  <c r="P4"/>
  <c r="Q4"/>
  <c r="R4"/>
  <c r="S4"/>
  <c r="T4"/>
  <c r="E5"/>
  <c r="F5"/>
  <c r="G5"/>
  <c r="H5"/>
  <c r="I5"/>
  <c r="J5"/>
  <c r="K5"/>
  <c r="L5"/>
  <c r="M5"/>
  <c r="N5"/>
  <c r="O5"/>
  <c r="P5"/>
  <c r="Q5"/>
  <c r="R5"/>
  <c r="S5"/>
  <c r="T5"/>
  <c r="E6"/>
  <c r="F6"/>
  <c r="G6"/>
  <c r="H6"/>
  <c r="I6"/>
  <c r="J6"/>
  <c r="K6"/>
  <c r="L6"/>
  <c r="M6"/>
  <c r="N6"/>
  <c r="O6"/>
  <c r="P6"/>
  <c r="Q6"/>
  <c r="R6"/>
  <c r="S6"/>
  <c r="T6"/>
  <c r="E7"/>
  <c r="F7"/>
  <c r="G7"/>
  <c r="H7"/>
  <c r="I7"/>
  <c r="J7"/>
  <c r="K7"/>
  <c r="L7"/>
  <c r="M7"/>
  <c r="N7"/>
  <c r="O7"/>
  <c r="P7"/>
  <c r="Q7"/>
  <c r="R7"/>
  <c r="S7"/>
  <c r="T7"/>
  <c r="E8"/>
  <c r="F8"/>
  <c r="G8"/>
  <c r="H8"/>
  <c r="I8"/>
  <c r="J8"/>
  <c r="K8"/>
  <c r="L8"/>
  <c r="M8"/>
  <c r="N8"/>
  <c r="O8"/>
  <c r="P8"/>
  <c r="Q8"/>
  <c r="R8"/>
  <c r="S8"/>
  <c r="T8"/>
  <c r="E9"/>
  <c r="F9"/>
  <c r="G9"/>
  <c r="H9"/>
  <c r="I9"/>
  <c r="J9"/>
  <c r="K9"/>
  <c r="L9"/>
  <c r="M9"/>
  <c r="N9"/>
  <c r="O9"/>
  <c r="P9"/>
  <c r="Q9"/>
  <c r="R9"/>
  <c r="S9"/>
  <c r="T9"/>
  <c r="E10"/>
  <c r="F10"/>
  <c r="G10"/>
  <c r="H10"/>
  <c r="I10"/>
  <c r="J10"/>
  <c r="K10"/>
  <c r="L10"/>
  <c r="M10"/>
  <c r="N10"/>
  <c r="O10"/>
  <c r="P10"/>
  <c r="Q10"/>
  <c r="R10"/>
  <c r="S10"/>
  <c r="T10"/>
  <c r="E11"/>
  <c r="F11"/>
  <c r="G11"/>
  <c r="H11"/>
  <c r="I11"/>
  <c r="J11"/>
  <c r="K11"/>
  <c r="L11"/>
  <c r="M11"/>
  <c r="N11"/>
  <c r="O11"/>
  <c r="P11"/>
  <c r="Q11"/>
  <c r="R11"/>
  <c r="S11"/>
  <c r="T11"/>
  <c r="E12"/>
  <c r="F12"/>
  <c r="G12"/>
  <c r="H12"/>
  <c r="I12"/>
  <c r="J12"/>
  <c r="K12"/>
  <c r="L12"/>
  <c r="M12"/>
  <c r="N12"/>
  <c r="O12"/>
  <c r="P12"/>
  <c r="Q12"/>
  <c r="R12"/>
  <c r="S12"/>
  <c r="T12"/>
  <c r="E13"/>
  <c r="F13"/>
  <c r="G13"/>
  <c r="H13"/>
  <c r="I13"/>
  <c r="J13"/>
  <c r="K13"/>
  <c r="L13"/>
  <c r="M13"/>
  <c r="N13"/>
  <c r="O13"/>
  <c r="P13"/>
  <c r="Q13"/>
  <c r="R13"/>
  <c r="S13"/>
  <c r="T13"/>
  <c r="E14"/>
  <c r="F14"/>
  <c r="G14"/>
  <c r="H14"/>
  <c r="I14"/>
  <c r="J14"/>
  <c r="K14"/>
  <c r="L14"/>
  <c r="M14"/>
  <c r="N14"/>
  <c r="O14"/>
  <c r="P14"/>
  <c r="Q14"/>
  <c r="R14"/>
  <c r="S14"/>
  <c r="T14"/>
  <c r="E15"/>
  <c r="F15"/>
  <c r="G15"/>
  <c r="H15"/>
  <c r="I15"/>
  <c r="J15"/>
  <c r="K15"/>
  <c r="L15"/>
  <c r="M15"/>
  <c r="N15"/>
  <c r="O15"/>
  <c r="P15"/>
  <c r="Q15"/>
  <c r="R15"/>
  <c r="S15"/>
  <c r="T15"/>
  <c r="E16"/>
  <c r="F16"/>
  <c r="G16"/>
  <c r="H16"/>
  <c r="I16"/>
  <c r="J16"/>
  <c r="K16"/>
  <c r="L16"/>
  <c r="M16"/>
  <c r="N16"/>
  <c r="O16"/>
  <c r="P16"/>
  <c r="Q16"/>
  <c r="R16"/>
  <c r="S16"/>
  <c r="T16"/>
  <c r="E17"/>
  <c r="F17"/>
  <c r="G17"/>
  <c r="H17"/>
  <c r="I17"/>
  <c r="J17"/>
  <c r="K17"/>
  <c r="L17"/>
  <c r="M17"/>
  <c r="N17"/>
  <c r="O17"/>
  <c r="P17"/>
  <c r="Q17"/>
  <c r="R17"/>
  <c r="S17"/>
  <c r="T17"/>
  <c r="E18"/>
  <c r="F18"/>
  <c r="G18"/>
  <c r="H18"/>
  <c r="I18"/>
  <c r="J18"/>
  <c r="K18"/>
  <c r="L18"/>
  <c r="M18"/>
  <c r="N18"/>
  <c r="O18"/>
  <c r="P18"/>
  <c r="Q18"/>
  <c r="R18"/>
  <c r="S18"/>
  <c r="T18"/>
  <c r="E19"/>
  <c r="F19"/>
  <c r="G19"/>
  <c r="H19"/>
  <c r="I19"/>
  <c r="J19"/>
  <c r="K19"/>
  <c r="L19"/>
  <c r="M19"/>
  <c r="N19"/>
  <c r="O19"/>
  <c r="P19"/>
  <c r="Q19"/>
  <c r="R19"/>
  <c r="S19"/>
  <c r="T19"/>
  <c r="E20"/>
  <c r="F20"/>
  <c r="G20"/>
  <c r="H20"/>
  <c r="I20"/>
  <c r="J20"/>
  <c r="K20"/>
  <c r="L20"/>
  <c r="M20"/>
  <c r="N20"/>
  <c r="O20"/>
  <c r="P20"/>
  <c r="Q20"/>
  <c r="R20"/>
  <c r="S20"/>
  <c r="T20"/>
  <c r="E21"/>
  <c r="F21"/>
  <c r="G21"/>
  <c r="H21"/>
  <c r="I21"/>
  <c r="J21"/>
  <c r="K21"/>
  <c r="L21"/>
  <c r="M21"/>
  <c r="N21"/>
  <c r="O21"/>
  <c r="P21"/>
  <c r="Q21"/>
  <c r="R21"/>
  <c r="S21"/>
  <c r="T21"/>
  <c r="E22"/>
  <c r="F22"/>
  <c r="G22"/>
  <c r="H22"/>
  <c r="I22"/>
  <c r="J22"/>
  <c r="K22"/>
  <c r="L22"/>
  <c r="M22"/>
  <c r="N22"/>
  <c r="O22"/>
  <c r="P22"/>
  <c r="Q22"/>
  <c r="R22"/>
  <c r="S22"/>
  <c r="T22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3"/>
  <c r="C3" i="26"/>
  <c r="I26" i="12"/>
  <c r="D17" i="27"/>
  <c r="E3"/>
  <c r="F3"/>
  <c r="G3"/>
  <c r="H3"/>
  <c r="I3"/>
  <c r="J3"/>
  <c r="K3"/>
  <c r="L3"/>
  <c r="M3"/>
  <c r="N3"/>
  <c r="O3"/>
  <c r="P3"/>
  <c r="Q3"/>
  <c r="R3"/>
  <c r="S3"/>
  <c r="E4"/>
  <c r="F4"/>
  <c r="G4"/>
  <c r="H4"/>
  <c r="I4"/>
  <c r="J4"/>
  <c r="K4"/>
  <c r="L4"/>
  <c r="M4"/>
  <c r="N4"/>
  <c r="O4"/>
  <c r="P4"/>
  <c r="Q4"/>
  <c r="R4"/>
  <c r="S4"/>
  <c r="E5"/>
  <c r="F5"/>
  <c r="G5"/>
  <c r="H5"/>
  <c r="I5"/>
  <c r="J5"/>
  <c r="K5"/>
  <c r="L5"/>
  <c r="M5"/>
  <c r="N5"/>
  <c r="O5"/>
  <c r="P5"/>
  <c r="Q5"/>
  <c r="R5"/>
  <c r="S5"/>
  <c r="E6"/>
  <c r="F6"/>
  <c r="G6"/>
  <c r="H6"/>
  <c r="I6"/>
  <c r="J6"/>
  <c r="K6"/>
  <c r="L6"/>
  <c r="M6"/>
  <c r="N6"/>
  <c r="O6"/>
  <c r="P6"/>
  <c r="Q6"/>
  <c r="R6"/>
  <c r="S6"/>
  <c r="E7"/>
  <c r="F7"/>
  <c r="G7"/>
  <c r="H7"/>
  <c r="I7"/>
  <c r="J7"/>
  <c r="K7"/>
  <c r="L7"/>
  <c r="M7"/>
  <c r="N7"/>
  <c r="O7"/>
  <c r="P7"/>
  <c r="Q7"/>
  <c r="R7"/>
  <c r="S7"/>
  <c r="E8"/>
  <c r="F8"/>
  <c r="G8"/>
  <c r="H8"/>
  <c r="I8"/>
  <c r="J8"/>
  <c r="K8"/>
  <c r="L8"/>
  <c r="M8"/>
  <c r="N8"/>
  <c r="O8"/>
  <c r="P8"/>
  <c r="Q8"/>
  <c r="R8"/>
  <c r="S8"/>
  <c r="E9"/>
  <c r="F9"/>
  <c r="G9"/>
  <c r="H9"/>
  <c r="I9"/>
  <c r="J9"/>
  <c r="K9"/>
  <c r="L9"/>
  <c r="M9"/>
  <c r="N9"/>
  <c r="O9"/>
  <c r="P9"/>
  <c r="Q9"/>
  <c r="R9"/>
  <c r="S9"/>
  <c r="E10"/>
  <c r="F10"/>
  <c r="G10"/>
  <c r="H10"/>
  <c r="I10"/>
  <c r="J10"/>
  <c r="K10"/>
  <c r="L10"/>
  <c r="M10"/>
  <c r="N10"/>
  <c r="O10"/>
  <c r="P10"/>
  <c r="Q10"/>
  <c r="R10"/>
  <c r="S10"/>
  <c r="E11"/>
  <c r="F11"/>
  <c r="G11"/>
  <c r="H11"/>
  <c r="I11"/>
  <c r="J11"/>
  <c r="K11"/>
  <c r="L11"/>
  <c r="M11"/>
  <c r="N11"/>
  <c r="O11"/>
  <c r="P11"/>
  <c r="Q11"/>
  <c r="R11"/>
  <c r="S11"/>
  <c r="E12"/>
  <c r="F12"/>
  <c r="G12"/>
  <c r="H12"/>
  <c r="I12"/>
  <c r="J12"/>
  <c r="K12"/>
  <c r="L12"/>
  <c r="M12"/>
  <c r="N12"/>
  <c r="O12"/>
  <c r="P12"/>
  <c r="Q12"/>
  <c r="R12"/>
  <c r="S12"/>
  <c r="E13"/>
  <c r="F13"/>
  <c r="G13"/>
  <c r="H13"/>
  <c r="I13"/>
  <c r="J13"/>
  <c r="K13"/>
  <c r="L13"/>
  <c r="M13"/>
  <c r="N13"/>
  <c r="O13"/>
  <c r="P13"/>
  <c r="Q13"/>
  <c r="R13"/>
  <c r="S13"/>
  <c r="E14"/>
  <c r="F14"/>
  <c r="G14"/>
  <c r="H14"/>
  <c r="I14"/>
  <c r="J14"/>
  <c r="K14"/>
  <c r="L14"/>
  <c r="M14"/>
  <c r="N14"/>
  <c r="O14"/>
  <c r="P14"/>
  <c r="Q14"/>
  <c r="R14"/>
  <c r="S14"/>
  <c r="E15"/>
  <c r="F15"/>
  <c r="G15"/>
  <c r="H15"/>
  <c r="I15"/>
  <c r="J15"/>
  <c r="K15"/>
  <c r="L15"/>
  <c r="M15"/>
  <c r="N15"/>
  <c r="O15"/>
  <c r="P15"/>
  <c r="Q15"/>
  <c r="R15"/>
  <c r="S15"/>
  <c r="E16"/>
  <c r="F16"/>
  <c r="G16"/>
  <c r="H16"/>
  <c r="I16"/>
  <c r="J16"/>
  <c r="K16"/>
  <c r="L16"/>
  <c r="M16"/>
  <c r="N16"/>
  <c r="O16"/>
  <c r="P16"/>
  <c r="Q16"/>
  <c r="R16"/>
  <c r="S16"/>
  <c r="E17"/>
  <c r="F17"/>
  <c r="G17"/>
  <c r="H17"/>
  <c r="I17"/>
  <c r="J17"/>
  <c r="K17"/>
  <c r="L17"/>
  <c r="M17"/>
  <c r="N17"/>
  <c r="O17"/>
  <c r="P17"/>
  <c r="Q17"/>
  <c r="R17"/>
  <c r="S17"/>
  <c r="E18"/>
  <c r="F18"/>
  <c r="G18"/>
  <c r="H18"/>
  <c r="I18"/>
  <c r="J18"/>
  <c r="K18"/>
  <c r="L18"/>
  <c r="M18"/>
  <c r="N18"/>
  <c r="O18"/>
  <c r="P18"/>
  <c r="Q18"/>
  <c r="R18"/>
  <c r="S18"/>
  <c r="E19"/>
  <c r="F19"/>
  <c r="G19"/>
  <c r="H19"/>
  <c r="I19"/>
  <c r="J19"/>
  <c r="K19"/>
  <c r="L19"/>
  <c r="M19"/>
  <c r="N19"/>
  <c r="O19"/>
  <c r="P19"/>
  <c r="Q19"/>
  <c r="R19"/>
  <c r="S19"/>
  <c r="E20"/>
  <c r="F20"/>
  <c r="G20"/>
  <c r="H20"/>
  <c r="I20"/>
  <c r="J20"/>
  <c r="K20"/>
  <c r="L20"/>
  <c r="M20"/>
  <c r="N20"/>
  <c r="O20"/>
  <c r="P20"/>
  <c r="Q20"/>
  <c r="R20"/>
  <c r="S20"/>
  <c r="E21"/>
  <c r="F21"/>
  <c r="G21"/>
  <c r="H21"/>
  <c r="I21"/>
  <c r="J21"/>
  <c r="K21"/>
  <c r="L21"/>
  <c r="M21"/>
  <c r="N21"/>
  <c r="O21"/>
  <c r="P21"/>
  <c r="Q21"/>
  <c r="R21"/>
  <c r="S21"/>
  <c r="E22"/>
  <c r="F22"/>
  <c r="G22"/>
  <c r="H22"/>
  <c r="I22"/>
  <c r="J22"/>
  <c r="K22"/>
  <c r="L22"/>
  <c r="M22"/>
  <c r="N22"/>
  <c r="O22"/>
  <c r="P22"/>
  <c r="Q22"/>
  <c r="R22"/>
  <c r="S22"/>
  <c r="E23"/>
  <c r="F23"/>
  <c r="G23"/>
  <c r="H23"/>
  <c r="I23"/>
  <c r="J23"/>
  <c r="K23"/>
  <c r="L23"/>
  <c r="M23"/>
  <c r="N23"/>
  <c r="O23"/>
  <c r="P23"/>
  <c r="Q23"/>
  <c r="R23"/>
  <c r="S23"/>
  <c r="E24"/>
  <c r="F24"/>
  <c r="G24"/>
  <c r="H24"/>
  <c r="I24"/>
  <c r="J24"/>
  <c r="K24"/>
  <c r="L24"/>
  <c r="M24"/>
  <c r="N24"/>
  <c r="O24"/>
  <c r="P24"/>
  <c r="Q24"/>
  <c r="R24"/>
  <c r="S24"/>
  <c r="E25"/>
  <c r="F25"/>
  <c r="G25"/>
  <c r="H25"/>
  <c r="I25"/>
  <c r="J25"/>
  <c r="K25"/>
  <c r="L25"/>
  <c r="M25"/>
  <c r="N25"/>
  <c r="O25"/>
  <c r="P25"/>
  <c r="Q25"/>
  <c r="R25"/>
  <c r="S25"/>
  <c r="E26"/>
  <c r="F26"/>
  <c r="G26"/>
  <c r="H26"/>
  <c r="I26"/>
  <c r="J26"/>
  <c r="K26"/>
  <c r="L26"/>
  <c r="M26"/>
  <c r="N26"/>
  <c r="O26"/>
  <c r="P26"/>
  <c r="Q26"/>
  <c r="R26"/>
  <c r="S26"/>
  <c r="E27"/>
  <c r="F27"/>
  <c r="G27"/>
  <c r="H27"/>
  <c r="I27"/>
  <c r="J27"/>
  <c r="K27"/>
  <c r="L27"/>
  <c r="M27"/>
  <c r="N27"/>
  <c r="O27"/>
  <c r="P27"/>
  <c r="Q27"/>
  <c r="R27"/>
  <c r="S27"/>
  <c r="E28"/>
  <c r="F28"/>
  <c r="G28"/>
  <c r="H28"/>
  <c r="I28"/>
  <c r="J28"/>
  <c r="K28"/>
  <c r="L28"/>
  <c r="M28"/>
  <c r="N28"/>
  <c r="O28"/>
  <c r="P28"/>
  <c r="Q28"/>
  <c r="R28"/>
  <c r="S28"/>
  <c r="E29"/>
  <c r="F29"/>
  <c r="G29"/>
  <c r="H29"/>
  <c r="I29"/>
  <c r="J29"/>
  <c r="K29"/>
  <c r="L29"/>
  <c r="M29"/>
  <c r="N29"/>
  <c r="O29"/>
  <c r="P29"/>
  <c r="Q29"/>
  <c r="R29"/>
  <c r="S29"/>
  <c r="E30"/>
  <c r="F30"/>
  <c r="G30"/>
  <c r="H30"/>
  <c r="I30"/>
  <c r="J30"/>
  <c r="K30"/>
  <c r="L30"/>
  <c r="M30"/>
  <c r="N30"/>
  <c r="O30"/>
  <c r="P30"/>
  <c r="Q30"/>
  <c r="R30"/>
  <c r="S30"/>
  <c r="E31"/>
  <c r="F31"/>
  <c r="G31"/>
  <c r="H31"/>
  <c r="I31"/>
  <c r="J31"/>
  <c r="K31"/>
  <c r="L31"/>
  <c r="M31"/>
  <c r="N31"/>
  <c r="O31"/>
  <c r="P31"/>
  <c r="Q31"/>
  <c r="R31"/>
  <c r="S31"/>
  <c r="E32"/>
  <c r="F32"/>
  <c r="G32"/>
  <c r="H32"/>
  <c r="I32"/>
  <c r="J32"/>
  <c r="K32"/>
  <c r="L32"/>
  <c r="M32"/>
  <c r="N32"/>
  <c r="O32"/>
  <c r="P32"/>
  <c r="Q32"/>
  <c r="R32"/>
  <c r="S32"/>
  <c r="D4"/>
  <c r="D5"/>
  <c r="D6"/>
  <c r="D7"/>
  <c r="D8"/>
  <c r="D9"/>
  <c r="D10"/>
  <c r="D11"/>
  <c r="D12"/>
  <c r="D13"/>
  <c r="D14"/>
  <c r="D15"/>
  <c r="D16"/>
  <c r="D18"/>
  <c r="D19"/>
  <c r="D20"/>
  <c r="D21"/>
  <c r="D22"/>
  <c r="D23"/>
  <c r="D24"/>
  <c r="D25"/>
  <c r="D26"/>
  <c r="D27"/>
  <c r="D28"/>
  <c r="D29"/>
  <c r="D30"/>
  <c r="D31"/>
  <c r="D32"/>
  <c r="D3"/>
  <c r="E14" i="12"/>
  <c r="H2" i="21"/>
  <c r="D3" i="26"/>
  <c r="E3"/>
  <c r="F3"/>
  <c r="G3"/>
  <c r="H3"/>
  <c r="I3"/>
  <c r="J3"/>
  <c r="K3"/>
  <c r="L3"/>
  <c r="M3"/>
  <c r="N3"/>
  <c r="O3"/>
  <c r="P3"/>
  <c r="Q3"/>
  <c r="R3"/>
  <c r="S3"/>
  <c r="D4"/>
  <c r="E4"/>
  <c r="F4"/>
  <c r="G4"/>
  <c r="H4"/>
  <c r="I4"/>
  <c r="J4"/>
  <c r="K4"/>
  <c r="L4"/>
  <c r="M4"/>
  <c r="N4"/>
  <c r="O4"/>
  <c r="P4"/>
  <c r="Q4"/>
  <c r="R4"/>
  <c r="S4"/>
  <c r="D5"/>
  <c r="E5"/>
  <c r="F5"/>
  <c r="G5"/>
  <c r="H5"/>
  <c r="I5"/>
  <c r="J5"/>
  <c r="K5"/>
  <c r="L5"/>
  <c r="M5"/>
  <c r="N5"/>
  <c r="O5"/>
  <c r="P5"/>
  <c r="Q5"/>
  <c r="R5"/>
  <c r="S5"/>
  <c r="D6"/>
  <c r="E6"/>
  <c r="F6"/>
  <c r="G6"/>
  <c r="H6"/>
  <c r="I6"/>
  <c r="J6"/>
  <c r="K6"/>
  <c r="L6"/>
  <c r="M6"/>
  <c r="N6"/>
  <c r="O6"/>
  <c r="P6"/>
  <c r="Q6"/>
  <c r="R6"/>
  <c r="S6"/>
  <c r="D7"/>
  <c r="E7"/>
  <c r="F7"/>
  <c r="G7"/>
  <c r="H7"/>
  <c r="I7"/>
  <c r="J7"/>
  <c r="K7"/>
  <c r="L7"/>
  <c r="M7"/>
  <c r="N7"/>
  <c r="O7"/>
  <c r="P7"/>
  <c r="Q7"/>
  <c r="R7"/>
  <c r="S7"/>
  <c r="D8"/>
  <c r="E8"/>
  <c r="F8"/>
  <c r="G8"/>
  <c r="H8"/>
  <c r="I8"/>
  <c r="J8"/>
  <c r="K8"/>
  <c r="L8"/>
  <c r="M8"/>
  <c r="N8"/>
  <c r="O8"/>
  <c r="P8"/>
  <c r="Q8"/>
  <c r="R8"/>
  <c r="S8"/>
  <c r="D9"/>
  <c r="E9"/>
  <c r="F9"/>
  <c r="G9"/>
  <c r="H9"/>
  <c r="I9"/>
  <c r="J9"/>
  <c r="K9"/>
  <c r="L9"/>
  <c r="M9"/>
  <c r="N9"/>
  <c r="O9"/>
  <c r="P9"/>
  <c r="Q9"/>
  <c r="R9"/>
  <c r="S9"/>
  <c r="D10"/>
  <c r="E10"/>
  <c r="F10"/>
  <c r="G10"/>
  <c r="H10"/>
  <c r="I10"/>
  <c r="J10"/>
  <c r="K10"/>
  <c r="L10"/>
  <c r="M10"/>
  <c r="N10"/>
  <c r="O10"/>
  <c r="P10"/>
  <c r="Q10"/>
  <c r="R10"/>
  <c r="S10"/>
  <c r="D11"/>
  <c r="E11"/>
  <c r="F11"/>
  <c r="G11"/>
  <c r="H11"/>
  <c r="I11"/>
  <c r="J11"/>
  <c r="K11"/>
  <c r="L11"/>
  <c r="M11"/>
  <c r="N11"/>
  <c r="O11"/>
  <c r="P11"/>
  <c r="Q11"/>
  <c r="R11"/>
  <c r="S11"/>
  <c r="D12"/>
  <c r="E12"/>
  <c r="F12"/>
  <c r="G12"/>
  <c r="H12"/>
  <c r="I12"/>
  <c r="J12"/>
  <c r="K12"/>
  <c r="L12"/>
  <c r="M12"/>
  <c r="N12"/>
  <c r="O12"/>
  <c r="P12"/>
  <c r="Q12"/>
  <c r="R12"/>
  <c r="S12"/>
  <c r="D13"/>
  <c r="E13"/>
  <c r="F13"/>
  <c r="G13"/>
  <c r="H13"/>
  <c r="I13"/>
  <c r="J13"/>
  <c r="K13"/>
  <c r="L13"/>
  <c r="M13"/>
  <c r="N13"/>
  <c r="O13"/>
  <c r="P13"/>
  <c r="Q13"/>
  <c r="R13"/>
  <c r="S13"/>
  <c r="D14"/>
  <c r="E14"/>
  <c r="F14"/>
  <c r="G14"/>
  <c r="H14"/>
  <c r="I14"/>
  <c r="J14"/>
  <c r="K14"/>
  <c r="L14"/>
  <c r="M14"/>
  <c r="N14"/>
  <c r="O14"/>
  <c r="P14"/>
  <c r="Q14"/>
  <c r="R14"/>
  <c r="S14"/>
  <c r="D15"/>
  <c r="E15"/>
  <c r="F15"/>
  <c r="G15"/>
  <c r="H15"/>
  <c r="I15"/>
  <c r="J15"/>
  <c r="K15"/>
  <c r="L15"/>
  <c r="M15"/>
  <c r="N15"/>
  <c r="O15"/>
  <c r="P15"/>
  <c r="Q15"/>
  <c r="R15"/>
  <c r="S15"/>
  <c r="D16"/>
  <c r="E16"/>
  <c r="F16"/>
  <c r="G16"/>
  <c r="H16"/>
  <c r="I16"/>
  <c r="J16"/>
  <c r="K16"/>
  <c r="L16"/>
  <c r="M16"/>
  <c r="N16"/>
  <c r="O16"/>
  <c r="P16"/>
  <c r="Q16"/>
  <c r="R16"/>
  <c r="S16"/>
  <c r="D17"/>
  <c r="E17"/>
  <c r="F17"/>
  <c r="G17"/>
  <c r="H17"/>
  <c r="I17"/>
  <c r="J17"/>
  <c r="K17"/>
  <c r="L17"/>
  <c r="M17"/>
  <c r="N17"/>
  <c r="O17"/>
  <c r="P17"/>
  <c r="Q17"/>
  <c r="R17"/>
  <c r="S17"/>
  <c r="D18"/>
  <c r="E18"/>
  <c r="F18"/>
  <c r="G18"/>
  <c r="H18"/>
  <c r="I18"/>
  <c r="J18"/>
  <c r="K18"/>
  <c r="L18"/>
  <c r="M18"/>
  <c r="N18"/>
  <c r="O18"/>
  <c r="P18"/>
  <c r="Q18"/>
  <c r="R18"/>
  <c r="S18"/>
  <c r="C5"/>
  <c r="C6"/>
  <c r="C7"/>
  <c r="C8"/>
  <c r="C9"/>
  <c r="C10"/>
  <c r="C11"/>
  <c r="C12"/>
  <c r="C13"/>
  <c r="C14"/>
  <c r="C15"/>
  <c r="C16"/>
  <c r="C17"/>
  <c r="C18"/>
  <c r="C4"/>
  <c r="AD12" i="24"/>
  <c r="AC12"/>
  <c r="AC13"/>
  <c r="AD13"/>
  <c r="AC14"/>
  <c r="AD14"/>
  <c r="AC15"/>
  <c r="AD15"/>
  <c r="AC16"/>
  <c r="AD16"/>
  <c r="AC17"/>
  <c r="AD17"/>
  <c r="AC18"/>
  <c r="AD18"/>
  <c r="AC19"/>
  <c r="AD19"/>
  <c r="AC20"/>
  <c r="AD20"/>
  <c r="AC21"/>
  <c r="AD21"/>
  <c r="AC22"/>
  <c r="AD22"/>
  <c r="AC23"/>
  <c r="AD23"/>
  <c r="AC24"/>
  <c r="AD24"/>
  <c r="AC25"/>
  <c r="AD25"/>
  <c r="AC26"/>
  <c r="AD26"/>
  <c r="AC27"/>
  <c r="AD27"/>
  <c r="AC28"/>
  <c r="AD28"/>
  <c r="AC29"/>
  <c r="AD29"/>
  <c r="X14"/>
  <c r="X15"/>
  <c r="X16"/>
  <c r="X17"/>
  <c r="X18"/>
  <c r="X19"/>
  <c r="X20"/>
  <c r="X21"/>
  <c r="X22"/>
  <c r="X23"/>
  <c r="X24"/>
  <c r="X25"/>
  <c r="X26"/>
  <c r="X27"/>
  <c r="X28"/>
  <c r="X29"/>
  <c r="X13"/>
  <c r="AB7"/>
  <c r="AB8"/>
  <c r="AB6"/>
  <c r="AB13"/>
  <c r="AA8"/>
  <c r="AA7"/>
  <c r="AA6"/>
  <c r="AA14"/>
  <c r="AA15"/>
  <c r="AA16"/>
  <c r="AA17"/>
  <c r="AA18"/>
  <c r="AA19"/>
  <c r="AA20"/>
  <c r="AA21"/>
  <c r="AA22"/>
  <c r="AA23"/>
  <c r="AA24"/>
  <c r="AA25"/>
  <c r="AA26"/>
  <c r="AA27"/>
  <c r="AA28"/>
  <c r="AA29"/>
  <c r="AA13"/>
  <c r="AB12"/>
  <c r="AA12"/>
  <c r="W22"/>
  <c r="AB22" s="1"/>
  <c r="W23"/>
  <c r="AB23" s="1"/>
  <c r="W24"/>
  <c r="AB24" s="1"/>
  <c r="W25"/>
  <c r="AB25" s="1"/>
  <c r="W26"/>
  <c r="AB26" s="1"/>
  <c r="W27"/>
  <c r="AB27" s="1"/>
  <c r="W28"/>
  <c r="AB28" s="1"/>
  <c r="W29"/>
  <c r="AB29" s="1"/>
  <c r="W14"/>
  <c r="AB14" s="1"/>
  <c r="W15"/>
  <c r="AB15" s="1"/>
  <c r="W16"/>
  <c r="AB16" s="1"/>
  <c r="W17"/>
  <c r="AB17" s="1"/>
  <c r="W18"/>
  <c r="AB18" s="1"/>
  <c r="W19"/>
  <c r="AB19" s="1"/>
  <c r="W20"/>
  <c r="AB20" s="1"/>
  <c r="W21"/>
  <c r="AB21" s="1"/>
  <c r="W13"/>
  <c r="E16" i="12"/>
  <c r="B25"/>
  <c r="E22" i="24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J22"/>
  <c r="J23"/>
  <c r="J24"/>
  <c r="J25" s="1"/>
  <c r="J26" s="1"/>
  <c r="J27" s="1"/>
  <c r="J28" s="1"/>
  <c r="J29" s="1"/>
  <c r="J30" s="1"/>
  <c r="J31" s="1"/>
  <c r="J32" s="1"/>
  <c r="J33" s="1"/>
  <c r="J34" s="1"/>
  <c r="J35" s="1"/>
  <c r="J36" s="1"/>
  <c r="J37" s="1"/>
  <c r="J38" s="1"/>
  <c r="I22"/>
  <c r="I23"/>
  <c r="I24" s="1"/>
  <c r="I25" s="1"/>
  <c r="I26" s="1"/>
  <c r="I27" s="1"/>
  <c r="I28" s="1"/>
  <c r="I29" s="1"/>
  <c r="I30" s="1"/>
  <c r="I31" s="1"/>
  <c r="I32" s="1"/>
  <c r="I33" s="1"/>
  <c r="I34" s="1"/>
  <c r="I35" s="1"/>
  <c r="I36" s="1"/>
  <c r="I37" s="1"/>
  <c r="I38" s="1"/>
  <c r="H22"/>
  <c r="H23" s="1"/>
  <c r="H24" s="1"/>
  <c r="H25" s="1"/>
  <c r="H26" s="1"/>
  <c r="H27" s="1"/>
  <c r="H28" s="1"/>
  <c r="H29" s="1"/>
  <c r="H30" s="1"/>
  <c r="H31" s="1"/>
  <c r="H32" s="1"/>
  <c r="H33" s="1"/>
  <c r="H34" s="1"/>
  <c r="H35" s="1"/>
  <c r="H36" s="1"/>
  <c r="H37" s="1"/>
  <c r="H38" s="1"/>
  <c r="G22"/>
  <c r="G23" s="1"/>
  <c r="G24" s="1"/>
  <c r="G25" s="1"/>
  <c r="G26" s="1"/>
  <c r="G27" s="1"/>
  <c r="G28" s="1"/>
  <c r="G29" s="1"/>
  <c r="G30" s="1"/>
  <c r="G31" s="1"/>
  <c r="G32" s="1"/>
  <c r="G33" s="1"/>
  <c r="G34" s="1"/>
  <c r="G35" s="1"/>
  <c r="G36" s="1"/>
  <c r="G37" s="1"/>
  <c r="G38" s="1"/>
  <c r="F22"/>
  <c r="F23"/>
  <c r="F24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D22"/>
  <c r="D23"/>
  <c r="D24" s="1"/>
  <c r="D25" s="1"/>
  <c r="D26" s="1"/>
  <c r="D27" s="1"/>
  <c r="D28" s="1"/>
  <c r="D29" s="1"/>
  <c r="D30" s="1"/>
  <c r="D31" s="1"/>
  <c r="D32" s="1"/>
  <c r="D33" s="1"/>
  <c r="D34" s="1"/>
  <c r="D35" s="1"/>
  <c r="D36" s="1"/>
  <c r="D37" s="1"/>
  <c r="D38" s="1"/>
  <c r="C22"/>
  <c r="C23" s="1"/>
  <c r="C24" s="1"/>
  <c r="C25" s="1"/>
  <c r="C26" s="1"/>
  <c r="C27" s="1"/>
  <c r="C28" s="1"/>
  <c r="C29" s="1"/>
  <c r="C30" s="1"/>
  <c r="C31" s="1"/>
  <c r="C32" s="1"/>
  <c r="C33" s="1"/>
  <c r="C34" s="1"/>
  <c r="C35" s="1"/>
  <c r="C36" s="1"/>
  <c r="C37" s="1"/>
  <c r="C38" s="1"/>
  <c r="K23"/>
  <c r="K24" s="1"/>
  <c r="K25" s="1"/>
  <c r="K26" s="1"/>
  <c r="K27" s="1"/>
  <c r="K28" s="1"/>
  <c r="K29" s="1"/>
  <c r="K30" s="1"/>
  <c r="K31" s="1"/>
  <c r="K32" s="1"/>
  <c r="K33" s="1"/>
  <c r="K34" s="1"/>
  <c r="K35" s="1"/>
  <c r="K36" s="1"/>
  <c r="K37" s="1"/>
  <c r="K38" s="1"/>
  <c r="L25"/>
  <c r="L26" s="1"/>
  <c r="L27" s="1"/>
  <c r="L28" s="1"/>
  <c r="L29" s="1"/>
  <c r="L30" s="1"/>
  <c r="L31" s="1"/>
  <c r="L32" s="1"/>
  <c r="L33" s="1"/>
  <c r="L34" s="1"/>
  <c r="L35" s="1"/>
  <c r="L36" s="1"/>
  <c r="L37" s="1"/>
  <c r="L38" s="1"/>
  <c r="M27"/>
  <c r="M28"/>
  <c r="M29" s="1"/>
  <c r="M30" s="1"/>
  <c r="M31" s="1"/>
  <c r="M32" s="1"/>
  <c r="M33" s="1"/>
  <c r="M34" s="1"/>
  <c r="M35" s="1"/>
  <c r="M36" s="1"/>
  <c r="M37" s="1"/>
  <c r="M38" s="1"/>
  <c r="N29"/>
  <c r="N30"/>
  <c r="N31" s="1"/>
  <c r="N32" s="1"/>
  <c r="N33" s="1"/>
  <c r="N34" s="1"/>
  <c r="N35" s="1"/>
  <c r="N36" s="1"/>
  <c r="N37" s="1"/>
  <c r="N38" s="1"/>
  <c r="P33"/>
  <c r="P34" s="1"/>
  <c r="P35" s="1"/>
  <c r="P36" s="1"/>
  <c r="P37" s="1"/>
  <c r="P38" s="1"/>
  <c r="O31"/>
  <c r="O32"/>
  <c r="O33" s="1"/>
  <c r="O34" s="1"/>
  <c r="O35" s="1"/>
  <c r="O36" s="1"/>
  <c r="O37" s="1"/>
  <c r="O38" s="1"/>
  <c r="Q35"/>
  <c r="Q36"/>
  <c r="Q37" s="1"/>
  <c r="M16"/>
  <c r="M17" s="1"/>
  <c r="M18" s="1"/>
  <c r="M19" s="1"/>
  <c r="M20" s="1"/>
  <c r="L15"/>
  <c r="H11"/>
  <c r="B4"/>
  <c r="B5"/>
  <c r="B6"/>
  <c r="B7" s="1"/>
  <c r="B23"/>
  <c r="B24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D7"/>
  <c r="C5"/>
  <c r="C6" s="1"/>
  <c r="D6"/>
  <c r="E7"/>
  <c r="E8" s="1"/>
  <c r="F8"/>
  <c r="F9" s="1"/>
  <c r="G9"/>
  <c r="G10" s="1"/>
  <c r="H10"/>
  <c r="I11"/>
  <c r="I12" s="1"/>
  <c r="J12"/>
  <c r="K13"/>
  <c r="K14" s="1"/>
  <c r="L14"/>
  <c r="M15"/>
  <c r="N16"/>
  <c r="N17" s="1"/>
  <c r="P18"/>
  <c r="P19" s="1"/>
  <c r="O17"/>
  <c r="O18" s="1"/>
  <c r="Q20"/>
  <c r="Q19"/>
  <c r="R40"/>
  <c r="R42" s="1"/>
  <c r="Y13" s="1"/>
  <c r="S40"/>
  <c r="S42" s="1"/>
  <c r="B14" i="16"/>
  <c r="C18" i="8"/>
  <c r="C19"/>
  <c r="H38" i="21"/>
  <c r="I38"/>
  <c r="I37"/>
  <c r="G37"/>
  <c r="G36"/>
  <c r="H36"/>
  <c r="I36"/>
  <c r="J36"/>
  <c r="H37"/>
  <c r="J37"/>
  <c r="G38"/>
  <c r="J38"/>
  <c r="G39"/>
  <c r="H39"/>
  <c r="I39"/>
  <c r="J39"/>
  <c r="G40"/>
  <c r="H40"/>
  <c r="I40"/>
  <c r="J40"/>
  <c r="G41"/>
  <c r="H41"/>
  <c r="I41"/>
  <c r="J41"/>
  <c r="G42"/>
  <c r="H42"/>
  <c r="I42"/>
  <c r="J42"/>
  <c r="G43"/>
  <c r="H43"/>
  <c r="I43"/>
  <c r="J43"/>
  <c r="AD7" i="16"/>
  <c r="P23" s="1"/>
  <c r="AC7"/>
  <c r="O26" s="1"/>
  <c r="B8"/>
  <c r="B10"/>
  <c r="B11"/>
  <c r="R7"/>
  <c r="S7"/>
  <c r="AD13"/>
  <c r="B36" s="1"/>
  <c r="AC8"/>
  <c r="P32" s="1"/>
  <c r="AD8"/>
  <c r="B30" s="1"/>
  <c r="AC9"/>
  <c r="AD9"/>
  <c r="C30" s="1"/>
  <c r="AC10"/>
  <c r="D37" s="1"/>
  <c r="D39" s="1"/>
  <c r="J49" s="1"/>
  <c r="AD10"/>
  <c r="P29" s="1"/>
  <c r="R11"/>
  <c r="S11"/>
  <c r="Z11"/>
  <c r="AC11"/>
  <c r="D29" s="1"/>
  <c r="AD11"/>
  <c r="AC12"/>
  <c r="C29" s="1"/>
  <c r="AD12"/>
  <c r="P31" s="1"/>
  <c r="R13"/>
  <c r="Z13"/>
  <c r="S13"/>
  <c r="AC13"/>
  <c r="B29" s="1"/>
  <c r="AD6"/>
  <c r="AA6"/>
  <c r="Z6"/>
  <c r="R12"/>
  <c r="T7"/>
  <c r="AA7"/>
  <c r="U7"/>
  <c r="V7" i="20"/>
  <c r="V8"/>
  <c r="V11"/>
  <c r="V12"/>
  <c r="V15"/>
  <c r="V16"/>
  <c r="V19"/>
  <c r="V20"/>
  <c r="V23"/>
  <c r="V27"/>
  <c r="V28"/>
  <c r="V31"/>
  <c r="V32"/>
  <c r="V35"/>
  <c r="V36"/>
  <c r="V39"/>
  <c r="V43"/>
  <c r="V44"/>
  <c r="V47"/>
  <c r="V48"/>
  <c r="V51"/>
  <c r="V52"/>
  <c r="V55"/>
  <c r="V59"/>
  <c r="V60"/>
  <c r="V63"/>
  <c r="V64"/>
  <c r="V67"/>
  <c r="V68"/>
  <c r="V71"/>
  <c r="V72"/>
  <c r="V75"/>
  <c r="V76"/>
  <c r="V79"/>
  <c r="V80"/>
  <c r="V83"/>
  <c r="V84"/>
  <c r="V87"/>
  <c r="V91"/>
  <c r="V92"/>
  <c r="V95"/>
  <c r="V96"/>
  <c r="V99"/>
  <c r="V100"/>
  <c r="V103"/>
  <c r="V107"/>
  <c r="V108"/>
  <c r="V111"/>
  <c r="V112"/>
  <c r="V115"/>
  <c r="V116"/>
  <c r="V119"/>
  <c r="S8"/>
  <c r="S9"/>
  <c r="S12"/>
  <c r="S13"/>
  <c r="S16"/>
  <c r="S17"/>
  <c r="V17"/>
  <c r="S20"/>
  <c r="S21"/>
  <c r="S22"/>
  <c r="V22"/>
  <c r="S24"/>
  <c r="S25"/>
  <c r="S28"/>
  <c r="S29"/>
  <c r="S32"/>
  <c r="S33"/>
  <c r="S36"/>
  <c r="S37"/>
  <c r="S38"/>
  <c r="V38"/>
  <c r="S40"/>
  <c r="S44"/>
  <c r="S45"/>
  <c r="S48"/>
  <c r="S49"/>
  <c r="V49"/>
  <c r="S50"/>
  <c r="V50"/>
  <c r="S52"/>
  <c r="S53"/>
  <c r="S54"/>
  <c r="V54"/>
  <c r="S56"/>
  <c r="S60"/>
  <c r="S61"/>
  <c r="S64"/>
  <c r="S65"/>
  <c r="V65"/>
  <c r="S66"/>
  <c r="V66"/>
  <c r="S68"/>
  <c r="S69"/>
  <c r="S70"/>
  <c r="V70"/>
  <c r="S72"/>
  <c r="S73"/>
  <c r="S76"/>
  <c r="S77"/>
  <c r="S80"/>
  <c r="S81"/>
  <c r="V81"/>
  <c r="S84"/>
  <c r="S85"/>
  <c r="S86"/>
  <c r="V86"/>
  <c r="S88"/>
  <c r="S89"/>
  <c r="S92"/>
  <c r="S93"/>
  <c r="S96"/>
  <c r="S97"/>
  <c r="S100"/>
  <c r="S101"/>
  <c r="S102"/>
  <c r="V102"/>
  <c r="S104"/>
  <c r="S108"/>
  <c r="S109"/>
  <c r="S112"/>
  <c r="S113"/>
  <c r="V113"/>
  <c r="S114"/>
  <c r="V114"/>
  <c r="S116"/>
  <c r="S117"/>
  <c r="S118"/>
  <c r="V118"/>
  <c r="S120"/>
  <c r="S3"/>
  <c r="V3"/>
  <c r="U4"/>
  <c r="U5"/>
  <c r="U6"/>
  <c r="U7"/>
  <c r="U8"/>
  <c r="U9"/>
  <c r="U10"/>
  <c r="U11"/>
  <c r="U12"/>
  <c r="U13"/>
  <c r="U14"/>
  <c r="U15"/>
  <c r="U16"/>
  <c r="U17"/>
  <c r="U18"/>
  <c r="U19"/>
  <c r="U20"/>
  <c r="U21"/>
  <c r="U22"/>
  <c r="U23"/>
  <c r="U24"/>
  <c r="U25"/>
  <c r="U26"/>
  <c r="U27"/>
  <c r="U28"/>
  <c r="U29"/>
  <c r="U30"/>
  <c r="U31"/>
  <c r="U32"/>
  <c r="U33"/>
  <c r="U34"/>
  <c r="U35"/>
  <c r="U36"/>
  <c r="U37"/>
  <c r="U38"/>
  <c r="U39"/>
  <c r="U40"/>
  <c r="U41"/>
  <c r="U42"/>
  <c r="U43"/>
  <c r="U44"/>
  <c r="U45"/>
  <c r="U46"/>
  <c r="U47"/>
  <c r="U48"/>
  <c r="U49"/>
  <c r="U50"/>
  <c r="U51"/>
  <c r="U52"/>
  <c r="U53"/>
  <c r="U54"/>
  <c r="U55"/>
  <c r="U56"/>
  <c r="U57"/>
  <c r="U58"/>
  <c r="U59"/>
  <c r="U60"/>
  <c r="U61"/>
  <c r="U62"/>
  <c r="U63"/>
  <c r="U64"/>
  <c r="U65"/>
  <c r="U66"/>
  <c r="U67"/>
  <c r="U68"/>
  <c r="U69"/>
  <c r="U70"/>
  <c r="U71"/>
  <c r="U72"/>
  <c r="U73"/>
  <c r="U74"/>
  <c r="U75"/>
  <c r="U76"/>
  <c r="U77"/>
  <c r="U78"/>
  <c r="U79"/>
  <c r="U80"/>
  <c r="U81"/>
  <c r="U82"/>
  <c r="U83"/>
  <c r="U84"/>
  <c r="U85"/>
  <c r="U86"/>
  <c r="U87"/>
  <c r="U88"/>
  <c r="U89"/>
  <c r="U90"/>
  <c r="U91"/>
  <c r="U92"/>
  <c r="U93"/>
  <c r="U94"/>
  <c r="U95"/>
  <c r="U96"/>
  <c r="U97"/>
  <c r="U98"/>
  <c r="U99"/>
  <c r="U100"/>
  <c r="U101"/>
  <c r="U102"/>
  <c r="U103"/>
  <c r="U104"/>
  <c r="U105"/>
  <c r="U106"/>
  <c r="U107"/>
  <c r="U108"/>
  <c r="U109"/>
  <c r="U110"/>
  <c r="U111"/>
  <c r="U112"/>
  <c r="U113"/>
  <c r="U114"/>
  <c r="U115"/>
  <c r="U116"/>
  <c r="U117"/>
  <c r="U118"/>
  <c r="U119"/>
  <c r="U120"/>
  <c r="U121"/>
  <c r="U122"/>
  <c r="T10" i="16"/>
  <c r="U10"/>
  <c r="D30"/>
  <c r="T9"/>
  <c r="AA9"/>
  <c r="U9"/>
  <c r="T8"/>
  <c r="AA8"/>
  <c r="U8"/>
  <c r="A9"/>
  <c r="J46" i="17"/>
  <c r="L46" s="1"/>
  <c r="Q46" s="1"/>
  <c r="K46"/>
  <c r="M46" s="1"/>
  <c r="J47"/>
  <c r="L47" s="1"/>
  <c r="Q47" s="1"/>
  <c r="K47"/>
  <c r="M47" s="1"/>
  <c r="R47" s="1"/>
  <c r="J48"/>
  <c r="L48" s="1"/>
  <c r="Q48" s="1"/>
  <c r="K48"/>
  <c r="M48"/>
  <c r="J49"/>
  <c r="K49"/>
  <c r="M49" s="1"/>
  <c r="R49" s="1"/>
  <c r="L49"/>
  <c r="Q49" s="1"/>
  <c r="J50"/>
  <c r="L50" s="1"/>
  <c r="Q50" s="1"/>
  <c r="K50"/>
  <c r="M50" s="1"/>
  <c r="J51"/>
  <c r="L51" s="1"/>
  <c r="Q51" s="1"/>
  <c r="K51"/>
  <c r="M51" s="1"/>
  <c r="J52"/>
  <c r="L52" s="1"/>
  <c r="K52"/>
  <c r="M52" s="1"/>
  <c r="R52" s="1"/>
  <c r="J53"/>
  <c r="K53"/>
  <c r="M53" s="1"/>
  <c r="R53" s="1"/>
  <c r="L53"/>
  <c r="Q53" s="1"/>
  <c r="J54"/>
  <c r="L54" s="1"/>
  <c r="K54"/>
  <c r="Q54"/>
  <c r="M54"/>
  <c r="R54" s="1"/>
  <c r="J55"/>
  <c r="L55" s="1"/>
  <c r="Q55" s="1"/>
  <c r="K55"/>
  <c r="M55" s="1"/>
  <c r="R55" s="1"/>
  <c r="J56"/>
  <c r="L56" s="1"/>
  <c r="Q56" s="1"/>
  <c r="K56"/>
  <c r="M56"/>
  <c r="J57"/>
  <c r="L57" s="1"/>
  <c r="K57"/>
  <c r="M57" s="1"/>
  <c r="J58"/>
  <c r="K58"/>
  <c r="L58"/>
  <c r="Q58"/>
  <c r="M58"/>
  <c r="O58" s="1"/>
  <c r="R58"/>
  <c r="J59"/>
  <c r="L59" s="1"/>
  <c r="Q59" s="1"/>
  <c r="K59"/>
  <c r="M59" s="1"/>
  <c r="J60"/>
  <c r="L60"/>
  <c r="Q60" s="1"/>
  <c r="K60"/>
  <c r="M60" s="1"/>
  <c r="O60" s="1"/>
  <c r="J40"/>
  <c r="L40"/>
  <c r="Q40" s="1"/>
  <c r="K40"/>
  <c r="M40" s="1"/>
  <c r="O40" s="1"/>
  <c r="I21" i="21"/>
  <c r="N21"/>
  <c r="G21"/>
  <c r="H20"/>
  <c r="H24"/>
  <c r="M20"/>
  <c r="I20"/>
  <c r="I24"/>
  <c r="N20"/>
  <c r="H21"/>
  <c r="M21"/>
  <c r="H25"/>
  <c r="I25"/>
  <c r="G25"/>
  <c r="L21"/>
  <c r="G20"/>
  <c r="L20"/>
  <c r="G24"/>
  <c r="G10"/>
  <c r="H10"/>
  <c r="I10"/>
  <c r="J10"/>
  <c r="I20" i="16"/>
  <c r="I26"/>
  <c r="I25"/>
  <c r="I24"/>
  <c r="H20"/>
  <c r="J20"/>
  <c r="I21"/>
  <c r="I23"/>
  <c r="I22"/>
  <c r="J26"/>
  <c r="J25"/>
  <c r="J24"/>
  <c r="J22"/>
  <c r="J21"/>
  <c r="K26"/>
  <c r="K25"/>
  <c r="K24"/>
  <c r="K23"/>
  <c r="K22"/>
  <c r="K21"/>
  <c r="K20"/>
  <c r="H26"/>
  <c r="H25"/>
  <c r="H24"/>
  <c r="H23"/>
  <c r="H22"/>
  <c r="H21"/>
  <c r="F2" i="23"/>
  <c r="B3"/>
  <c r="F3"/>
  <c r="B4"/>
  <c r="F4"/>
  <c r="B5"/>
  <c r="F5"/>
  <c r="B6"/>
  <c r="F6"/>
  <c r="B7"/>
  <c r="F7"/>
  <c r="B8"/>
  <c r="F8"/>
  <c r="B9"/>
  <c r="F9"/>
  <c r="B10"/>
  <c r="F10"/>
  <c r="B11"/>
  <c r="F11"/>
  <c r="B12"/>
  <c r="F12"/>
  <c r="B13"/>
  <c r="F13"/>
  <c r="B14"/>
  <c r="F14"/>
  <c r="B15"/>
  <c r="F15"/>
  <c r="F16"/>
  <c r="B17"/>
  <c r="F17"/>
  <c r="B18"/>
  <c r="F18"/>
  <c r="B19"/>
  <c r="B20"/>
  <c r="F20"/>
  <c r="B21"/>
  <c r="F21"/>
  <c r="B22"/>
  <c r="F22"/>
  <c r="B23"/>
  <c r="F23"/>
  <c r="B24"/>
  <c r="F24"/>
  <c r="B25"/>
  <c r="F25"/>
  <c r="B26"/>
  <c r="F26"/>
  <c r="B27"/>
  <c r="F27"/>
  <c r="B28"/>
  <c r="F28"/>
  <c r="B29"/>
  <c r="F29"/>
  <c r="B30"/>
  <c r="F30"/>
  <c r="J44" i="17"/>
  <c r="L44" s="1"/>
  <c r="Q44" s="1"/>
  <c r="K44"/>
  <c r="M44" s="1"/>
  <c r="L25" i="22"/>
  <c r="K25"/>
  <c r="J25"/>
  <c r="L21"/>
  <c r="K21"/>
  <c r="J21"/>
  <c r="H25"/>
  <c r="G25"/>
  <c r="F25"/>
  <c r="H21"/>
  <c r="G21"/>
  <c r="F21"/>
  <c r="D25"/>
  <c r="C25"/>
  <c r="B25"/>
  <c r="D21"/>
  <c r="C21"/>
  <c r="B21"/>
  <c r="L12"/>
  <c r="K12"/>
  <c r="J12"/>
  <c r="L8"/>
  <c r="K8"/>
  <c r="J8"/>
  <c r="G12"/>
  <c r="H12"/>
  <c r="F12"/>
  <c r="H8"/>
  <c r="G8"/>
  <c r="F8"/>
  <c r="D12"/>
  <c r="C12"/>
  <c r="B12"/>
  <c r="D8"/>
  <c r="C8"/>
  <c r="B8"/>
  <c r="J3" i="21"/>
  <c r="J4"/>
  <c r="J5"/>
  <c r="J6"/>
  <c r="J7"/>
  <c r="J8"/>
  <c r="J9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2"/>
  <c r="G3"/>
  <c r="H3"/>
  <c r="I3"/>
  <c r="G4"/>
  <c r="H4"/>
  <c r="I4"/>
  <c r="G5"/>
  <c r="H5"/>
  <c r="I5"/>
  <c r="G6"/>
  <c r="H6"/>
  <c r="I6"/>
  <c r="G7"/>
  <c r="H7"/>
  <c r="I7"/>
  <c r="G8"/>
  <c r="H8"/>
  <c r="I8"/>
  <c r="G9"/>
  <c r="H9"/>
  <c r="I9"/>
  <c r="G11"/>
  <c r="H11"/>
  <c r="I11"/>
  <c r="G12"/>
  <c r="H12"/>
  <c r="I12"/>
  <c r="G13"/>
  <c r="H13"/>
  <c r="I13"/>
  <c r="G17"/>
  <c r="H17"/>
  <c r="I17"/>
  <c r="G14"/>
  <c r="H14"/>
  <c r="I14"/>
  <c r="G15"/>
  <c r="H15"/>
  <c r="I15"/>
  <c r="G16"/>
  <c r="H16"/>
  <c r="I16"/>
  <c r="G18"/>
  <c r="H18"/>
  <c r="I18"/>
  <c r="G19"/>
  <c r="H19"/>
  <c r="I19"/>
  <c r="G22"/>
  <c r="H22"/>
  <c r="I22"/>
  <c r="G23"/>
  <c r="H23"/>
  <c r="I23"/>
  <c r="G26"/>
  <c r="H26"/>
  <c r="I26"/>
  <c r="G27"/>
  <c r="H27"/>
  <c r="I27"/>
  <c r="G28"/>
  <c r="H28"/>
  <c r="I28"/>
  <c r="G29"/>
  <c r="H29"/>
  <c r="L29"/>
  <c r="I29"/>
  <c r="G30"/>
  <c r="H30"/>
  <c r="L30"/>
  <c r="I30"/>
  <c r="G31"/>
  <c r="H31"/>
  <c r="L31"/>
  <c r="I31"/>
  <c r="G32"/>
  <c r="H32"/>
  <c r="I32"/>
  <c r="G33"/>
  <c r="H33"/>
  <c r="I33"/>
  <c r="G34"/>
  <c r="H34"/>
  <c r="I34"/>
  <c r="G35"/>
  <c r="H35"/>
  <c r="I35"/>
  <c r="I2"/>
  <c r="G2"/>
  <c r="K42" i="17"/>
  <c r="M42"/>
  <c r="R42" s="1"/>
  <c r="J42"/>
  <c r="L42" s="1"/>
  <c r="Q42" s="1"/>
  <c r="I5" i="19"/>
  <c r="I6" s="1"/>
  <c r="I7" s="1"/>
  <c r="I8" s="1"/>
  <c r="I9" s="1"/>
  <c r="I10" s="1"/>
  <c r="I11" s="1"/>
  <c r="I12" s="1"/>
  <c r="I13" s="1"/>
  <c r="I14" s="1"/>
  <c r="I15" s="1"/>
  <c r="I16" s="1"/>
  <c r="I17" s="1"/>
  <c r="I18" s="1"/>
  <c r="I19" s="1"/>
  <c r="I20" s="1"/>
  <c r="I21" s="1"/>
  <c r="I22" s="1"/>
  <c r="I23" s="1"/>
  <c r="I24" s="1"/>
  <c r="I25" s="1"/>
  <c r="I26" s="1"/>
  <c r="I27" s="1"/>
  <c r="I28" s="1"/>
  <c r="I29" s="1"/>
  <c r="I30" s="1"/>
  <c r="I31" s="1"/>
  <c r="I32" s="1"/>
  <c r="I33" s="1"/>
  <c r="I34" s="1"/>
  <c r="I35" s="1"/>
  <c r="I36" s="1"/>
  <c r="I37" s="1"/>
  <c r="I38" s="1"/>
  <c r="I39" s="1"/>
  <c r="I40" s="1"/>
  <c r="I41" s="1"/>
  <c r="I42" s="1"/>
  <c r="I43" s="1"/>
  <c r="I44" s="1"/>
  <c r="I45" s="1"/>
  <c r="I46" s="1"/>
  <c r="I47" s="1"/>
  <c r="I48" s="1"/>
  <c r="I49" s="1"/>
  <c r="I50" s="1"/>
  <c r="I51" s="1"/>
  <c r="I52" s="1"/>
  <c r="I53" s="1"/>
  <c r="I54" s="1"/>
  <c r="I55" s="1"/>
  <c r="I56" s="1"/>
  <c r="I57" s="1"/>
  <c r="I58" s="1"/>
  <c r="I59" s="1"/>
  <c r="I60" s="1"/>
  <c r="I61" s="1"/>
  <c r="I62" s="1"/>
  <c r="I63" s="1"/>
  <c r="I64" s="1"/>
  <c r="I65" s="1"/>
  <c r="I66" s="1"/>
  <c r="I67" s="1"/>
  <c r="I68" s="1"/>
  <c r="I69" s="1"/>
  <c r="I70" s="1"/>
  <c r="I71" s="1"/>
  <c r="I72" s="1"/>
  <c r="I73" s="1"/>
  <c r="I74" s="1"/>
  <c r="I75" s="1"/>
  <c r="I76" s="1"/>
  <c r="I77" s="1"/>
  <c r="I78" s="1"/>
  <c r="I79" s="1"/>
  <c r="I80" s="1"/>
  <c r="I81" s="1"/>
  <c r="I82" s="1"/>
  <c r="I83" s="1"/>
  <c r="I84" s="1"/>
  <c r="I85" s="1"/>
  <c r="I86" s="1"/>
  <c r="I87" s="1"/>
  <c r="I88" s="1"/>
  <c r="I89" s="1"/>
  <c r="I90" s="1"/>
  <c r="I91" s="1"/>
  <c r="I92" s="1"/>
  <c r="I93" s="1"/>
  <c r="I94" s="1"/>
  <c r="I95" s="1"/>
  <c r="I96" s="1"/>
  <c r="I97" s="1"/>
  <c r="I98" s="1"/>
  <c r="I99" s="1"/>
  <c r="I100" s="1"/>
  <c r="I101" s="1"/>
  <c r="I102" s="1"/>
  <c r="I103" s="1"/>
  <c r="I104" s="1"/>
  <c r="I105" s="1"/>
  <c r="I106" s="1"/>
  <c r="I107" s="1"/>
  <c r="I108" s="1"/>
  <c r="I109" s="1"/>
  <c r="I110" s="1"/>
  <c r="I111" s="1"/>
  <c r="I112" s="1"/>
  <c r="I113" s="1"/>
  <c r="I114" s="1"/>
  <c r="I115" s="1"/>
  <c r="Q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N86"/>
  <c r="N87"/>
  <c r="N88"/>
  <c r="N89"/>
  <c r="N90"/>
  <c r="N91"/>
  <c r="N92"/>
  <c r="N93"/>
  <c r="N94"/>
  <c r="N95"/>
  <c r="N96"/>
  <c r="N97"/>
  <c r="N98"/>
  <c r="N99"/>
  <c r="N100"/>
  <c r="N101"/>
  <c r="N102"/>
  <c r="N103"/>
  <c r="N104"/>
  <c r="N105"/>
  <c r="N106"/>
  <c r="N107"/>
  <c r="N108"/>
  <c r="N109"/>
  <c r="N110"/>
  <c r="N111"/>
  <c r="N112"/>
  <c r="N113"/>
  <c r="N114"/>
  <c r="N115"/>
  <c r="L4"/>
  <c r="B5"/>
  <c r="E5"/>
  <c r="C5"/>
  <c r="B6"/>
  <c r="C6"/>
  <c r="B7"/>
  <c r="C7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D5"/>
  <c r="D6"/>
  <c r="D7"/>
  <c r="D8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G5"/>
  <c r="N14" i="20"/>
  <c r="N13"/>
  <c r="M13"/>
  <c r="N12"/>
  <c r="M12"/>
  <c r="N11"/>
  <c r="M11"/>
  <c r="N10"/>
  <c r="M10"/>
  <c r="H5" i="19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H35" s="1"/>
  <c r="H36" s="1"/>
  <c r="H37" s="1"/>
  <c r="H38" s="1"/>
  <c r="H39" s="1"/>
  <c r="H40" s="1"/>
  <c r="H41" s="1"/>
  <c r="H42" s="1"/>
  <c r="H43" s="1"/>
  <c r="H44" s="1"/>
  <c r="H45" s="1"/>
  <c r="H46" s="1"/>
  <c r="H47" s="1"/>
  <c r="H48" s="1"/>
  <c r="H49" s="1"/>
  <c r="H50" s="1"/>
  <c r="H51" s="1"/>
  <c r="H52" s="1"/>
  <c r="H53" s="1"/>
  <c r="H54" s="1"/>
  <c r="H55" s="1"/>
  <c r="H56" s="1"/>
  <c r="H57" s="1"/>
  <c r="H58" s="1"/>
  <c r="H59" s="1"/>
  <c r="H60" s="1"/>
  <c r="H61" s="1"/>
  <c r="H62" s="1"/>
  <c r="H63" s="1"/>
  <c r="H64" s="1"/>
  <c r="H65" s="1"/>
  <c r="H66" s="1"/>
  <c r="H67" s="1"/>
  <c r="H68" s="1"/>
  <c r="H69" s="1"/>
  <c r="H70" s="1"/>
  <c r="H71" s="1"/>
  <c r="H72" s="1"/>
  <c r="H73" s="1"/>
  <c r="H74" s="1"/>
  <c r="H75" s="1"/>
  <c r="H76" s="1"/>
  <c r="H77" s="1"/>
  <c r="H78" s="1"/>
  <c r="H79" s="1"/>
  <c r="H80" s="1"/>
  <c r="H81" s="1"/>
  <c r="H82" s="1"/>
  <c r="H83" s="1"/>
  <c r="H84" s="1"/>
  <c r="H85" s="1"/>
  <c r="H86" s="1"/>
  <c r="H87" s="1"/>
  <c r="H88" s="1"/>
  <c r="H89" s="1"/>
  <c r="H90" s="1"/>
  <c r="H91" s="1"/>
  <c r="H92" s="1"/>
  <c r="H93" s="1"/>
  <c r="H94" s="1"/>
  <c r="H95" s="1"/>
  <c r="H96" s="1"/>
  <c r="H97" s="1"/>
  <c r="H98" s="1"/>
  <c r="H99" s="1"/>
  <c r="H100" s="1"/>
  <c r="H101" s="1"/>
  <c r="H102" s="1"/>
  <c r="H103" s="1"/>
  <c r="H104" s="1"/>
  <c r="H105" s="1"/>
  <c r="H106" s="1"/>
  <c r="H107" s="1"/>
  <c r="H108" s="1"/>
  <c r="H109" s="1"/>
  <c r="H110" s="1"/>
  <c r="H111" s="1"/>
  <c r="H112" s="1"/>
  <c r="H113" s="1"/>
  <c r="H114" s="1"/>
  <c r="H115" s="1"/>
  <c r="M9" i="20"/>
  <c r="M8"/>
  <c r="M7"/>
  <c r="M6"/>
  <c r="M5"/>
  <c r="M4"/>
  <c r="M3"/>
  <c r="M2"/>
  <c r="E4" i="19"/>
  <c r="J39" i="17"/>
  <c r="L39" s="1"/>
  <c r="Q39" s="1"/>
  <c r="K39"/>
  <c r="M39"/>
  <c r="R39" s="1"/>
  <c r="K37"/>
  <c r="M37" s="1"/>
  <c r="A6" i="14"/>
  <c r="A9"/>
  <c r="J33" i="17"/>
  <c r="L33" s="1"/>
  <c r="K33"/>
  <c r="M33"/>
  <c r="O33" s="1"/>
  <c r="H33" i="9"/>
  <c r="H34"/>
  <c r="H35"/>
  <c r="H36"/>
  <c r="H32"/>
  <c r="I36"/>
  <c r="J36"/>
  <c r="P36"/>
  <c r="K36"/>
  <c r="O36"/>
  <c r="Q36"/>
  <c r="I34"/>
  <c r="J34"/>
  <c r="P34"/>
  <c r="K34"/>
  <c r="I35"/>
  <c r="J35"/>
  <c r="P35"/>
  <c r="K35"/>
  <c r="O35"/>
  <c r="Q35"/>
  <c r="I33"/>
  <c r="O33"/>
  <c r="J33"/>
  <c r="K33"/>
  <c r="I32"/>
  <c r="J32"/>
  <c r="P32"/>
  <c r="K32"/>
  <c r="O32"/>
  <c r="Q32"/>
  <c r="C5"/>
  <c r="K13"/>
  <c r="P11"/>
  <c r="P12"/>
  <c r="P13"/>
  <c r="P14"/>
  <c r="P15"/>
  <c r="P16"/>
  <c r="P17"/>
  <c r="P10"/>
  <c r="N11"/>
  <c r="Q11"/>
  <c r="N12"/>
  <c r="Q12"/>
  <c r="N13"/>
  <c r="Q13"/>
  <c r="N14"/>
  <c r="N15"/>
  <c r="Q15"/>
  <c r="N16"/>
  <c r="Q16"/>
  <c r="N17"/>
  <c r="Q17"/>
  <c r="N10"/>
  <c r="Q10"/>
  <c r="B5"/>
  <c r="J28" i="17"/>
  <c r="L28" s="1"/>
  <c r="K28"/>
  <c r="M28" s="1"/>
  <c r="O28" s="1"/>
  <c r="J30"/>
  <c r="K30"/>
  <c r="M30" s="1"/>
  <c r="O30" s="1"/>
  <c r="L30"/>
  <c r="J32"/>
  <c r="L32"/>
  <c r="K32"/>
  <c r="M32" s="1"/>
  <c r="O32" s="1"/>
  <c r="J27"/>
  <c r="L27" s="1"/>
  <c r="K27"/>
  <c r="M27" s="1"/>
  <c r="J26"/>
  <c r="L26" s="1"/>
  <c r="O26" s="1"/>
  <c r="K26"/>
  <c r="M26"/>
  <c r="J6"/>
  <c r="L6" s="1"/>
  <c r="K7"/>
  <c r="M7" s="1"/>
  <c r="O7" s="1"/>
  <c r="J10"/>
  <c r="L10" s="1"/>
  <c r="K11"/>
  <c r="M11" s="1"/>
  <c r="O11" s="1"/>
  <c r="J11"/>
  <c r="L11"/>
  <c r="K14"/>
  <c r="M14" s="1"/>
  <c r="J14"/>
  <c r="L14" s="1"/>
  <c r="K15"/>
  <c r="M15" s="1"/>
  <c r="O15" s="1"/>
  <c r="K16"/>
  <c r="M16" s="1"/>
  <c r="O16" s="1"/>
  <c r="J16"/>
  <c r="L16"/>
  <c r="K17"/>
  <c r="M17" s="1"/>
  <c r="J17"/>
  <c r="L17" s="1"/>
  <c r="O17" s="1"/>
  <c r="K20"/>
  <c r="M20" s="1"/>
  <c r="J20"/>
  <c r="L20" s="1"/>
  <c r="J22"/>
  <c r="L22"/>
  <c r="D68"/>
  <c r="D74"/>
  <c r="AA18" i="8"/>
  <c r="J37" i="17"/>
  <c r="L37" s="1"/>
  <c r="Q37" s="1"/>
  <c r="AA17" i="8"/>
  <c r="J15" i="17"/>
  <c r="L15" s="1"/>
  <c r="D37" i="14"/>
  <c r="C37"/>
  <c r="B37"/>
  <c r="B40"/>
  <c r="T11" i="16"/>
  <c r="U11"/>
  <c r="T12"/>
  <c r="U12"/>
  <c r="T13"/>
  <c r="U13"/>
  <c r="P25"/>
  <c r="P26"/>
  <c r="P27"/>
  <c r="R10"/>
  <c r="S10"/>
  <c r="R9"/>
  <c r="R8"/>
  <c r="P34"/>
  <c r="P35" s="1"/>
  <c r="D36"/>
  <c r="C37"/>
  <c r="C36"/>
  <c r="C40" s="1"/>
  <c r="A6"/>
  <c r="R6"/>
  <c r="T6"/>
  <c r="AC6"/>
  <c r="B15"/>
  <c r="D16"/>
  <c r="L20"/>
  <c r="L21"/>
  <c r="L22"/>
  <c r="L24"/>
  <c r="O25"/>
  <c r="L26"/>
  <c r="O31"/>
  <c r="D32"/>
  <c r="H46"/>
  <c r="I46"/>
  <c r="J46"/>
  <c r="K46"/>
  <c r="B8" i="14"/>
  <c r="B10"/>
  <c r="B11"/>
  <c r="E21"/>
  <c r="B14"/>
  <c r="W8"/>
  <c r="W11"/>
  <c r="T13"/>
  <c r="U13"/>
  <c r="R8"/>
  <c r="S8"/>
  <c r="T12"/>
  <c r="U12"/>
  <c r="X12"/>
  <c r="R9"/>
  <c r="T11"/>
  <c r="U11"/>
  <c r="R10"/>
  <c r="W10"/>
  <c r="S10"/>
  <c r="T10"/>
  <c r="U10"/>
  <c r="X10"/>
  <c r="P29" s="1"/>
  <c r="R11"/>
  <c r="S11"/>
  <c r="T9"/>
  <c r="U9"/>
  <c r="R12"/>
  <c r="S12"/>
  <c r="W12"/>
  <c r="T8"/>
  <c r="U8"/>
  <c r="X8"/>
  <c r="R13"/>
  <c r="S13"/>
  <c r="T7"/>
  <c r="R7"/>
  <c r="S7"/>
  <c r="P25"/>
  <c r="O25"/>
  <c r="X6"/>
  <c r="W6"/>
  <c r="E14" i="8"/>
  <c r="T6" i="14"/>
  <c r="R6"/>
  <c r="B15"/>
  <c r="D16"/>
  <c r="B20"/>
  <c r="C22"/>
  <c r="C52"/>
  <c r="C20"/>
  <c r="C24"/>
  <c r="D20"/>
  <c r="H20"/>
  <c r="H21"/>
  <c r="I20"/>
  <c r="H24"/>
  <c r="J20"/>
  <c r="K20"/>
  <c r="L20"/>
  <c r="D21"/>
  <c r="J21"/>
  <c r="K21"/>
  <c r="E22"/>
  <c r="J22"/>
  <c r="J52"/>
  <c r="K22"/>
  <c r="C23"/>
  <c r="D23"/>
  <c r="E23"/>
  <c r="H23"/>
  <c r="J23"/>
  <c r="K23"/>
  <c r="B24"/>
  <c r="E24"/>
  <c r="J24"/>
  <c r="K24"/>
  <c r="C25"/>
  <c r="D25"/>
  <c r="E25"/>
  <c r="H25"/>
  <c r="H53"/>
  <c r="I25"/>
  <c r="K25"/>
  <c r="B26"/>
  <c r="E26"/>
  <c r="J26"/>
  <c r="K26"/>
  <c r="B31"/>
  <c r="C31"/>
  <c r="D31"/>
  <c r="B32"/>
  <c r="C32"/>
  <c r="D32"/>
  <c r="B33"/>
  <c r="C33"/>
  <c r="D33"/>
  <c r="B38"/>
  <c r="B48"/>
  <c r="F48"/>
  <c r="C38"/>
  <c r="D38"/>
  <c r="C39"/>
  <c r="D39"/>
  <c r="C40"/>
  <c r="D40"/>
  <c r="B46"/>
  <c r="C46"/>
  <c r="E46"/>
  <c r="H46"/>
  <c r="H47"/>
  <c r="I46"/>
  <c r="J46"/>
  <c r="L46"/>
  <c r="K46"/>
  <c r="C47"/>
  <c r="I47"/>
  <c r="C48"/>
  <c r="D48"/>
  <c r="I48"/>
  <c r="J48"/>
  <c r="C49"/>
  <c r="D49"/>
  <c r="I49"/>
  <c r="J49"/>
  <c r="C51"/>
  <c r="D51"/>
  <c r="I51"/>
  <c r="J51"/>
  <c r="C53"/>
  <c r="D53"/>
  <c r="I53"/>
  <c r="D30" i="4"/>
  <c r="I14" i="12"/>
  <c r="L14"/>
  <c r="I15"/>
  <c r="L15"/>
  <c r="I16"/>
  <c r="I25"/>
  <c r="B14"/>
  <c r="B15"/>
  <c r="E15"/>
  <c r="I13"/>
  <c r="L5" i="13"/>
  <c r="K6"/>
  <c r="L6"/>
  <c r="K3"/>
  <c r="J4"/>
  <c r="L4"/>
  <c r="J5"/>
  <c r="J6"/>
  <c r="J7"/>
  <c r="L7"/>
  <c r="J8"/>
  <c r="L8"/>
  <c r="J3"/>
  <c r="G3"/>
  <c r="H10"/>
  <c r="G4"/>
  <c r="G11"/>
  <c r="H4"/>
  <c r="G5"/>
  <c r="K5"/>
  <c r="H5"/>
  <c r="G6"/>
  <c r="H6"/>
  <c r="G7"/>
  <c r="K7"/>
  <c r="H7"/>
  <c r="G8"/>
  <c r="H8"/>
  <c r="H3"/>
  <c r="L3"/>
  <c r="B13" i="12"/>
  <c r="F14" i="8"/>
  <c r="C15"/>
  <c r="F15"/>
  <c r="E15"/>
  <c r="C16"/>
  <c r="F16"/>
  <c r="E18"/>
  <c r="E19"/>
  <c r="C20"/>
  <c r="E20"/>
  <c r="E26"/>
  <c r="J26"/>
  <c r="C21"/>
  <c r="C27"/>
  <c r="H27"/>
  <c r="E21"/>
  <c r="C24"/>
  <c r="H24"/>
  <c r="D5" i="9"/>
  <c r="B10"/>
  <c r="C10"/>
  <c r="D10"/>
  <c r="B15"/>
  <c r="C15"/>
  <c r="D15"/>
  <c r="B20"/>
  <c r="C20"/>
  <c r="D20"/>
  <c r="B25"/>
  <c r="C25"/>
  <c r="D25"/>
  <c r="B30"/>
  <c r="C30"/>
  <c r="D30"/>
  <c r="B35"/>
  <c r="C35"/>
  <c r="D35"/>
  <c r="B7" i="4"/>
  <c r="B9"/>
  <c r="B10"/>
  <c r="B13"/>
  <c r="B14"/>
  <c r="H19"/>
  <c r="I19"/>
  <c r="L19"/>
  <c r="J19"/>
  <c r="J20"/>
  <c r="K19"/>
  <c r="H20"/>
  <c r="K20"/>
  <c r="H21"/>
  <c r="I21"/>
  <c r="L21"/>
  <c r="J21"/>
  <c r="K21"/>
  <c r="H22"/>
  <c r="K22"/>
  <c r="I23"/>
  <c r="K23"/>
  <c r="K24"/>
  <c r="I25"/>
  <c r="K25"/>
  <c r="B30"/>
  <c r="H50"/>
  <c r="L50"/>
  <c r="C30"/>
  <c r="B31"/>
  <c r="C31"/>
  <c r="D31"/>
  <c r="B32"/>
  <c r="C32"/>
  <c r="D32"/>
  <c r="B37"/>
  <c r="B47"/>
  <c r="C37"/>
  <c r="D37"/>
  <c r="B38"/>
  <c r="C38"/>
  <c r="D38"/>
  <c r="B39"/>
  <c r="C39"/>
  <c r="D39"/>
  <c r="H45"/>
  <c r="H46"/>
  <c r="I45"/>
  <c r="J45"/>
  <c r="L45"/>
  <c r="K45"/>
  <c r="I46"/>
  <c r="I47"/>
  <c r="J47"/>
  <c r="H48"/>
  <c r="I48"/>
  <c r="L48"/>
  <c r="J48"/>
  <c r="I50"/>
  <c r="J50"/>
  <c r="I51"/>
  <c r="J51"/>
  <c r="E26" i="16"/>
  <c r="E22"/>
  <c r="E23"/>
  <c r="B8" i="19"/>
  <c r="E7"/>
  <c r="D22" i="4"/>
  <c r="E25"/>
  <c r="C47"/>
  <c r="C48"/>
  <c r="C19"/>
  <c r="C50"/>
  <c r="E20"/>
  <c r="E22"/>
  <c r="C23"/>
  <c r="E24"/>
  <c r="D45"/>
  <c r="D46"/>
  <c r="B19"/>
  <c r="C45"/>
  <c r="C46"/>
  <c r="E19"/>
  <c r="E21"/>
  <c r="C22"/>
  <c r="E23"/>
  <c r="B45"/>
  <c r="D47"/>
  <c r="D48"/>
  <c r="D19"/>
  <c r="D50"/>
  <c r="B24"/>
  <c r="D25"/>
  <c r="E45"/>
  <c r="L11" i="13"/>
  <c r="L10"/>
  <c r="D14" i="4"/>
  <c r="D15"/>
  <c r="C25" i="8"/>
  <c r="H25"/>
  <c r="C26"/>
  <c r="H26"/>
  <c r="E24"/>
  <c r="J24"/>
  <c r="E25"/>
  <c r="J25"/>
  <c r="F47" i="4"/>
  <c r="F46" i="14"/>
  <c r="L46" i="4"/>
  <c r="L53" i="14"/>
  <c r="O30"/>
  <c r="K10" i="13"/>
  <c r="M10"/>
  <c r="M14"/>
  <c r="L24" i="14"/>
  <c r="Q33" i="9"/>
  <c r="E27" i="8"/>
  <c r="J27"/>
  <c r="I11" i="13"/>
  <c r="I15"/>
  <c r="L25" i="16"/>
  <c r="Z9"/>
  <c r="S9"/>
  <c r="V77" i="20"/>
  <c r="S78"/>
  <c r="V78"/>
  <c r="S41"/>
  <c r="V40"/>
  <c r="V29"/>
  <c r="S30"/>
  <c r="V30"/>
  <c r="I19" i="12"/>
  <c r="L25" i="14"/>
  <c r="L46" i="16"/>
  <c r="J46" i="4"/>
  <c r="J25"/>
  <c r="H24"/>
  <c r="J23"/>
  <c r="G10" i="13"/>
  <c r="I10"/>
  <c r="I14"/>
  <c r="J47" i="14"/>
  <c r="L47"/>
  <c r="I23"/>
  <c r="L23"/>
  <c r="I21"/>
  <c r="L21"/>
  <c r="B21"/>
  <c r="U7"/>
  <c r="X7"/>
  <c r="P26" s="1"/>
  <c r="Z8" i="16"/>
  <c r="Q14" i="9"/>
  <c r="I24" i="4"/>
  <c r="I52"/>
  <c r="I22"/>
  <c r="I20"/>
  <c r="L20"/>
  <c r="H51"/>
  <c r="L51"/>
  <c r="B48"/>
  <c r="F48"/>
  <c r="H47"/>
  <c r="L47"/>
  <c r="H25"/>
  <c r="J24"/>
  <c r="J52"/>
  <c r="H23"/>
  <c r="L23"/>
  <c r="J22"/>
  <c r="H11" i="13"/>
  <c r="H51" i="14"/>
  <c r="L51"/>
  <c r="B51"/>
  <c r="F51"/>
  <c r="B49"/>
  <c r="F49"/>
  <c r="H48"/>
  <c r="L48"/>
  <c r="B47"/>
  <c r="F47"/>
  <c r="D46"/>
  <c r="D47"/>
  <c r="B39"/>
  <c r="H49"/>
  <c r="L49"/>
  <c r="I26"/>
  <c r="D26"/>
  <c r="B25"/>
  <c r="I24"/>
  <c r="D24"/>
  <c r="F24"/>
  <c r="B23"/>
  <c r="F23"/>
  <c r="I22"/>
  <c r="I52"/>
  <c r="D22"/>
  <c r="D52"/>
  <c r="D15"/>
  <c r="X9"/>
  <c r="P28" s="1"/>
  <c r="X11"/>
  <c r="X13"/>
  <c r="P32" s="1"/>
  <c r="W7"/>
  <c r="AA12" i="16"/>
  <c r="P33" i="9"/>
  <c r="O34"/>
  <c r="Q34"/>
  <c r="W9" i="14"/>
  <c r="O28" s="1"/>
  <c r="S9"/>
  <c r="E20"/>
  <c r="F20"/>
  <c r="C21"/>
  <c r="R57" i="17"/>
  <c r="K8" i="13"/>
  <c r="K4"/>
  <c r="K11"/>
  <c r="M11"/>
  <c r="M15"/>
  <c r="L16" i="12"/>
  <c r="B22" i="14"/>
  <c r="D15" i="16"/>
  <c r="E6" i="19"/>
  <c r="H26" i="14"/>
  <c r="L26"/>
  <c r="C26"/>
  <c r="F26"/>
  <c r="J25"/>
  <c r="J53"/>
  <c r="H22"/>
  <c r="W13"/>
  <c r="O32" s="1"/>
  <c r="O29" i="16"/>
  <c r="S8"/>
  <c r="V97" i="20"/>
  <c r="S98"/>
  <c r="V98"/>
  <c r="S57"/>
  <c r="V56"/>
  <c r="K22" i="17"/>
  <c r="M22" s="1"/>
  <c r="O22" s="1"/>
  <c r="K10"/>
  <c r="M10" s="1"/>
  <c r="O10" s="1"/>
  <c r="K6"/>
  <c r="M6" s="1"/>
  <c r="O6" s="1"/>
  <c r="J38"/>
  <c r="L38"/>
  <c r="Q38" s="1"/>
  <c r="L28" i="21"/>
  <c r="L37"/>
  <c r="Z10" i="16"/>
  <c r="AA13"/>
  <c r="AA11"/>
  <c r="AA19" i="8"/>
  <c r="J7" i="17"/>
  <c r="L7" s="1"/>
  <c r="K38"/>
  <c r="M38"/>
  <c r="R38" s="1"/>
  <c r="P5" i="19"/>
  <c r="Q5" s="1"/>
  <c r="P6" s="1"/>
  <c r="Q6" s="1"/>
  <c r="P7" s="1"/>
  <c r="Q7" s="1"/>
  <c r="P8" s="1"/>
  <c r="Q8" s="1"/>
  <c r="P9" s="1"/>
  <c r="Q9" s="1"/>
  <c r="P10" s="1"/>
  <c r="Q10" s="1"/>
  <c r="P11" s="1"/>
  <c r="Q11" s="1"/>
  <c r="P12" s="1"/>
  <c r="Q12" s="1"/>
  <c r="P13" s="1"/>
  <c r="Q13" s="1"/>
  <c r="P14" s="1"/>
  <c r="Q14" s="1"/>
  <c r="P15" s="1"/>
  <c r="Q15" s="1"/>
  <c r="P16" s="1"/>
  <c r="Q16" s="1"/>
  <c r="P17" s="1"/>
  <c r="Q17" s="1"/>
  <c r="P18" s="1"/>
  <c r="Q18" s="1"/>
  <c r="P19" s="1"/>
  <c r="Q19" s="1"/>
  <c r="P20" s="1"/>
  <c r="Q20" s="1"/>
  <c r="P21" s="1"/>
  <c r="Q21" s="1"/>
  <c r="P22" s="1"/>
  <c r="Q22" s="1"/>
  <c r="P23" s="1"/>
  <c r="Q23" s="1"/>
  <c r="P24" s="1"/>
  <c r="Q24" s="1"/>
  <c r="P25" s="1"/>
  <c r="Q25" s="1"/>
  <c r="P26" s="1"/>
  <c r="Q26" s="1"/>
  <c r="P27" s="1"/>
  <c r="Q27" s="1"/>
  <c r="P28" s="1"/>
  <c r="Q28" s="1"/>
  <c r="P29" s="1"/>
  <c r="Q29" s="1"/>
  <c r="P30" s="1"/>
  <c r="Q30" s="1"/>
  <c r="P31" s="1"/>
  <c r="Q31" s="1"/>
  <c r="P32" s="1"/>
  <c r="Q32" s="1"/>
  <c r="P33" s="1"/>
  <c r="Q33" s="1"/>
  <c r="P34" s="1"/>
  <c r="Q34" s="1"/>
  <c r="P35" s="1"/>
  <c r="Q35" s="1"/>
  <c r="P36" s="1"/>
  <c r="Q36" s="1"/>
  <c r="P37" s="1"/>
  <c r="Q37" s="1"/>
  <c r="P38" s="1"/>
  <c r="Q38" s="1"/>
  <c r="P39" s="1"/>
  <c r="Q39" s="1"/>
  <c r="P40" s="1"/>
  <c r="Q40" s="1"/>
  <c r="P41" s="1"/>
  <c r="Q41" s="1"/>
  <c r="P42" s="1"/>
  <c r="Q42" s="1"/>
  <c r="P43" s="1"/>
  <c r="Q43" s="1"/>
  <c r="P44" s="1"/>
  <c r="Q44" s="1"/>
  <c r="P45" s="1"/>
  <c r="Q45" s="1"/>
  <c r="P46" s="1"/>
  <c r="Q46" s="1"/>
  <c r="P47" s="1"/>
  <c r="Q47" s="1"/>
  <c r="P48" s="1"/>
  <c r="Q48" s="1"/>
  <c r="P49" s="1"/>
  <c r="Q49" s="1"/>
  <c r="P50" s="1"/>
  <c r="Q50" s="1"/>
  <c r="P51" s="1"/>
  <c r="Q51" s="1"/>
  <c r="P52" s="1"/>
  <c r="Q52" s="1"/>
  <c r="P53" s="1"/>
  <c r="Q53" s="1"/>
  <c r="P54" s="1"/>
  <c r="Q54" s="1"/>
  <c r="P55" s="1"/>
  <c r="Q55" s="1"/>
  <c r="P56" s="1"/>
  <c r="Q56" s="1"/>
  <c r="P57" s="1"/>
  <c r="Q57" s="1"/>
  <c r="P58" s="1"/>
  <c r="Q58" s="1"/>
  <c r="P59" s="1"/>
  <c r="Q59" s="1"/>
  <c r="P60" s="1"/>
  <c r="Q60" s="1"/>
  <c r="P61" s="1"/>
  <c r="Q61" s="1"/>
  <c r="P62" s="1"/>
  <c r="Q62" s="1"/>
  <c r="P63" s="1"/>
  <c r="Q63" s="1"/>
  <c r="P64" s="1"/>
  <c r="Q64" s="1"/>
  <c r="P65" s="1"/>
  <c r="Q65" s="1"/>
  <c r="P66" s="1"/>
  <c r="Q66" s="1"/>
  <c r="P67" s="1"/>
  <c r="Q67" s="1"/>
  <c r="P68" s="1"/>
  <c r="Q68" s="1"/>
  <c r="P69" s="1"/>
  <c r="Q69" s="1"/>
  <c r="P70" s="1"/>
  <c r="Q70" s="1"/>
  <c r="P71" s="1"/>
  <c r="Q71" s="1"/>
  <c r="P72" s="1"/>
  <c r="Q72" s="1"/>
  <c r="P73" s="1"/>
  <c r="Q73" s="1"/>
  <c r="P74" s="1"/>
  <c r="Q74" s="1"/>
  <c r="P75" s="1"/>
  <c r="Q75" s="1"/>
  <c r="P76" s="1"/>
  <c r="Q76" s="1"/>
  <c r="P77" s="1"/>
  <c r="Q77" s="1"/>
  <c r="P78" s="1"/>
  <c r="Q78" s="1"/>
  <c r="P79" s="1"/>
  <c r="Q79" s="1"/>
  <c r="P80" s="1"/>
  <c r="Q80" s="1"/>
  <c r="P81" s="1"/>
  <c r="Q81" s="1"/>
  <c r="P82" s="1"/>
  <c r="Q82" s="1"/>
  <c r="P83" s="1"/>
  <c r="Q83" s="1"/>
  <c r="P84" s="1"/>
  <c r="Q84" s="1"/>
  <c r="P85" s="1"/>
  <c r="Q85" s="1"/>
  <c r="P86" s="1"/>
  <c r="Q86" s="1"/>
  <c r="P87" s="1"/>
  <c r="Q87" s="1"/>
  <c r="P88" s="1"/>
  <c r="Q88" s="1"/>
  <c r="P89" s="1"/>
  <c r="Q89" s="1"/>
  <c r="P90" s="1"/>
  <c r="Q90" s="1"/>
  <c r="P91" s="1"/>
  <c r="Q91" s="1"/>
  <c r="P92" s="1"/>
  <c r="Q92" s="1"/>
  <c r="P93" s="1"/>
  <c r="Q93" s="1"/>
  <c r="P94" s="1"/>
  <c r="Q94" s="1"/>
  <c r="P95" s="1"/>
  <c r="Q95" s="1"/>
  <c r="P96" s="1"/>
  <c r="Q96" s="1"/>
  <c r="P97" s="1"/>
  <c r="Q97" s="1"/>
  <c r="P98" s="1"/>
  <c r="Q98" s="1"/>
  <c r="P99" s="1"/>
  <c r="Q99" s="1"/>
  <c r="P100" s="1"/>
  <c r="Q100" s="1"/>
  <c r="P101" s="1"/>
  <c r="Q101" s="1"/>
  <c r="P102" s="1"/>
  <c r="Q102" s="1"/>
  <c r="P103" s="1"/>
  <c r="Q103" s="1"/>
  <c r="P104" s="1"/>
  <c r="Q104" s="1"/>
  <c r="P105" s="1"/>
  <c r="Q105" s="1"/>
  <c r="P106" s="1"/>
  <c r="Q106" s="1"/>
  <c r="P107" s="1"/>
  <c r="Q107" s="1"/>
  <c r="P108" s="1"/>
  <c r="Q108" s="1"/>
  <c r="P109" s="1"/>
  <c r="Q109" s="1"/>
  <c r="P110" s="1"/>
  <c r="Q110" s="1"/>
  <c r="P111" s="1"/>
  <c r="Q111" s="1"/>
  <c r="P112" s="1"/>
  <c r="Q112" s="1"/>
  <c r="P113" s="1"/>
  <c r="Q113" s="1"/>
  <c r="P114" s="1"/>
  <c r="Q114" s="1"/>
  <c r="P115" s="1"/>
  <c r="Q115" s="1"/>
  <c r="S121" i="20"/>
  <c r="V120"/>
  <c r="V33"/>
  <c r="S34"/>
  <c r="V34"/>
  <c r="K5" i="19"/>
  <c r="L5" s="1"/>
  <c r="K6" s="1"/>
  <c r="L6" s="1"/>
  <c r="K7" s="1"/>
  <c r="L7" s="1"/>
  <c r="K8" s="1"/>
  <c r="L8" s="1"/>
  <c r="K9" s="1"/>
  <c r="L9" s="1"/>
  <c r="K10" s="1"/>
  <c r="L10" s="1"/>
  <c r="K11" s="1"/>
  <c r="L11" s="1"/>
  <c r="K12" s="1"/>
  <c r="L12" s="1"/>
  <c r="K13" s="1"/>
  <c r="L13" s="1"/>
  <c r="K14" s="1"/>
  <c r="L14" s="1"/>
  <c r="K15" s="1"/>
  <c r="L15" s="1"/>
  <c r="K16" s="1"/>
  <c r="L16" s="1"/>
  <c r="K17" s="1"/>
  <c r="L17" s="1"/>
  <c r="K18" s="1"/>
  <c r="L18" s="1"/>
  <c r="K19" s="1"/>
  <c r="L19" s="1"/>
  <c r="K20" s="1"/>
  <c r="L20" s="1"/>
  <c r="K21" s="1"/>
  <c r="L21" s="1"/>
  <c r="K22" s="1"/>
  <c r="L22" s="1"/>
  <c r="K23" s="1"/>
  <c r="L23" s="1"/>
  <c r="K24" s="1"/>
  <c r="L24" s="1"/>
  <c r="K25" s="1"/>
  <c r="L25" s="1"/>
  <c r="K26" s="1"/>
  <c r="L26" s="1"/>
  <c r="K27" s="1"/>
  <c r="L27" s="1"/>
  <c r="K28" s="1"/>
  <c r="L28" s="1"/>
  <c r="K29" s="1"/>
  <c r="L29" s="1"/>
  <c r="K30" s="1"/>
  <c r="L30" s="1"/>
  <c r="K31" s="1"/>
  <c r="L31" s="1"/>
  <c r="K32" s="1"/>
  <c r="L32" s="1"/>
  <c r="K33" s="1"/>
  <c r="L33" s="1"/>
  <c r="K34" s="1"/>
  <c r="L34" s="1"/>
  <c r="K35" s="1"/>
  <c r="L35" s="1"/>
  <c r="K36" s="1"/>
  <c r="L36" s="1"/>
  <c r="K37" s="1"/>
  <c r="L37" s="1"/>
  <c r="K38" s="1"/>
  <c r="L38" s="1"/>
  <c r="K39" s="1"/>
  <c r="L39" s="1"/>
  <c r="K40" s="1"/>
  <c r="L40" s="1"/>
  <c r="K41" s="1"/>
  <c r="L41" s="1"/>
  <c r="K42" s="1"/>
  <c r="L42" s="1"/>
  <c r="K43" s="1"/>
  <c r="L43" s="1"/>
  <c r="K44" s="1"/>
  <c r="L44" s="1"/>
  <c r="K45" s="1"/>
  <c r="L45" s="1"/>
  <c r="K46" s="1"/>
  <c r="L46" s="1"/>
  <c r="K47" s="1"/>
  <c r="L47" s="1"/>
  <c r="K48" s="1"/>
  <c r="L48" s="1"/>
  <c r="K49" s="1"/>
  <c r="L49" s="1"/>
  <c r="K50" s="1"/>
  <c r="L50" s="1"/>
  <c r="K51" s="1"/>
  <c r="L51" s="1"/>
  <c r="K52" s="1"/>
  <c r="L52" s="1"/>
  <c r="K53" s="1"/>
  <c r="L53" s="1"/>
  <c r="K54" s="1"/>
  <c r="L54" s="1"/>
  <c r="K55" s="1"/>
  <c r="L55" s="1"/>
  <c r="K56" s="1"/>
  <c r="L56" s="1"/>
  <c r="K57" s="1"/>
  <c r="L57" s="1"/>
  <c r="K58" s="1"/>
  <c r="L58" s="1"/>
  <c r="K59" s="1"/>
  <c r="L59" s="1"/>
  <c r="K60" s="1"/>
  <c r="L60" s="1"/>
  <c r="K61" s="1"/>
  <c r="L61" s="1"/>
  <c r="K62" s="1"/>
  <c r="L62" s="1"/>
  <c r="K63" s="1"/>
  <c r="L63" s="1"/>
  <c r="K64" s="1"/>
  <c r="L64" s="1"/>
  <c r="K65" s="1"/>
  <c r="L65" s="1"/>
  <c r="K66" s="1"/>
  <c r="L66" s="1"/>
  <c r="K67" s="1"/>
  <c r="L67" s="1"/>
  <c r="K68" s="1"/>
  <c r="L68" s="1"/>
  <c r="K69" s="1"/>
  <c r="L69" s="1"/>
  <c r="K70" s="1"/>
  <c r="L70" s="1"/>
  <c r="K71" s="1"/>
  <c r="L71" s="1"/>
  <c r="K72" s="1"/>
  <c r="L72" s="1"/>
  <c r="K73" s="1"/>
  <c r="L73" s="1"/>
  <c r="K74" s="1"/>
  <c r="L74" s="1"/>
  <c r="K75" s="1"/>
  <c r="L75" s="1"/>
  <c r="K76" s="1"/>
  <c r="L76" s="1"/>
  <c r="K77" s="1"/>
  <c r="L77" s="1"/>
  <c r="K78" s="1"/>
  <c r="L78" s="1"/>
  <c r="K79" s="1"/>
  <c r="L79" s="1"/>
  <c r="K80" s="1"/>
  <c r="L80" s="1"/>
  <c r="K81" s="1"/>
  <c r="L81" s="1"/>
  <c r="K82" s="1"/>
  <c r="L82" s="1"/>
  <c r="K83" s="1"/>
  <c r="L83" s="1"/>
  <c r="K84" s="1"/>
  <c r="L84" s="1"/>
  <c r="K85" s="1"/>
  <c r="L85" s="1"/>
  <c r="K86" s="1"/>
  <c r="L86" s="1"/>
  <c r="K87" s="1"/>
  <c r="L87" s="1"/>
  <c r="K88" s="1"/>
  <c r="L88" s="1"/>
  <c r="K89" s="1"/>
  <c r="L89" s="1"/>
  <c r="K90" s="1"/>
  <c r="L90" s="1"/>
  <c r="K91" s="1"/>
  <c r="L91" s="1"/>
  <c r="K92" s="1"/>
  <c r="L92" s="1"/>
  <c r="K93" s="1"/>
  <c r="L93" s="1"/>
  <c r="K94" s="1"/>
  <c r="L94" s="1"/>
  <c r="K95" s="1"/>
  <c r="L95" s="1"/>
  <c r="K96" s="1"/>
  <c r="L96" s="1"/>
  <c r="K97" s="1"/>
  <c r="L97" s="1"/>
  <c r="K98" s="1"/>
  <c r="L98" s="1"/>
  <c r="K99" s="1"/>
  <c r="L99" s="1"/>
  <c r="K100" s="1"/>
  <c r="L100" s="1"/>
  <c r="K101" s="1"/>
  <c r="L101" s="1"/>
  <c r="K102" s="1"/>
  <c r="L102" s="1"/>
  <c r="K103" s="1"/>
  <c r="L103" s="1"/>
  <c r="K104" s="1"/>
  <c r="L104" s="1"/>
  <c r="K105" s="1"/>
  <c r="L105" s="1"/>
  <c r="K106" s="1"/>
  <c r="L106" s="1"/>
  <c r="K107" s="1"/>
  <c r="L107" s="1"/>
  <c r="K108" s="1"/>
  <c r="L108" s="1"/>
  <c r="K109" s="1"/>
  <c r="L109" s="1"/>
  <c r="K110" s="1"/>
  <c r="L110" s="1"/>
  <c r="K111" s="1"/>
  <c r="L111" s="1"/>
  <c r="K112" s="1"/>
  <c r="L112" s="1"/>
  <c r="K113" s="1"/>
  <c r="L113" s="1"/>
  <c r="K114" s="1"/>
  <c r="L114" s="1"/>
  <c r="K115" s="1"/>
  <c r="L115" s="1"/>
  <c r="R56" i="17"/>
  <c r="S105" i="20"/>
  <c r="V104"/>
  <c r="V93"/>
  <c r="S94"/>
  <c r="V94"/>
  <c r="V13"/>
  <c r="S14"/>
  <c r="V14"/>
  <c r="S90"/>
  <c r="V90"/>
  <c r="V89"/>
  <c r="V61"/>
  <c r="S62"/>
  <c r="V62"/>
  <c r="S26"/>
  <c r="V26"/>
  <c r="V25"/>
  <c r="V88"/>
  <c r="V24"/>
  <c r="V109"/>
  <c r="S110"/>
  <c r="V110"/>
  <c r="S74"/>
  <c r="V74"/>
  <c r="V73"/>
  <c r="V45"/>
  <c r="S46"/>
  <c r="V46"/>
  <c r="S10"/>
  <c r="V10"/>
  <c r="V9"/>
  <c r="S12" i="16"/>
  <c r="Z12"/>
  <c r="D46"/>
  <c r="C46"/>
  <c r="E24"/>
  <c r="E20"/>
  <c r="B20"/>
  <c r="B22"/>
  <c r="B46"/>
  <c r="C20"/>
  <c r="B26"/>
  <c r="E25"/>
  <c r="E21"/>
  <c r="C24"/>
  <c r="D20"/>
  <c r="D22"/>
  <c r="E46"/>
  <c r="O53" i="17"/>
  <c r="S82" i="20"/>
  <c r="V82"/>
  <c r="S18"/>
  <c r="V18"/>
  <c r="Z7" i="16"/>
  <c r="J23"/>
  <c r="L23"/>
  <c r="S4" i="20"/>
  <c r="V117"/>
  <c r="V101"/>
  <c r="V85"/>
  <c r="V69"/>
  <c r="V53"/>
  <c r="V37"/>
  <c r="V21"/>
  <c r="AA10" i="16"/>
  <c r="C21"/>
  <c r="D23"/>
  <c r="B23"/>
  <c r="S5" i="20"/>
  <c r="V4"/>
  <c r="S106"/>
  <c r="V106"/>
  <c r="V105"/>
  <c r="S42"/>
  <c r="V42"/>
  <c r="V41"/>
  <c r="B52" i="4"/>
  <c r="F52"/>
  <c r="F24"/>
  <c r="S122" i="20"/>
  <c r="V122"/>
  <c r="V121"/>
  <c r="K45" i="17"/>
  <c r="M45"/>
  <c r="R45" s="1"/>
  <c r="J45"/>
  <c r="L45" s="1"/>
  <c r="J43"/>
  <c r="L43" s="1"/>
  <c r="Q43" s="1"/>
  <c r="K21"/>
  <c r="M21"/>
  <c r="K43"/>
  <c r="M43" s="1"/>
  <c r="O43" s="1"/>
  <c r="K35"/>
  <c r="M35" s="1"/>
  <c r="J34"/>
  <c r="L34" s="1"/>
  <c r="J31"/>
  <c r="L31" s="1"/>
  <c r="O31" s="1"/>
  <c r="J25"/>
  <c r="L25" s="1"/>
  <c r="J12"/>
  <c r="L12"/>
  <c r="K18"/>
  <c r="M18" s="1"/>
  <c r="K36"/>
  <c r="M36"/>
  <c r="O36" s="1"/>
  <c r="J36"/>
  <c r="L36" s="1"/>
  <c r="K31"/>
  <c r="M31" s="1"/>
  <c r="K12"/>
  <c r="M12" s="1"/>
  <c r="O12" s="1"/>
  <c r="J18"/>
  <c r="L18"/>
  <c r="J21"/>
  <c r="L21" s="1"/>
  <c r="J35"/>
  <c r="L35"/>
  <c r="K25"/>
  <c r="M25" s="1"/>
  <c r="O25" s="1"/>
  <c r="AA20" i="8"/>
  <c r="K34" i="17"/>
  <c r="M34" s="1"/>
  <c r="O34" s="1"/>
  <c r="O23" i="14"/>
  <c r="H52" i="4"/>
  <c r="L52"/>
  <c r="L24"/>
  <c r="D38" i="16"/>
  <c r="D48" s="1"/>
  <c r="B50" i="4"/>
  <c r="F50"/>
  <c r="F19"/>
  <c r="C8" i="19"/>
  <c r="B9"/>
  <c r="D21" i="16"/>
  <c r="F46"/>
  <c r="F25" i="14"/>
  <c r="B53"/>
  <c r="F53"/>
  <c r="F45" i="4"/>
  <c r="B46"/>
  <c r="F46"/>
  <c r="C25" i="16"/>
  <c r="B24"/>
  <c r="C26"/>
  <c r="B25"/>
  <c r="D24"/>
  <c r="D25"/>
  <c r="B21"/>
  <c r="C22"/>
  <c r="C23"/>
  <c r="F20"/>
  <c r="S58" i="20"/>
  <c r="V58"/>
  <c r="V57"/>
  <c r="L22" i="14"/>
  <c r="H52"/>
  <c r="L52"/>
  <c r="B52"/>
  <c r="F52"/>
  <c r="F22"/>
  <c r="L22" i="4"/>
  <c r="B22"/>
  <c r="F22"/>
  <c r="B23"/>
  <c r="L25"/>
  <c r="O31" i="14"/>
  <c r="B20" i="4"/>
  <c r="F20"/>
  <c r="C20"/>
  <c r="D20"/>
  <c r="D23"/>
  <c r="B25"/>
  <c r="D26" i="16"/>
  <c r="F21" i="14"/>
  <c r="P27"/>
  <c r="O27"/>
  <c r="D21" i="4"/>
  <c r="D51"/>
  <c r="D24"/>
  <c r="D52"/>
  <c r="C25"/>
  <c r="C21"/>
  <c r="C51"/>
  <c r="C24"/>
  <c r="C52"/>
  <c r="B21"/>
  <c r="F23" i="16"/>
  <c r="F21"/>
  <c r="F26"/>
  <c r="E9" i="19"/>
  <c r="C9"/>
  <c r="B10"/>
  <c r="F25" i="16"/>
  <c r="K29" i="17"/>
  <c r="M29"/>
  <c r="K23"/>
  <c r="M23" s="1"/>
  <c r="O23" s="1"/>
  <c r="J19"/>
  <c r="L19" s="1"/>
  <c r="O19" s="1"/>
  <c r="J5"/>
  <c r="L5" s="1"/>
  <c r="K5"/>
  <c r="M5" s="1"/>
  <c r="J23"/>
  <c r="L23" s="1"/>
  <c r="J29"/>
  <c r="L29" s="1"/>
  <c r="K19"/>
  <c r="M19" s="1"/>
  <c r="AA21" i="8"/>
  <c r="B51" i="4"/>
  <c r="F51"/>
  <c r="F21"/>
  <c r="S6" i="20"/>
  <c r="V6"/>
  <c r="V5"/>
  <c r="F25" i="4"/>
  <c r="E8" i="19"/>
  <c r="F23" i="4"/>
  <c r="F24" i="16"/>
  <c r="F22"/>
  <c r="C10" i="19"/>
  <c r="B11"/>
  <c r="J8" i="17"/>
  <c r="L8"/>
  <c r="Q8" s="1"/>
  <c r="J24"/>
  <c r="L24" s="1"/>
  <c r="K4"/>
  <c r="M4"/>
  <c r="O4" s="1"/>
  <c r="K9"/>
  <c r="M9"/>
  <c r="K24"/>
  <c r="M24" s="1"/>
  <c r="AA22" i="8"/>
  <c r="K8" i="17"/>
  <c r="M8"/>
  <c r="O8" s="1"/>
  <c r="J4"/>
  <c r="L4"/>
  <c r="J9"/>
  <c r="L9"/>
  <c r="O9" s="1"/>
  <c r="K3"/>
  <c r="M3"/>
  <c r="K13"/>
  <c r="M13" s="1"/>
  <c r="AA23" i="8"/>
  <c r="J3" i="17"/>
  <c r="L3" s="1"/>
  <c r="J13"/>
  <c r="L13" s="1"/>
  <c r="C11" i="19"/>
  <c r="B12"/>
  <c r="E10"/>
  <c r="O24" i="17"/>
  <c r="C12" i="19"/>
  <c r="B13"/>
  <c r="K41" i="17"/>
  <c r="M41" s="1"/>
  <c r="O41" s="1"/>
  <c r="J41"/>
  <c r="L41" s="1"/>
  <c r="Q41" s="1"/>
  <c r="AA24" i="8"/>
  <c r="AA25"/>
  <c r="AA26"/>
  <c r="AA27"/>
  <c r="AA28"/>
  <c r="AA29"/>
  <c r="AA30"/>
  <c r="AA31"/>
  <c r="AA32"/>
  <c r="AA33"/>
  <c r="E11" i="19"/>
  <c r="O13" i="17"/>
  <c r="E13" i="19"/>
  <c r="C13"/>
  <c r="B14"/>
  <c r="E12"/>
  <c r="C14"/>
  <c r="B15"/>
  <c r="C15"/>
  <c r="B16"/>
  <c r="E14"/>
  <c r="C16"/>
  <c r="B17"/>
  <c r="E15"/>
  <c r="C17"/>
  <c r="B18"/>
  <c r="E16"/>
  <c r="C18"/>
  <c r="B19"/>
  <c r="E17"/>
  <c r="C19"/>
  <c r="B20"/>
  <c r="E18"/>
  <c r="E20"/>
  <c r="C20"/>
  <c r="B21"/>
  <c r="E19"/>
  <c r="E21"/>
  <c r="C21"/>
  <c r="B22"/>
  <c r="C22"/>
  <c r="B23"/>
  <c r="C23"/>
  <c r="B24"/>
  <c r="E22"/>
  <c r="C24"/>
  <c r="B25"/>
  <c r="E23"/>
  <c r="C25"/>
  <c r="B26"/>
  <c r="E24"/>
  <c r="E26"/>
  <c r="C26"/>
  <c r="B27"/>
  <c r="E25"/>
  <c r="E27"/>
  <c r="C27"/>
  <c r="B28"/>
  <c r="C28"/>
  <c r="B29"/>
  <c r="C29"/>
  <c r="B30"/>
  <c r="E28"/>
  <c r="E30"/>
  <c r="C30"/>
  <c r="B31"/>
  <c r="E29"/>
  <c r="E31"/>
  <c r="C31"/>
  <c r="B32"/>
  <c r="C32"/>
  <c r="B33"/>
  <c r="C33"/>
  <c r="B34"/>
  <c r="E32"/>
  <c r="C34"/>
  <c r="B35"/>
  <c r="E33"/>
  <c r="C35"/>
  <c r="B36"/>
  <c r="E34"/>
  <c r="E36"/>
  <c r="C36"/>
  <c r="B37"/>
  <c r="E35"/>
  <c r="C37"/>
  <c r="B38"/>
  <c r="E38"/>
  <c r="C38"/>
  <c r="B39"/>
  <c r="E37"/>
  <c r="E39"/>
  <c r="C39"/>
  <c r="B40"/>
  <c r="E40"/>
  <c r="C40"/>
  <c r="B41"/>
  <c r="C41"/>
  <c r="B42"/>
  <c r="E42"/>
  <c r="C42"/>
  <c r="B43"/>
  <c r="E41"/>
  <c r="E43"/>
  <c r="C43"/>
  <c r="B44"/>
  <c r="C44"/>
  <c r="B45"/>
  <c r="C45"/>
  <c r="B46"/>
  <c r="E44"/>
  <c r="C46"/>
  <c r="B47"/>
  <c r="E45"/>
  <c r="E47"/>
  <c r="C47"/>
  <c r="B48"/>
  <c r="E46"/>
  <c r="C48"/>
  <c r="B49"/>
  <c r="C49"/>
  <c r="B50"/>
  <c r="E48"/>
  <c r="C50"/>
  <c r="B51"/>
  <c r="E49"/>
  <c r="E51"/>
  <c r="C51"/>
  <c r="B52"/>
  <c r="E50"/>
  <c r="E52"/>
  <c r="C52"/>
  <c r="B53"/>
  <c r="C53"/>
  <c r="B54"/>
  <c r="E54"/>
  <c r="C54"/>
  <c r="B55"/>
  <c r="E53"/>
  <c r="E55"/>
  <c r="C55"/>
  <c r="B56"/>
  <c r="C56"/>
  <c r="B57"/>
  <c r="C57"/>
  <c r="B58"/>
  <c r="E56"/>
  <c r="E58"/>
  <c r="C58"/>
  <c r="B59"/>
  <c r="E57"/>
  <c r="E59"/>
  <c r="C59"/>
  <c r="B60"/>
  <c r="C60"/>
  <c r="B61"/>
  <c r="C61"/>
  <c r="B62"/>
  <c r="E60"/>
  <c r="E62"/>
  <c r="C62"/>
  <c r="B63"/>
  <c r="E61"/>
  <c r="C63"/>
  <c r="B64"/>
  <c r="C64"/>
  <c r="B65"/>
  <c r="E63"/>
  <c r="C65"/>
  <c r="B66"/>
  <c r="E64"/>
  <c r="E66"/>
  <c r="C66"/>
  <c r="B67"/>
  <c r="E65"/>
  <c r="E67"/>
  <c r="C67"/>
  <c r="B68"/>
  <c r="C68"/>
  <c r="B69"/>
  <c r="E69"/>
  <c r="C69"/>
  <c r="B70"/>
  <c r="E68"/>
  <c r="E70"/>
  <c r="C70"/>
  <c r="B71"/>
  <c r="E71"/>
  <c r="C71"/>
  <c r="B72"/>
  <c r="C72"/>
  <c r="B73"/>
  <c r="E73"/>
  <c r="C73"/>
  <c r="B74"/>
  <c r="E72"/>
  <c r="E74"/>
  <c r="C74"/>
  <c r="B75"/>
  <c r="C75"/>
  <c r="B76"/>
  <c r="C76"/>
  <c r="B77"/>
  <c r="E75"/>
  <c r="C77"/>
  <c r="B78"/>
  <c r="E76"/>
  <c r="E78"/>
  <c r="C78"/>
  <c r="B79"/>
  <c r="E77"/>
  <c r="C79"/>
  <c r="B80"/>
  <c r="C80"/>
  <c r="B81"/>
  <c r="E79"/>
  <c r="C81"/>
  <c r="B82"/>
  <c r="E80"/>
  <c r="E82"/>
  <c r="C82"/>
  <c r="B83"/>
  <c r="E81"/>
  <c r="E83"/>
  <c r="C83"/>
  <c r="B84"/>
  <c r="C84"/>
  <c r="B85"/>
  <c r="E85"/>
  <c r="C85"/>
  <c r="B86"/>
  <c r="E84"/>
  <c r="E86"/>
  <c r="C86"/>
  <c r="B87"/>
  <c r="E87"/>
  <c r="C87"/>
  <c r="B88"/>
  <c r="C88"/>
  <c r="B89"/>
  <c r="E89"/>
  <c r="C89"/>
  <c r="B90"/>
  <c r="E88"/>
  <c r="E90"/>
  <c r="C90"/>
  <c r="B91"/>
  <c r="E91"/>
  <c r="C91"/>
  <c r="B92"/>
  <c r="C92"/>
  <c r="B93"/>
  <c r="C93"/>
  <c r="B94"/>
  <c r="E92"/>
  <c r="E94"/>
  <c r="C94"/>
  <c r="B95"/>
  <c r="E93"/>
  <c r="C95"/>
  <c r="B96"/>
  <c r="C96"/>
  <c r="B97"/>
  <c r="E95"/>
  <c r="C97"/>
  <c r="B98"/>
  <c r="E96"/>
  <c r="E98"/>
  <c r="C98"/>
  <c r="B99"/>
  <c r="E97"/>
  <c r="E99"/>
  <c r="C99"/>
  <c r="B100"/>
  <c r="E100"/>
  <c r="C100"/>
  <c r="B101"/>
  <c r="C101"/>
  <c r="B102"/>
  <c r="C102"/>
  <c r="B103"/>
  <c r="E101"/>
  <c r="E103"/>
  <c r="C103"/>
  <c r="B104"/>
  <c r="E102"/>
  <c r="E104"/>
  <c r="C104"/>
  <c r="B105"/>
  <c r="C105"/>
  <c r="B106"/>
  <c r="C106"/>
  <c r="B107"/>
  <c r="E105"/>
  <c r="E107"/>
  <c r="C107"/>
  <c r="B108"/>
  <c r="E106"/>
  <c r="C108"/>
  <c r="B109"/>
  <c r="C109"/>
  <c r="B110"/>
  <c r="E108"/>
  <c r="E110"/>
  <c r="C110"/>
  <c r="B111"/>
  <c r="E109"/>
  <c r="E111"/>
  <c r="C111"/>
  <c r="B112"/>
  <c r="E112"/>
  <c r="C112"/>
  <c r="B113"/>
  <c r="C113"/>
  <c r="B114"/>
  <c r="E114"/>
  <c r="C114"/>
  <c r="B115"/>
  <c r="E113"/>
  <c r="E115"/>
  <c r="C115"/>
  <c r="B22" i="12"/>
  <c r="B28" s="1"/>
  <c r="B19"/>
  <c r="K19"/>
  <c r="K25" s="1"/>
  <c r="D21"/>
  <c r="D27" s="1"/>
  <c r="N18" i="24" l="1"/>
  <c r="N19" s="1"/>
  <c r="N20" s="1"/>
  <c r="N40"/>
  <c r="N42" s="1"/>
  <c r="Y17" s="1"/>
  <c r="F10"/>
  <c r="F11" s="1"/>
  <c r="F12" s="1"/>
  <c r="F13" s="1"/>
  <c r="F14" s="1"/>
  <c r="F15" s="1"/>
  <c r="F16" s="1"/>
  <c r="F17" s="1"/>
  <c r="F18" s="1"/>
  <c r="F19" s="1"/>
  <c r="F20" s="1"/>
  <c r="D40"/>
  <c r="D42" s="1"/>
  <c r="Y27" s="1"/>
  <c r="P40"/>
  <c r="P42" s="1"/>
  <c r="Y15" s="1"/>
  <c r="P20"/>
  <c r="K15"/>
  <c r="K16" s="1"/>
  <c r="K17" s="1"/>
  <c r="K18" s="1"/>
  <c r="K19" s="1"/>
  <c r="K20" s="1"/>
  <c r="G40"/>
  <c r="G42" s="1"/>
  <c r="Y24" s="1"/>
  <c r="G11"/>
  <c r="G12" s="1"/>
  <c r="G13" s="1"/>
  <c r="G14" s="1"/>
  <c r="G15" s="1"/>
  <c r="G16" s="1"/>
  <c r="G17" s="1"/>
  <c r="G18" s="1"/>
  <c r="G19" s="1"/>
  <c r="G20" s="1"/>
  <c r="C7"/>
  <c r="C8" s="1"/>
  <c r="C9" s="1"/>
  <c r="C10" s="1"/>
  <c r="C11" s="1"/>
  <c r="C12" s="1"/>
  <c r="C13" s="1"/>
  <c r="C14" s="1"/>
  <c r="C15" s="1"/>
  <c r="C16" s="1"/>
  <c r="C17" s="1"/>
  <c r="C18" s="1"/>
  <c r="C19" s="1"/>
  <c r="C20" s="1"/>
  <c r="C40"/>
  <c r="C42" s="1"/>
  <c r="Y28" s="1"/>
  <c r="B8"/>
  <c r="B9" s="1"/>
  <c r="B10" s="1"/>
  <c r="B11" s="1"/>
  <c r="B12" s="1"/>
  <c r="B13" s="1"/>
  <c r="B14" s="1"/>
  <c r="B15" s="1"/>
  <c r="B16" s="1"/>
  <c r="B17" s="1"/>
  <c r="B18" s="1"/>
  <c r="B19" s="1"/>
  <c r="B20" s="1"/>
  <c r="O40"/>
  <c r="O42" s="1"/>
  <c r="Y16" s="1"/>
  <c r="O19"/>
  <c r="O20" s="1"/>
  <c r="I13"/>
  <c r="I14" s="1"/>
  <c r="I15" s="1"/>
  <c r="I16" s="1"/>
  <c r="I17" s="1"/>
  <c r="I18" s="1"/>
  <c r="I19" s="1"/>
  <c r="I20" s="1"/>
  <c r="E40"/>
  <c r="E42" s="1"/>
  <c r="Y26" s="1"/>
  <c r="E9"/>
  <c r="E10" s="1"/>
  <c r="E11" s="1"/>
  <c r="E12" s="1"/>
  <c r="E13" s="1"/>
  <c r="E14" s="1"/>
  <c r="E15" s="1"/>
  <c r="E16" s="1"/>
  <c r="E17" s="1"/>
  <c r="E18" s="1"/>
  <c r="E19" s="1"/>
  <c r="E20" s="1"/>
  <c r="Q38"/>
  <c r="Q40"/>
  <c r="Q42" s="1"/>
  <c r="Y14" s="1"/>
  <c r="D8"/>
  <c r="D9" s="1"/>
  <c r="D10" s="1"/>
  <c r="D11" s="1"/>
  <c r="D12" s="1"/>
  <c r="D13" s="1"/>
  <c r="D14" s="1"/>
  <c r="D15" s="1"/>
  <c r="D16" s="1"/>
  <c r="D17" s="1"/>
  <c r="D18" s="1"/>
  <c r="D19" s="1"/>
  <c r="D20" s="1"/>
  <c r="H12"/>
  <c r="H13" s="1"/>
  <c r="H14" s="1"/>
  <c r="H15" s="1"/>
  <c r="H16" s="1"/>
  <c r="H17" s="1"/>
  <c r="H18" s="1"/>
  <c r="H19" s="1"/>
  <c r="H20" s="1"/>
  <c r="M40"/>
  <c r="M42" s="1"/>
  <c r="Y18" s="1"/>
  <c r="J13"/>
  <c r="J14" s="1"/>
  <c r="J15" s="1"/>
  <c r="J16" s="1"/>
  <c r="J17" s="1"/>
  <c r="J18" s="1"/>
  <c r="J19" s="1"/>
  <c r="J20" s="1"/>
  <c r="L16"/>
  <c r="L17" s="1"/>
  <c r="L18" s="1"/>
  <c r="L19" s="1"/>
  <c r="L20" s="1"/>
  <c r="Q57" i="17"/>
  <c r="O57"/>
  <c r="Q52"/>
  <c r="O52"/>
  <c r="O37"/>
  <c r="R37"/>
  <c r="O50"/>
  <c r="R50"/>
  <c r="Q45"/>
  <c r="O45"/>
  <c r="O44"/>
  <c r="R44"/>
  <c r="O59"/>
  <c r="R59"/>
  <c r="R46"/>
  <c r="O46"/>
  <c r="O35"/>
  <c r="O27"/>
  <c r="O3"/>
  <c r="O5"/>
  <c r="O29"/>
  <c r="R41"/>
  <c r="R8"/>
  <c r="R43"/>
  <c r="O18"/>
  <c r="O21"/>
  <c r="O20"/>
  <c r="O14"/>
  <c r="D22" i="12"/>
  <c r="D28" s="1"/>
  <c r="B20"/>
  <c r="C33" s="1"/>
  <c r="D33" s="1"/>
  <c r="I21"/>
  <c r="I27" s="1"/>
  <c r="K22"/>
  <c r="K28" s="1"/>
  <c r="D20"/>
  <c r="D26" s="1"/>
  <c r="O38" i="17"/>
  <c r="R40"/>
  <c r="O27" i="16"/>
  <c r="D19" i="12"/>
  <c r="D25" s="1"/>
  <c r="D40" i="16"/>
  <c r="O42" i="17"/>
  <c r="O23" i="16"/>
  <c r="O32"/>
  <c r="B37"/>
  <c r="B40" s="1"/>
  <c r="P28"/>
  <c r="R60" i="17"/>
  <c r="R51"/>
  <c r="O51"/>
  <c r="D31" i="16"/>
  <c r="D33"/>
  <c r="O56" i="17"/>
  <c r="O48"/>
  <c r="I22" i="12"/>
  <c r="I28" s="1"/>
  <c r="K20"/>
  <c r="K26" s="1"/>
  <c r="O26" i="14"/>
  <c r="P34"/>
  <c r="P35" s="1"/>
  <c r="O47" i="17"/>
  <c r="O39"/>
  <c r="O34" i="14"/>
  <c r="O35" s="1"/>
  <c r="O34" i="16"/>
  <c r="O35" s="1"/>
  <c r="B21" i="12"/>
  <c r="B27" s="1"/>
  <c r="D49" i="16"/>
  <c r="O54" i="17"/>
  <c r="K21" i="12"/>
  <c r="K27" s="1"/>
  <c r="J47" i="16"/>
  <c r="P23" i="14"/>
  <c r="O55" i="17"/>
  <c r="P30" i="16"/>
  <c r="C38"/>
  <c r="I20" i="12"/>
  <c r="R48" i="17"/>
  <c r="P30" i="14"/>
  <c r="P31"/>
  <c r="C39" i="16"/>
  <c r="I49" s="1"/>
  <c r="O28"/>
  <c r="O49" i="17"/>
  <c r="O30" i="16"/>
  <c r="B38"/>
  <c r="J41" i="12"/>
  <c r="J37"/>
  <c r="J46"/>
  <c r="J45"/>
  <c r="J43"/>
  <c r="J39"/>
  <c r="J35"/>
  <c r="J38"/>
  <c r="J42"/>
  <c r="J34"/>
  <c r="J44"/>
  <c r="J36"/>
  <c r="J33"/>
  <c r="J40"/>
  <c r="C31" i="16"/>
  <c r="C33"/>
  <c r="C32"/>
  <c r="B33"/>
  <c r="B32"/>
  <c r="B31"/>
  <c r="B26" i="12"/>
  <c r="J48" i="16"/>
  <c r="D47"/>
  <c r="O29" i="14"/>
  <c r="C35" i="12" l="1"/>
  <c r="D35" s="1"/>
  <c r="C37"/>
  <c r="E37" s="1"/>
  <c r="C39"/>
  <c r="C42"/>
  <c r="E33"/>
  <c r="C44"/>
  <c r="E44" s="1"/>
  <c r="C45"/>
  <c r="C36"/>
  <c r="I40" i="24"/>
  <c r="I42" s="1"/>
  <c r="Y22" s="1"/>
  <c r="L40"/>
  <c r="L42" s="1"/>
  <c r="Y19" s="1"/>
  <c r="K40"/>
  <c r="K42" s="1"/>
  <c r="Y20" s="1"/>
  <c r="J40"/>
  <c r="J42" s="1"/>
  <c r="Y21" s="1"/>
  <c r="H40"/>
  <c r="H42" s="1"/>
  <c r="Y23" s="1"/>
  <c r="B40"/>
  <c r="B42" s="1"/>
  <c r="Y29" s="1"/>
  <c r="F40"/>
  <c r="F42" s="1"/>
  <c r="Y25" s="1"/>
  <c r="C48" i="16"/>
  <c r="C49"/>
  <c r="I48"/>
  <c r="I47"/>
  <c r="C47"/>
  <c r="D51"/>
  <c r="J53"/>
  <c r="J52"/>
  <c r="J51"/>
  <c r="D52"/>
  <c r="D53"/>
  <c r="C46" i="12"/>
  <c r="C34"/>
  <c r="D34" s="1"/>
  <c r="C43"/>
  <c r="E43" s="1"/>
  <c r="B39" i="16"/>
  <c r="H49" s="1"/>
  <c r="L49" s="1"/>
  <c r="C40" i="12"/>
  <c r="C38"/>
  <c r="D38" s="1"/>
  <c r="C41"/>
  <c r="E41" s="1"/>
  <c r="E40"/>
  <c r="D40"/>
  <c r="E38"/>
  <c r="C51" i="16"/>
  <c r="C52"/>
  <c r="I52"/>
  <c r="I53"/>
  <c r="C53"/>
  <c r="I51"/>
  <c r="K36" i="12"/>
  <c r="L36"/>
  <c r="K38"/>
  <c r="L38"/>
  <c r="K45"/>
  <c r="L45"/>
  <c r="H53" i="16"/>
  <c r="L53" s="1"/>
  <c r="B51"/>
  <c r="F51" s="1"/>
  <c r="B53"/>
  <c r="F53" s="1"/>
  <c r="B52"/>
  <c r="F52" s="1"/>
  <c r="H51"/>
  <c r="L51" s="1"/>
  <c r="H52"/>
  <c r="L52" s="1"/>
  <c r="K42" i="12"/>
  <c r="L42"/>
  <c r="D39"/>
  <c r="E39"/>
  <c r="K43"/>
  <c r="L43"/>
  <c r="K41"/>
  <c r="L41"/>
  <c r="D44"/>
  <c r="E45"/>
  <c r="D45"/>
  <c r="E35"/>
  <c r="D36"/>
  <c r="E36"/>
  <c r="D37"/>
  <c r="K34"/>
  <c r="L34"/>
  <c r="K39"/>
  <c r="L39"/>
  <c r="K37"/>
  <c r="L37"/>
  <c r="B48" i="16"/>
  <c r="F48" s="1"/>
  <c r="B47"/>
  <c r="F47" s="1"/>
  <c r="H47"/>
  <c r="L47" s="1"/>
  <c r="B49"/>
  <c r="F49" s="1"/>
  <c r="H48"/>
  <c r="L48" s="1"/>
  <c r="E42" i="12"/>
  <c r="D42"/>
  <c r="K33"/>
  <c r="L33"/>
  <c r="E46"/>
  <c r="D46"/>
  <c r="K40"/>
  <c r="L40"/>
  <c r="K44"/>
  <c r="L44"/>
  <c r="K35"/>
  <c r="L35"/>
  <c r="K46"/>
  <c r="L46"/>
  <c r="D43" l="1"/>
  <c r="E34"/>
  <c r="D41"/>
</calcChain>
</file>

<file path=xl/sharedStrings.xml><?xml version="1.0" encoding="utf-8"?>
<sst xmlns="http://schemas.openxmlformats.org/spreadsheetml/2006/main" count="1830" uniqueCount="597">
  <si>
    <t>Förmåga</t>
  </si>
  <si>
    <t>Form</t>
  </si>
  <si>
    <t>Scoring probability</t>
  </si>
  <si>
    <t>Prob.</t>
  </si>
  <si>
    <t>Prob 2</t>
  </si>
  <si>
    <t>Prob 3</t>
  </si>
  <si>
    <t>AIM</t>
  </si>
  <si>
    <t>APK</t>
  </si>
  <si>
    <t>AIM 20</t>
  </si>
  <si>
    <t>AIM 40</t>
  </si>
  <si>
    <t>AIM 30</t>
  </si>
  <si>
    <t>APK 20</t>
  </si>
  <si>
    <t>APK 30</t>
  </si>
  <si>
    <t>APK 40</t>
  </si>
  <si>
    <t>Central</t>
  </si>
  <si>
    <t>Left</t>
  </si>
  <si>
    <t>Right</t>
  </si>
  <si>
    <t>Low</t>
  </si>
  <si>
    <t>Medium</t>
  </si>
  <si>
    <t>High</t>
  </si>
  <si>
    <t>Attack Ref</t>
  </si>
  <si>
    <t>Defence Opp</t>
  </si>
  <si>
    <t>Defense Ref</t>
  </si>
  <si>
    <t>Attack Opp</t>
  </si>
  <si>
    <t>P=1/[ 1+D^x/A^y ]</t>
  </si>
  <si>
    <t>x=3.5[0.2], y=3.5[0.2]</t>
  </si>
  <si>
    <t>P=1/[ 1+(D/A)^x ]</t>
  </si>
  <si>
    <t>x=3.5[0.2]</t>
  </si>
  <si>
    <t>P=1/[ 1+k*D^x/A^y ]</t>
  </si>
  <si>
    <t>x</t>
  </si>
  <si>
    <t>y</t>
  </si>
  <si>
    <t>k</t>
  </si>
  <si>
    <t>-</t>
  </si>
  <si>
    <t>Revision history</t>
  </si>
  <si>
    <t>Revision</t>
  </si>
  <si>
    <t>Date</t>
  </si>
  <si>
    <t>Change</t>
  </si>
  <si>
    <t>Notes</t>
  </si>
  <si>
    <t>New file</t>
  </si>
  <si>
    <t>Chance disribution</t>
  </si>
  <si>
    <t>Added</t>
  </si>
  <si>
    <t>Chance distribution</t>
  </si>
  <si>
    <t>Attack distribution</t>
  </si>
  <si>
    <t>Antal chanser i medel = 5 + 3.95*arctan((x-50)/15)</t>
  </si>
  <si>
    <t>Bollinnehav (x) nödvändigt för y antal chanser = 50 + 15 * tan( (y-5) / 15 )</t>
  </si>
  <si>
    <t>Possession required</t>
  </si>
  <si>
    <t>Prestation = förmåga * sqrt(form-1) / sqrt (7)</t>
  </si>
  <si>
    <t>Left = 0.26*chances, Central = 0.38*chances, Right=0.26*chances, SP=0.1*chances</t>
  </si>
  <si>
    <t>Midfield required</t>
  </si>
  <si>
    <t>Chances, input</t>
  </si>
  <si>
    <t>Performance</t>
  </si>
  <si>
    <t>Ability</t>
  </si>
  <si>
    <t>Midfield Ref</t>
  </si>
  <si>
    <t>Midfield Opp</t>
  </si>
  <si>
    <t>Possession</t>
  </si>
  <si>
    <t>Chances</t>
  </si>
  <si>
    <t>Distribution</t>
  </si>
  <si>
    <t>SP</t>
  </si>
  <si>
    <t>Input:</t>
  </si>
  <si>
    <t>Required midfield analyzer</t>
  </si>
  <si>
    <t>Added, dsitribution for this also added</t>
  </si>
  <si>
    <t>fenomenal</t>
  </si>
  <si>
    <t>legendarisk</t>
  </si>
  <si>
    <t>katastrofal</t>
  </si>
  <si>
    <t>ypperlig</t>
  </si>
  <si>
    <t>bra</t>
  </si>
  <si>
    <t>gudabenådad</t>
  </si>
  <si>
    <t>hyfsad</t>
  </si>
  <si>
    <t>dålig</t>
  </si>
  <si>
    <t>usel</t>
  </si>
  <si>
    <t>enastående</t>
  </si>
  <si>
    <t>unik</t>
  </si>
  <si>
    <t>övernaturlig</t>
  </si>
  <si>
    <t>oförglömlig</t>
  </si>
  <si>
    <t>himmelsk</t>
  </si>
  <si>
    <t>titanisk</t>
  </si>
  <si>
    <t>utomjordisk</t>
  </si>
  <si>
    <t>mytomspunnen</t>
  </si>
  <si>
    <t>magisk</t>
  </si>
  <si>
    <t>utopisk</t>
  </si>
  <si>
    <t>gudomlig</t>
  </si>
  <si>
    <t>Lookup table</t>
  </si>
  <si>
    <t>Värde</t>
  </si>
  <si>
    <t>Beräkningsvärde</t>
  </si>
  <si>
    <t>Kondition</t>
  </si>
  <si>
    <t>SU</t>
  </si>
  <si>
    <t>Ytter</t>
  </si>
  <si>
    <t>Målgörare</t>
  </si>
  <si>
    <t>Fasta</t>
  </si>
  <si>
    <t>Målvakt</t>
  </si>
  <si>
    <t>Passningar</t>
  </si>
  <si>
    <t>Försvar</t>
  </si>
  <si>
    <t>Prestation:</t>
  </si>
  <si>
    <t>Spelare:</t>
  </si>
  <si>
    <t>Parsad spelare:</t>
  </si>
  <si>
    <t>hög</t>
  </si>
  <si>
    <t>Formtendens</t>
  </si>
  <si>
    <t>medel</t>
  </si>
  <si>
    <t>låg</t>
  </si>
  <si>
    <t>Tendens</t>
  </si>
  <si>
    <t>Player parser</t>
  </si>
  <si>
    <t>Player performance depending on form</t>
  </si>
  <si>
    <t>Added; player abilities parsed to numeric values then converted to actual performance, depending on form and form tendancy</t>
  </si>
  <si>
    <t>Total</t>
  </si>
  <si>
    <t>Input</t>
  </si>
  <si>
    <t>Distribution opp</t>
  </si>
  <si>
    <t>Goals opponent</t>
  </si>
  <si>
    <t>Goal ref</t>
  </si>
  <si>
    <t>Green areas represent areas where user can input data</t>
  </si>
  <si>
    <t>Prediction tool</t>
  </si>
  <si>
    <t>Added tool for probability of how many goals for each attack, probabilities on final score</t>
  </si>
  <si>
    <t>Layout</t>
  </si>
  <si>
    <t>Split tools into team tools and player tools</t>
  </si>
  <si>
    <t>0.2</t>
  </si>
  <si>
    <t>0.1</t>
  </si>
  <si>
    <t>Den här säsongen [s31] är veckoräntan 0,15% gånger roten ur antalet ekonomer. Nästa säsong är den 0,075% gånger roten ur antalet ekonomer.</t>
  </si>
  <si>
    <t>1. köp av populära och försäljning av otrevlig***</t>
  </si>
  <si>
    <t>Risk*: 0%</t>
  </si>
  <si>
    <t>Konsekvens**: 0</t>
  </si>
  <si>
    <t>2. köp av genomsympatiska och försäljning av kontroversiella</t>
  </si>
  <si>
    <t>Risk: 10%</t>
  </si>
  <si>
    <t>Konsekvens: -0.1</t>
  </si>
  <si>
    <t>3. köp och försäljning av sympatiska</t>
  </si>
  <si>
    <t>Risk: 25%</t>
  </si>
  <si>
    <t>Konsekvens: -0,25</t>
  </si>
  <si>
    <t>4. köp av kontroversiella och försäljning av genomsympatisk</t>
  </si>
  <si>
    <t>Risk: 33%</t>
  </si>
  <si>
    <t>Konsekvens: -0,50</t>
  </si>
  <si>
    <t>5. köp av otrevliga och försäljning av populära***</t>
  </si>
  <si>
    <t>Risk: 50%</t>
  </si>
  <si>
    <t>Konsekvens: -1,00</t>
  </si>
  <si>
    <t>Player 1</t>
  </si>
  <si>
    <t>Player 2</t>
  </si>
  <si>
    <t>Player 3</t>
  </si>
  <si>
    <t>Player 4</t>
  </si>
  <si>
    <t>Player 5</t>
  </si>
  <si>
    <t>Player 6</t>
  </si>
  <si>
    <t>Player 7</t>
  </si>
  <si>
    <t>Eget mittfältsbetyg</t>
  </si>
  <si>
    <t>Motståndarens mittfältbetyg</t>
  </si>
  <si>
    <t>Önskat antal chanser</t>
  </si>
  <si>
    <t>Mittfält behövt för angett antal chanser, jämfört med motståndarens mittfält ovan</t>
  </si>
  <si>
    <t>Bollinnehav</t>
  </si>
  <si>
    <t>katastofal = 1, usel = 2, etc. bra(mkt låg)=5, bra(låg)=5,25, bra(hög)=5,50, bra(mkt hög)=5,75</t>
  </si>
  <si>
    <t>Motsvarande beräkning för inmatat antal chanser</t>
  </si>
  <si>
    <t>Beräkningar för inmatade mittfältsbetyg</t>
  </si>
  <si>
    <t>Beräkningar för inmatade antal chanser</t>
  </si>
  <si>
    <t>Eget antal mål</t>
  </si>
  <si>
    <t>Motståndarens antal mål</t>
  </si>
  <si>
    <t>Vid AIM (30% omfördelning)</t>
  </si>
  <si>
    <t>Vid APK (30% omfördelning)</t>
  </si>
  <si>
    <t>Green areas represent areas where user can input data. Blue indicated cells where results are presented</t>
  </si>
  <si>
    <t>Kontringar (0=nej, ja=1)?</t>
  </si>
  <si>
    <t>Midfield Ref Input</t>
  </si>
  <si>
    <t>mkt låg</t>
  </si>
  <si>
    <t>mkt hög</t>
  </si>
  <si>
    <t>gudomlig+1</t>
  </si>
  <si>
    <t>gudomlig+2</t>
  </si>
  <si>
    <t>gudomlig+3</t>
  </si>
  <si>
    <t>gudomlig+4</t>
  </si>
  <si>
    <t>gudomlig+5</t>
  </si>
  <si>
    <t>gudomlig+6</t>
  </si>
  <si>
    <t>gudomlig+7</t>
  </si>
  <si>
    <t>gudomlig+8</t>
  </si>
  <si>
    <t>gudomlig+9</t>
  </si>
  <si>
    <t>gudomlig+10</t>
  </si>
  <si>
    <t>gudomlig+11</t>
  </si>
  <si>
    <t>gudomlig+12</t>
  </si>
  <si>
    <t>gudomlig+13</t>
  </si>
  <si>
    <t>gudomlig+14</t>
  </si>
  <si>
    <t>gudomlig+15</t>
  </si>
  <si>
    <t>gudomlig+16</t>
  </si>
  <si>
    <t>gudomlig+17</t>
  </si>
  <si>
    <t>gudomlig+18</t>
  </si>
  <si>
    <t>gudomlig+19</t>
  </si>
  <si>
    <t>gudomlig+20</t>
  </si>
  <si>
    <t>=</t>
  </si>
  <si>
    <t>Motståndarens antal mål, vid AIM 30%</t>
  </si>
  <si>
    <t>Motståndarens antal mål, vid APK 30%</t>
  </si>
  <si>
    <t>.</t>
  </si>
  <si>
    <t>Rutin</t>
  </si>
  <si>
    <t>Kondition:</t>
  </si>
  <si>
    <t>Målvakt:</t>
  </si>
  <si>
    <t>Spelupplägg:</t>
  </si>
  <si>
    <t>Framspel:</t>
  </si>
  <si>
    <t>Ytter:</t>
  </si>
  <si>
    <t>Försvar:</t>
  </si>
  <si>
    <t>Målgörare:</t>
  </si>
  <si>
    <t>Fasta sit.:</t>
  </si>
  <si>
    <t>X kondis</t>
  </si>
  <si>
    <t>Extra</t>
  </si>
  <si>
    <t>Faktor</t>
  </si>
  <si>
    <t>Copy-paste:</t>
  </si>
  <si>
    <r>
      <t>11. Ville Kärppä </t>
    </r>
    <r>
      <rPr>
        <sz val="6"/>
        <color indexed="55"/>
        <rFont val="Verdana"/>
        <family val="2"/>
      </rPr>
      <t>(ANF)</t>
    </r>
    <r>
      <rPr>
        <b/>
        <sz val="20"/>
        <color indexed="23"/>
        <rFont val="Verdana"/>
        <family val="2"/>
      </rPr>
      <t> </t>
    </r>
    <r>
      <rPr>
        <sz val="6"/>
        <color indexed="55"/>
        <rFont val="Verdana"/>
        <family val="2"/>
      </rPr>
      <t>(121126119)</t>
    </r>
  </si>
  <si>
    <t> 28 år och 13 dagar, Nästa födelsedag: 2010-01-28</t>
  </si>
  <si>
    <r>
      <t>Har </t>
    </r>
    <r>
      <rPr>
        <sz val="8"/>
        <color indexed="63"/>
        <rFont val="Verdana"/>
        <family val="2"/>
      </rPr>
      <t>bra</t>
    </r>
    <r>
      <rPr>
        <sz val="8"/>
        <color indexed="8"/>
        <rFont val="Verdana"/>
        <family val="2"/>
      </rPr>
      <t> form och </t>
    </r>
    <r>
      <rPr>
        <sz val="8"/>
        <color indexed="63"/>
        <rFont val="Verdana"/>
        <family val="2"/>
      </rPr>
      <t>enastående</t>
    </r>
    <r>
      <rPr>
        <sz val="8"/>
        <color indexed="8"/>
        <rFont val="Verdana"/>
        <family val="2"/>
      </rPr>
      <t> kondition</t>
    </r>
  </si>
  <si>
    <r>
      <t>En </t>
    </r>
    <r>
      <rPr>
        <sz val="8"/>
        <color indexed="63"/>
        <rFont val="Verdana"/>
        <family val="2"/>
      </rPr>
      <t>genomsympatisk kille</t>
    </r>
    <r>
      <rPr>
        <sz val="8"/>
        <color indexed="8"/>
        <rFont val="Verdana"/>
        <family val="2"/>
      </rPr>
      <t> som är </t>
    </r>
    <r>
      <rPr>
        <sz val="8"/>
        <color indexed="63"/>
        <rFont val="Verdana"/>
        <family val="2"/>
      </rPr>
      <t>stillsam</t>
    </r>
    <r>
      <rPr>
        <sz val="8"/>
        <color indexed="8"/>
        <rFont val="Verdana"/>
        <family val="2"/>
      </rPr>
      <t> och </t>
    </r>
    <r>
      <rPr>
        <sz val="8"/>
        <color indexed="63"/>
        <rFont val="Verdana"/>
        <family val="2"/>
      </rPr>
      <t>hederlig</t>
    </r>
    <r>
      <rPr>
        <sz val="8"/>
        <color indexed="8"/>
        <rFont val="Verdana"/>
        <family val="2"/>
      </rPr>
      <t>. </t>
    </r>
  </si>
  <si>
    <r>
      <t>Har </t>
    </r>
    <r>
      <rPr>
        <sz val="8"/>
        <color indexed="63"/>
        <rFont val="Verdana"/>
        <family val="2"/>
      </rPr>
      <t>ypperlig</t>
    </r>
    <r>
      <rPr>
        <sz val="8"/>
        <color indexed="8"/>
        <rFont val="Verdana"/>
        <family val="2"/>
      </rPr>
      <t> rutin och </t>
    </r>
    <r>
      <rPr>
        <sz val="8"/>
        <color indexed="63"/>
        <rFont val="Verdana"/>
        <family val="2"/>
      </rPr>
      <t>usel</t>
    </r>
    <r>
      <rPr>
        <sz val="8"/>
        <color indexed="8"/>
        <rFont val="Verdana"/>
        <family val="2"/>
      </rPr>
      <t> ledarförmåga. </t>
    </r>
  </si>
  <si>
    <t>Ägare:</t>
  </si>
  <si>
    <t>Granviks BK (sedan 2009-10-03)</t>
  </si>
  <si>
    <t>Total förmåga (TSI):</t>
  </si>
  <si>
    <t>51 790</t>
  </si>
  <si>
    <t>Lön:</t>
  </si>
  <si>
    <t>298 680 kr/vecka inklusive 20% bonus</t>
  </si>
  <si>
    <t>Varningar:</t>
  </si>
  <si>
    <t>Skador:</t>
  </si>
  <si>
    <t>Frisk</t>
  </si>
  <si>
    <t>Specialitet:</t>
  </si>
  <si>
    <t>Snabb</t>
  </si>
  <si>
    <t>Nuvarande förmågor</t>
  </si>
  <si>
    <t>Extra rutin</t>
  </si>
  <si>
    <t>Extra kondis</t>
  </si>
  <si>
    <t>Exakt prestation</t>
  </si>
  <si>
    <t>Parsad prestation</t>
  </si>
  <si>
    <t>SU bidrag:</t>
  </si>
  <si>
    <t>yiim</t>
  </si>
  <si>
    <t>nym</t>
  </si>
  <si>
    <t>oym/dym</t>
  </si>
  <si>
    <t>xim</t>
  </si>
  <si>
    <t>nim</t>
  </si>
  <si>
    <t>oim/dim</t>
  </si>
  <si>
    <t>tdf</t>
  </si>
  <si>
    <t>oib</t>
  </si>
  <si>
    <t>nyb</t>
  </si>
  <si>
    <t>oyb</t>
  </si>
  <si>
    <t>nib</t>
  </si>
  <si>
    <t>ibupk</t>
  </si>
  <si>
    <t>imupk</t>
  </si>
  <si>
    <t>dyb</t>
  </si>
  <si>
    <t>försvar</t>
  </si>
  <si>
    <t>framspel</t>
  </si>
  <si>
    <t>rutin</t>
  </si>
  <si>
    <t>form</t>
  </si>
  <si>
    <t>carlsson</t>
  </si>
  <si>
    <t>torssson</t>
  </si>
  <si>
    <t>josefsson</t>
  </si>
  <si>
    <t>Swärdén</t>
  </si>
  <si>
    <t>4xx</t>
  </si>
  <si>
    <t>5xx</t>
  </si>
  <si>
    <t>nilsson</t>
  </si>
  <si>
    <t>Gustafsson</t>
  </si>
  <si>
    <t>Prestation försvar</t>
  </si>
  <si>
    <t>Totalt</t>
  </si>
  <si>
    <t>Framspel</t>
  </si>
  <si>
    <t>Har ypperlig form och enastående kondition</t>
  </si>
  <si>
    <t xml:space="preserve">Hugo Svensson </t>
  </si>
  <si>
    <t>26 år och 75 dagar, TSI = 308 940</t>
  </si>
  <si>
    <t>Har legendarisk rutin och hyfsad ledarförmåga [Kraftfull]</t>
  </si>
  <si>
    <t>Tillhörande Hammenhoj IF</t>
  </si>
  <si>
    <t>Mittfält</t>
  </si>
  <si>
    <t>gudabenådad (mkt hög)</t>
  </si>
  <si>
    <t>ypperlig (hög)</t>
  </si>
  <si>
    <t>Högerförsvar</t>
  </si>
  <si>
    <t>ypperlig (mkt hög)</t>
  </si>
  <si>
    <t>Mittförsvar</t>
  </si>
  <si>
    <t>gudabenådad (låg)</t>
  </si>
  <si>
    <t>oförglömlig (låg)</t>
  </si>
  <si>
    <t>Vänsterförsvar</t>
  </si>
  <si>
    <t>unik (hög)</t>
  </si>
  <si>
    <t>övernaturlig (låg)</t>
  </si>
  <si>
    <t>Högeranfall</t>
  </si>
  <si>
    <t>hyfsad (mkt låg)</t>
  </si>
  <si>
    <t>Mittanfall</t>
  </si>
  <si>
    <t>ypperlig (låg)</t>
  </si>
  <si>
    <t>enastående (mkt låg)</t>
  </si>
  <si>
    <t>Vänsteranfall</t>
  </si>
  <si>
    <t xml:space="preserve"> </t>
  </si>
  <si>
    <t>Team name:</t>
  </si>
  <si>
    <t>Midfield Compensated</t>
  </si>
  <si>
    <t>Kontringar?</t>
  </si>
  <si>
    <t>Nej</t>
  </si>
  <si>
    <t>Mittfältsbetyg kompenserat för kontringar</t>
  </si>
  <si>
    <t>Parse:</t>
  </si>
  <si>
    <t>Convert:</t>
  </si>
  <si>
    <t>HatStats</t>
  </si>
  <si>
    <t>interest = 100 * FLOOR(0.000375 * SQRT([amount of accountants]) * [money on account] / 100)</t>
  </si>
  <si>
    <t>Midfield</t>
  </si>
  <si>
    <t>Defence vs opponent attack</t>
  </si>
  <si>
    <t>Attack vs opponent defence</t>
  </si>
  <si>
    <t>Head-to-head:</t>
  </si>
  <si>
    <t>Indirekta fasta situationer</t>
  </si>
  <si>
    <t>bra (mkt hög)</t>
  </si>
  <si>
    <t>enastående (hög)</t>
  </si>
  <si>
    <t>Anfall</t>
  </si>
  <si>
    <t>Inställning</t>
  </si>
  <si>
    <t>(Visas ej)</t>
  </si>
  <si>
    <t>Normal</t>
  </si>
  <si>
    <t>Taktik</t>
  </si>
  <si>
    <t>Kontringsspel</t>
  </si>
  <si>
    <t>Taktiknivå</t>
  </si>
  <si>
    <t>(ingen taktik)</t>
  </si>
  <si>
    <t>Posession:</t>
  </si>
  <si>
    <t>Team ratings</t>
  </si>
  <si>
    <t>katastofal (mkt låg)</t>
  </si>
  <si>
    <t>Sverige</t>
  </si>
  <si>
    <t>unik (låg)</t>
  </si>
  <si>
    <t>legendarisk (hög)</t>
  </si>
  <si>
    <t>fenomenal (låg)</t>
  </si>
  <si>
    <t>Anfall på kanterna</t>
  </si>
  <si>
    <t>Eqvivalent ability</t>
  </si>
  <si>
    <t>Current Salary</t>
  </si>
  <si>
    <t>Current TSI</t>
  </si>
  <si>
    <t>Age</t>
  </si>
  <si>
    <t>Salary @ 28</t>
  </si>
  <si>
    <t>Salary</t>
  </si>
  <si>
    <t>Factor</t>
  </si>
  <si>
    <t>TSI @ 28</t>
  </si>
  <si>
    <t>Nationality</t>
  </si>
  <si>
    <t>TSI</t>
  </si>
  <si>
    <t>PM level:</t>
  </si>
  <si>
    <t>PM-level:</t>
  </si>
  <si>
    <t>Salary (in €)</t>
  </si>
  <si>
    <t>PM level from Salary</t>
  </si>
  <si>
    <t>PM level from TSI</t>
  </si>
  <si>
    <t>Native</t>
  </si>
  <si>
    <t>1= native, 2=foreign</t>
  </si>
  <si>
    <t>PM level salary</t>
  </si>
  <si>
    <t>PM Level TSI</t>
  </si>
  <si>
    <t>Player</t>
  </si>
  <si>
    <t>Moloa</t>
  </si>
  <si>
    <t>Ngubane</t>
  </si>
  <si>
    <t>Sarenac</t>
  </si>
  <si>
    <t>Svensson</t>
  </si>
  <si>
    <t>Billblad</t>
  </si>
  <si>
    <t>Dawson</t>
  </si>
  <si>
    <t>Ånglund</t>
  </si>
  <si>
    <t>Carlsson</t>
  </si>
  <si>
    <t>Stigsten</t>
  </si>
  <si>
    <t>Hägerbom</t>
  </si>
  <si>
    <t>Known level</t>
  </si>
  <si>
    <t>De Pascalis</t>
  </si>
  <si>
    <t>Conny Pettersson</t>
  </si>
  <si>
    <t>Uģis Vusovskis (79770571)</t>
  </si>
  <si>
    <t>Sören Eklund (78253278)</t>
  </si>
  <si>
    <t>Per Klinttorp (143358270)</t>
  </si>
  <si>
    <t>Nikos Fantis (90180972)</t>
  </si>
  <si>
    <t>Nat</t>
  </si>
  <si>
    <t>Swe</t>
  </si>
  <si>
    <t>Cyp</t>
  </si>
  <si>
    <t>Diff</t>
  </si>
  <si>
    <t>Mükremin Bilal (93360016)</t>
  </si>
  <si>
    <t>Recep Nesim (66009202)</t>
  </si>
  <si>
    <t>Anders Nilsson (56687928)</t>
  </si>
  <si>
    <t>Skadad +1</t>
  </si>
  <si>
    <t>Thomas Gustavsson (76224976)</t>
  </si>
  <si>
    <t>Mårten Swärden (94432802)</t>
  </si>
  <si>
    <t>Antonakis Taxiarchou (144718813)</t>
  </si>
  <si>
    <t>Anders Lewholt (112800544)</t>
  </si>
  <si>
    <t>Fredrik Sörensson (70818463)</t>
  </si>
  <si>
    <t>Kjellhall</t>
  </si>
  <si>
    <t>Anders Gustavsson (142743644)</t>
  </si>
  <si>
    <t>Ungefärlig:</t>
  </si>
  <si>
    <t>Skil Keeper</t>
  </si>
  <si>
    <t>08-excellent 4.000 €</t>
  </si>
  <si>
    <t>09-formidable 5.800 €</t>
  </si>
  <si>
    <t>10-outstanding 7.200 €</t>
  </si>
  <si>
    <t>11-brilliant 10.000 €</t>
  </si>
  <si>
    <t>12-magnificent 13.500 €</t>
  </si>
  <si>
    <t>13-world class 17.000 €</t>
  </si>
  <si>
    <t>14-supernatural 22.500 €</t>
  </si>
  <si>
    <t>15-titanic 29.000 €</t>
  </si>
  <si>
    <t>16-extra-terrestrial 40.000 €</t>
  </si>
  <si>
    <t>17-mythical 55.000 €</t>
  </si>
  <si>
    <t>18-magical 70.000 €</t>
  </si>
  <si>
    <t>19-utopian 90.000 €</t>
  </si>
  <si>
    <t>20-divine 110.000 €</t>
  </si>
  <si>
    <t>Skil Defending</t>
  </si>
  <si>
    <t>08-excellent 1.100 €</t>
  </si>
  <si>
    <t>09-formidable 1.600 €</t>
  </si>
  <si>
    <t>10-outstanding 2.800 €</t>
  </si>
  <si>
    <t>11-brilliant 4.400 €</t>
  </si>
  <si>
    <t>12-magnificent 7.500 €</t>
  </si>
  <si>
    <t>13-world class 13.000 €</t>
  </si>
  <si>
    <t>15-titanic 35.000 €</t>
  </si>
  <si>
    <t>16-extra-terrestrial 50.000 €</t>
  </si>
  <si>
    <t>17-mythical 75.000 €</t>
  </si>
  <si>
    <t>18-magical 125.000 €</t>
  </si>
  <si>
    <t>19-utopian 170.000 €</t>
  </si>
  <si>
    <t>20-divine 250.000 €</t>
  </si>
  <si>
    <t>Skil Playmaking</t>
  </si>
  <si>
    <t>09-formidable 1.800 €</t>
  </si>
  <si>
    <t>10-outstanding 3.000 €</t>
  </si>
  <si>
    <t>11-brilliant 5.500 €</t>
  </si>
  <si>
    <t>12-magnificent 9.500 €</t>
  </si>
  <si>
    <t>14-supernatural 27.000 €</t>
  </si>
  <si>
    <t>15-titanic 43.000 €</t>
  </si>
  <si>
    <t>16-extra-terrestrial 70.000 €</t>
  </si>
  <si>
    <t>17-mythical 100.000 €</t>
  </si>
  <si>
    <t>18-magical 150.000 €</t>
  </si>
  <si>
    <t>19-utopian 250.000 €</t>
  </si>
  <si>
    <t>20-divine 350.000 €</t>
  </si>
  <si>
    <t>Skil Winger</t>
  </si>
  <si>
    <t>08-excellent 1.000 €</t>
  </si>
  <si>
    <t>09-formidable 1.400 €</t>
  </si>
  <si>
    <t>10-outstanding 1.800 €</t>
  </si>
  <si>
    <t>11-brilliant 3.200 €</t>
  </si>
  <si>
    <t>12-magnificent 5.000 €</t>
  </si>
  <si>
    <t>13-world class 8.000 €</t>
  </si>
  <si>
    <t>14-supernatural 14.000 €</t>
  </si>
  <si>
    <t>15-titanic 25.000 €</t>
  </si>
  <si>
    <t>16-extra-terrestrial 34.000 €</t>
  </si>
  <si>
    <t>17-mythical 50.000 €</t>
  </si>
  <si>
    <t>18-magical 75.000 €</t>
  </si>
  <si>
    <t>19-utopian 105.000 €</t>
  </si>
  <si>
    <t>20-divine 150.000 €</t>
  </si>
  <si>
    <t>Skil Scoring</t>
  </si>
  <si>
    <t>11-brilliant 5.200 €</t>
  </si>
  <si>
    <t>12-magnificent 8.000 €</t>
  </si>
  <si>
    <t>13-world class 15.000 €</t>
  </si>
  <si>
    <t>14-supernatural 23.000 €</t>
  </si>
  <si>
    <t>15-titanic 40.000 €</t>
  </si>
  <si>
    <t>16-extra-terrestrial 60.000 €</t>
  </si>
  <si>
    <t>17-mythical 90.000 €</t>
  </si>
  <si>
    <t>18-magical 130.000 €</t>
  </si>
  <si>
    <t>19-utopian 200.000 €</t>
  </si>
  <si>
    <t>Vana</t>
  </si>
  <si>
    <t>Prestation</t>
  </si>
  <si>
    <t>Kant</t>
  </si>
  <si>
    <t>Mitten</t>
  </si>
  <si>
    <t>Spelare</t>
  </si>
  <si>
    <t>MG</t>
  </si>
  <si>
    <t>Kondis</t>
  </si>
  <si>
    <t>Paulsson</t>
  </si>
  <si>
    <t>Höklind</t>
  </si>
  <si>
    <t>Grönstedt</t>
  </si>
  <si>
    <t>Ulfsson</t>
  </si>
  <si>
    <t>Knutsson</t>
  </si>
  <si>
    <t>Prestation anfallare:</t>
  </si>
  <si>
    <t>Totalt (mitt + 2*kant)</t>
  </si>
  <si>
    <t>&lt;dominikanska inner 1&gt;</t>
  </si>
  <si>
    <t>&lt;dominikanska inner 2&gt;</t>
  </si>
  <si>
    <t>S43 = new ratio</t>
  </si>
  <si>
    <t>Absint</t>
  </si>
  <si>
    <t>Nord</t>
  </si>
  <si>
    <t xml:space="preserve">Liam Sytsma </t>
  </si>
  <si>
    <t xml:space="preserve">Immanuel van der Maar </t>
  </si>
  <si>
    <t xml:space="preserve">Jacques Kingma </t>
  </si>
  <si>
    <t>Teodor Kosiorowski</t>
  </si>
  <si>
    <t>Exp</t>
  </si>
  <si>
    <t>Sta</t>
  </si>
  <si>
    <t>Ola Matsson</t>
  </si>
  <si>
    <t>HT Time</t>
  </si>
  <si>
    <t>HT time</t>
  </si>
  <si>
    <t>Base calc</t>
  </si>
  <si>
    <t>S</t>
  </si>
  <si>
    <t>W</t>
  </si>
  <si>
    <t>D</t>
  </si>
  <si>
    <t>Days</t>
  </si>
  <si>
    <t>TS</t>
  </si>
  <si>
    <t>Act TS</t>
  </si>
  <si>
    <t>Datum</t>
  </si>
  <si>
    <t>pic</t>
  </si>
  <si>
    <t>GBK</t>
  </si>
  <si>
    <t>Stämning</t>
  </si>
  <si>
    <t>Step</t>
  </si>
  <si>
    <t>Coefficient</t>
  </si>
  <si>
    <t>obefintlig</t>
  </si>
  <si>
    <t>Calc TS pre</t>
  </si>
  <si>
    <t>Calc TS post</t>
  </si>
  <si>
    <t>D71GHF</t>
  </si>
  <si>
    <t>Name</t>
  </si>
  <si>
    <t>Kond</t>
  </si>
  <si>
    <t>Rut</t>
  </si>
  <si>
    <t>Min</t>
  </si>
  <si>
    <t>Medel</t>
  </si>
  <si>
    <t>Max</t>
  </si>
  <si>
    <t>Innaty</t>
  </si>
  <si>
    <t>Kilskog</t>
  </si>
  <si>
    <t>Rosensjö</t>
  </si>
  <si>
    <t>Andreasson</t>
  </si>
  <si>
    <t>Oyen</t>
  </si>
  <si>
    <t>Jonasson</t>
  </si>
  <si>
    <t>Nivå</t>
  </si>
  <si>
    <t>Ytt</t>
  </si>
  <si>
    <t>För</t>
  </si>
  <si>
    <t>Förm</t>
  </si>
  <si>
    <t>Medel utan kond</t>
  </si>
  <si>
    <t>Mohd Faizal bin Mohd Zain</t>
  </si>
  <si>
    <t>Off</t>
  </si>
  <si>
    <t>Hö</t>
  </si>
  <si>
    <t>Mi</t>
  </si>
  <si>
    <t>Vä</t>
  </si>
  <si>
    <t>Bal</t>
  </si>
  <si>
    <t>Def</t>
  </si>
  <si>
    <t xml:space="preserve">Offensive coach: 
+ 15 % to attack ratings 
- 10 % to defense ratings 
Defensive coach: 
- 10 % to attack ratings 
+ 20 % to defense ratings 
Neutral coach: 
+ 5 % to attack ratings 
+ 5 % to defense ratings
</t>
  </si>
  <si>
    <t>Charlie Örjansson (156568185)</t>
  </si>
  <si>
    <t>"Selvtillid efter kampen = selvtillid før kampen + (mål for - mål imod) * (0,20 + 0,12 * kvadratroden af antallet af idrætspsykologer)</t>
  </si>
  <si>
    <t>Gjorda mål</t>
  </si>
  <si>
    <t>Insläppta mål</t>
  </si>
  <si>
    <t>Idrotts-psykologer</t>
  </si>
  <si>
    <t>Aktuellt Självförtroende</t>
  </si>
  <si>
    <t>semi</t>
  </si>
  <si>
    <t>final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</si>
  <si>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</si>
  <si>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</si>
  <si>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</si>
  <si>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</si>
  <si>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</si>
  <si>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</si>
  <si>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</si>
  <si>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</si>
  <si>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</si>
  <si>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</si>
  <si>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</si>
  <si>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</si>
  <si>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</si>
  <si>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</si>
  <si>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GS2-1</t>
  </si>
  <si>
    <t>GS2-2</t>
  </si>
  <si>
    <t>GS2-3</t>
  </si>
  <si>
    <t>GS3-1</t>
  </si>
  <si>
    <t>GS3-2</t>
  </si>
  <si>
    <t>GS3-3</t>
  </si>
  <si>
    <t>GS4-1</t>
  </si>
  <si>
    <t>GS4-2</t>
  </si>
  <si>
    <t>GS4-3</t>
  </si>
  <si>
    <t>LL</t>
  </si>
  <si>
    <t>Club</t>
  </si>
  <si>
    <t>c1</t>
  </si>
  <si>
    <t>s1</t>
  </si>
  <si>
    <t>c2</t>
  </si>
  <si>
    <t>s2</t>
  </si>
  <si>
    <t>c3</t>
  </si>
  <si>
    <t>s3</t>
  </si>
  <si>
    <t>c4</t>
  </si>
  <si>
    <t>s4</t>
  </si>
  <si>
    <t>c5</t>
  </si>
  <si>
    <t>s5</t>
  </si>
  <si>
    <t>c6</t>
  </si>
  <si>
    <t>s6</t>
  </si>
  <si>
    <t>c7</t>
  </si>
  <si>
    <t>s7</t>
  </si>
  <si>
    <t>c8</t>
  </si>
  <si>
    <t>s8</t>
  </si>
  <si>
    <t>c9</t>
  </si>
  <si>
    <t>s9</t>
  </si>
  <si>
    <t>c10</t>
  </si>
  <si>
    <t>s10</t>
  </si>
  <si>
    <t>c11</t>
  </si>
  <si>
    <t>s11</t>
  </si>
  <si>
    <t>c12</t>
  </si>
  <si>
    <t>s12</t>
  </si>
  <si>
    <t>c13</t>
  </si>
  <si>
    <t>s13</t>
  </si>
  <si>
    <t>c14</t>
  </si>
  <si>
    <t>s14</t>
  </si>
  <si>
    <t>c15</t>
  </si>
  <si>
    <t>Tomas Ånglund (115796585)</t>
  </si>
  <si>
    <t>Nilsson</t>
  </si>
  <si>
    <t>Wickling</t>
  </si>
  <si>
    <t>Isak</t>
  </si>
  <si>
    <t>Erskär</t>
  </si>
  <si>
    <t>Månsson</t>
  </si>
  <si>
    <t>marius</t>
  </si>
  <si>
    <t>tomas</t>
  </si>
  <si>
    <t>Må</t>
  </si>
  <si>
    <t>Sören Selholt (277705279)</t>
  </si>
  <si>
    <t>Ungern</t>
  </si>
  <si>
    <t>Numbers</t>
  </si>
  <si>
    <t>Förmågenivå</t>
  </si>
  <si>
    <t>Ratings vs numbers</t>
  </si>
  <si>
    <t>Ratings</t>
  </si>
  <si>
    <t>unik (mkt låg)</t>
  </si>
  <si>
    <t>fenomenal (mkt låg)</t>
  </si>
  <si>
    <t>legendarisk (låg)</t>
  </si>
  <si>
    <t>hyfsad (låg)</t>
  </si>
  <si>
    <t>enastående (låg)</t>
  </si>
  <si>
    <t>katastrofal (låg)</t>
  </si>
  <si>
    <t>Selected</t>
  </si>
  <si>
    <t>bra (mkt låg)</t>
  </si>
  <si>
    <t>Ivan</t>
  </si>
  <si>
    <t>Thorstensson</t>
  </si>
  <si>
    <t>Gerdmar</t>
  </si>
  <si>
    <t>de la Cruz</t>
  </si>
  <si>
    <t>min</t>
  </si>
  <si>
    <t>stamina</t>
  </si>
  <si>
    <t>[tr]</t>
  </si>
  <si>
    <t>[table]</t>
  </si>
  <si>
    <t>[/tr]</t>
  </si>
  <si>
    <t>[/table]</t>
  </si>
  <si>
    <t>((stamina+6.5)/14)^0.6 </t>
  </si>
  <si>
    <t>sqrt(X)/sqrt(max(x))</t>
  </si>
  <si>
    <t>Classic</t>
  </si>
  <si>
    <t>HO</t>
  </si>
  <si>
    <t>Table</t>
  </si>
  <si>
    <t>sum(minutes-step-2.5)/sum(step-2.5-at-100%)</t>
  </si>
  <si>
    <t>Stamina</t>
  </si>
  <si>
    <t>P (classic)</t>
  </si>
  <si>
    <t>P (HO)</t>
  </si>
  <si>
    <t>P (table)</t>
  </si>
  <si>
    <t>Enastående tränare</t>
  </si>
  <si>
    <t>Fenomenal tränare</t>
  </si>
  <si>
    <t>Form\Stamina</t>
  </si>
  <si>
    <t>Experience \ Form</t>
  </si>
  <si>
    <t>Ability:</t>
  </si>
  <si>
    <t>Magisk</t>
  </si>
  <si>
    <t>Experience \ Stamina</t>
  </si>
</sst>
</file>

<file path=xl/styles.xml><?xml version="1.0" encoding="utf-8"?>
<styleSheet xmlns="http://schemas.openxmlformats.org/spreadsheetml/2006/main">
  <numFmts count="5">
    <numFmt numFmtId="171" formatCode="_-* #,##0.00_-;\-* #,##0.00_-;_-* &quot;-&quot;??_-;_-@_-"/>
    <numFmt numFmtId="179" formatCode="0.00_ ;[Red]\-0.00\ "/>
    <numFmt numFmtId="184" formatCode="0.000"/>
    <numFmt numFmtId="185" formatCode="0.0%"/>
    <numFmt numFmtId="186" formatCode="0.0"/>
  </numFmts>
  <fonts count="39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sz val="8"/>
      <color indexed="8"/>
      <name val="Verdana"/>
      <family val="2"/>
    </font>
    <font>
      <b/>
      <i/>
      <sz val="10"/>
      <name val="Arial"/>
      <family val="2"/>
    </font>
    <font>
      <sz val="8"/>
      <name val="Arial"/>
    </font>
    <font>
      <sz val="10"/>
      <name val="Verdana"/>
      <family val="2"/>
    </font>
    <font>
      <u/>
      <sz val="10"/>
      <color indexed="12"/>
      <name val="Arial"/>
    </font>
    <font>
      <b/>
      <sz val="20"/>
      <color indexed="23"/>
      <name val="Verdana"/>
      <family val="2"/>
    </font>
    <font>
      <sz val="6"/>
      <color indexed="55"/>
      <name val="Verdana"/>
      <family val="2"/>
    </font>
    <font>
      <sz val="8"/>
      <color indexed="63"/>
      <name val="Verdana"/>
      <family val="2"/>
    </font>
    <font>
      <b/>
      <sz val="12"/>
      <color indexed="19"/>
      <name val="Verdana"/>
      <family val="2"/>
    </font>
    <font>
      <b/>
      <sz val="10"/>
      <name val="Verdana"/>
      <family val="2"/>
    </font>
    <font>
      <sz val="12"/>
      <name val="Times New Roman"/>
      <family val="1"/>
    </font>
    <font>
      <sz val="8.5"/>
      <color indexed="8"/>
      <name val="Verdana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i/>
      <sz val="10"/>
      <color indexed="22"/>
      <name val="Arial"/>
      <family val="2"/>
    </font>
    <font>
      <i/>
      <sz val="10"/>
      <color indexed="22"/>
      <name val="Arial"/>
      <family val="2"/>
    </font>
    <font>
      <sz val="10"/>
      <name val="Arial"/>
    </font>
    <font>
      <b/>
      <sz val="14"/>
      <name val="Arial"/>
      <family val="2"/>
    </font>
    <font>
      <sz val="14"/>
      <name val="Arial"/>
      <family val="2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1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</fills>
  <borders count="3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22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indexed="42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5">
    <xf numFmtId="0" fontId="0" fillId="0" borderId="0"/>
    <xf numFmtId="0" fontId="17" fillId="2" borderId="0" applyNumberFormat="0" applyBorder="0" applyAlignment="0" applyProtection="0"/>
    <xf numFmtId="0" fontId="17" fillId="3" borderId="0" applyNumberFormat="0" applyBorder="0" applyAlignment="0" applyProtection="0"/>
    <xf numFmtId="0" fontId="17" fillId="4" borderId="0" applyNumberFormat="0" applyBorder="0" applyAlignment="0" applyProtection="0"/>
    <xf numFmtId="0" fontId="17" fillId="5" borderId="0" applyNumberFormat="0" applyBorder="0" applyAlignment="0" applyProtection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5" borderId="0" applyNumberFormat="0" applyBorder="0" applyAlignment="0" applyProtection="0"/>
    <xf numFmtId="0" fontId="17" fillId="8" borderId="0" applyNumberFormat="0" applyBorder="0" applyAlignment="0" applyProtection="0"/>
    <xf numFmtId="0" fontId="17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9" borderId="0" applyNumberFormat="0" applyBorder="0" applyAlignment="0" applyProtection="0"/>
    <xf numFmtId="0" fontId="18" fillId="10" borderId="0" applyNumberFormat="0" applyBorder="0" applyAlignment="0" applyProtection="0"/>
    <xf numFmtId="0" fontId="18" fillId="13" borderId="0" applyNumberFormat="0" applyBorder="0" applyAlignment="0" applyProtection="0"/>
    <xf numFmtId="0" fontId="18" fillId="14" borderId="0" applyNumberFormat="0" applyBorder="0" applyAlignment="0" applyProtection="0"/>
    <xf numFmtId="0" fontId="18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3" borderId="0" applyNumberFormat="0" applyBorder="0" applyAlignment="0" applyProtection="0"/>
    <xf numFmtId="0" fontId="18" fillId="14" borderId="0" applyNumberFormat="0" applyBorder="0" applyAlignment="0" applyProtection="0"/>
    <xf numFmtId="0" fontId="18" fillId="19" borderId="0" applyNumberFormat="0" applyBorder="0" applyAlignment="0" applyProtection="0"/>
    <xf numFmtId="0" fontId="19" fillId="3" borderId="0" applyNumberFormat="0" applyBorder="0" applyAlignment="0" applyProtection="0"/>
    <xf numFmtId="0" fontId="20" fillId="20" borderId="1" applyNumberFormat="0" applyAlignment="0" applyProtection="0"/>
    <xf numFmtId="0" fontId="21" fillId="21" borderId="2" applyNumberFormat="0" applyAlignment="0" applyProtection="0"/>
    <xf numFmtId="171" fontId="1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4" borderId="0" applyNumberFormat="0" applyBorder="0" applyAlignment="0" applyProtection="0"/>
    <xf numFmtId="0" fontId="24" fillId="0" borderId="3" applyNumberFormat="0" applyFill="0" applyAlignment="0" applyProtection="0"/>
    <xf numFmtId="0" fontId="25" fillId="0" borderId="4" applyNumberFormat="0" applyFill="0" applyAlignment="0" applyProtection="0"/>
    <xf numFmtId="0" fontId="26" fillId="0" borderId="5" applyNumberFormat="0" applyFill="0" applyAlignment="0" applyProtection="0"/>
    <xf numFmtId="0" fontId="26" fillId="0" borderId="0" applyNumberFormat="0" applyFill="0" applyBorder="0" applyAlignment="0" applyProtection="0"/>
    <xf numFmtId="0" fontId="9" fillId="0" borderId="0" applyNumberFormat="0" applyFill="0" applyBorder="0" applyAlignment="0" applyProtection="0">
      <alignment vertical="top"/>
      <protection locked="0"/>
    </xf>
    <xf numFmtId="0" fontId="27" fillId="7" borderId="1" applyNumberFormat="0" applyAlignment="0" applyProtection="0"/>
    <xf numFmtId="0" fontId="28" fillId="0" borderId="6" applyNumberFormat="0" applyFill="0" applyAlignment="0" applyProtection="0"/>
    <xf numFmtId="0" fontId="29" fillId="22" borderId="0" applyNumberFormat="0" applyBorder="0" applyAlignment="0" applyProtection="0"/>
    <xf numFmtId="0" fontId="1" fillId="23" borderId="7" applyNumberFormat="0" applyFont="0" applyAlignment="0" applyProtection="0"/>
    <xf numFmtId="0" fontId="30" fillId="20" borderId="8" applyNumberFormat="0" applyAlignment="0" applyProtection="0"/>
    <xf numFmtId="9" fontId="1" fillId="0" borderId="0" applyFon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9" applyNumberFormat="0" applyFill="0" applyAlignment="0" applyProtection="0"/>
    <xf numFmtId="0" fontId="33" fillId="0" borderId="0" applyNumberFormat="0" applyFill="0" applyBorder="0" applyAlignment="0" applyProtection="0"/>
  </cellStyleXfs>
  <cellXfs count="261">
    <xf numFmtId="0" fontId="0" fillId="0" borderId="0" xfId="0"/>
    <xf numFmtId="0" fontId="0" fillId="0" borderId="0" xfId="0" applyAlignment="1">
      <alignment horizontal="center"/>
    </xf>
    <xf numFmtId="10" fontId="0" fillId="0" borderId="0" xfId="0" applyNumberFormat="1"/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3" fillId="0" borderId="0" xfId="0" applyFont="1"/>
    <xf numFmtId="2" fontId="0" fillId="0" borderId="0" xfId="0" applyNumberFormat="1"/>
    <xf numFmtId="2" fontId="0" fillId="0" borderId="0" xfId="0" applyNumberFormat="1" applyAlignment="1">
      <alignment horizontal="center"/>
    </xf>
    <xf numFmtId="4" fontId="0" fillId="0" borderId="0" xfId="0" applyNumberFormat="1"/>
    <xf numFmtId="0" fontId="2" fillId="0" borderId="0" xfId="0" applyFont="1" applyAlignment="1">
      <alignment horizontal="left" wrapText="1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center" wrapText="1"/>
    </xf>
    <xf numFmtId="14" fontId="0" fillId="0" borderId="0" xfId="0" applyNumberFormat="1" applyAlignment="1">
      <alignment horizontal="center" wrapText="1"/>
    </xf>
    <xf numFmtId="0" fontId="0" fillId="0" borderId="0" xfId="0" applyAlignment="1">
      <alignment horizontal="left" vertical="top" wrapText="1"/>
    </xf>
    <xf numFmtId="0" fontId="2" fillId="0" borderId="0" xfId="0" applyFont="1" applyAlignment="1">
      <alignment horizontal="center" vertical="top" wrapText="1"/>
    </xf>
    <xf numFmtId="0" fontId="4" fillId="0" borderId="0" xfId="0" applyFont="1"/>
    <xf numFmtId="0" fontId="3" fillId="0" borderId="0" xfId="0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0" fillId="0" borderId="10" xfId="0" applyBorder="1"/>
    <xf numFmtId="0" fontId="0" fillId="0" borderId="10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1" fillId="24" borderId="0" xfId="0" applyFont="1" applyFill="1"/>
    <xf numFmtId="0" fontId="0" fillId="24" borderId="0" xfId="0" applyFill="1"/>
    <xf numFmtId="0" fontId="0" fillId="24" borderId="0" xfId="0" applyFill="1" applyAlignment="1">
      <alignment horizontal="center"/>
    </xf>
    <xf numFmtId="0" fontId="5" fillId="0" borderId="0" xfId="0" applyFont="1" applyAlignment="1">
      <alignment wrapText="1"/>
    </xf>
    <xf numFmtId="0" fontId="0" fillId="0" borderId="11" xfId="0" applyBorder="1"/>
    <xf numFmtId="0" fontId="6" fillId="0" borderId="0" xfId="0" applyFont="1"/>
    <xf numFmtId="10" fontId="0" fillId="0" borderId="0" xfId="0" applyNumberFormat="1" applyAlignment="1">
      <alignment horizontal="center"/>
    </xf>
    <xf numFmtId="10" fontId="3" fillId="0" borderId="0" xfId="0" applyNumberFormat="1" applyFont="1" applyAlignment="1">
      <alignment horizontal="center"/>
    </xf>
    <xf numFmtId="0" fontId="3" fillId="0" borderId="10" xfId="0" applyFont="1" applyBorder="1"/>
    <xf numFmtId="0" fontId="3" fillId="0" borderId="0" xfId="0" applyFont="1" applyBorder="1"/>
    <xf numFmtId="2" fontId="0" fillId="25" borderId="0" xfId="0" applyNumberFormat="1" applyFill="1" applyAlignment="1">
      <alignment horizontal="center"/>
    </xf>
    <xf numFmtId="0" fontId="0" fillId="0" borderId="0" xfId="0" applyAlignment="1">
      <alignment vertical="top"/>
    </xf>
    <xf numFmtId="0" fontId="4" fillId="0" borderId="0" xfId="0" applyFont="1" applyBorder="1"/>
    <xf numFmtId="0" fontId="4" fillId="0" borderId="0" xfId="0" applyFont="1" applyBorder="1" applyAlignment="1">
      <alignment horizontal="center"/>
    </xf>
    <xf numFmtId="2" fontId="0" fillId="0" borderId="0" xfId="0" applyNumberFormat="1" applyFill="1" applyAlignment="1">
      <alignment horizontal="center"/>
    </xf>
    <xf numFmtId="2" fontId="0" fillId="0" borderId="0" xfId="0" applyNumberFormat="1" applyFill="1"/>
    <xf numFmtId="0" fontId="0" fillId="25" borderId="0" xfId="0" applyFill="1"/>
    <xf numFmtId="2" fontId="0" fillId="26" borderId="0" xfId="0" applyNumberFormat="1" applyFill="1"/>
    <xf numFmtId="0" fontId="1" fillId="26" borderId="0" xfId="0" applyFont="1" applyFill="1"/>
    <xf numFmtId="2" fontId="0" fillId="26" borderId="0" xfId="0" applyNumberFormat="1" applyFill="1" applyAlignment="1">
      <alignment horizontal="center"/>
    </xf>
    <xf numFmtId="0" fontId="0" fillId="0" borderId="0" xfId="0" applyAlignment="1">
      <alignment horizontal="left"/>
    </xf>
    <xf numFmtId="0" fontId="8" fillId="0" borderId="0" xfId="0" applyFont="1" applyAlignment="1">
      <alignment horizontal="left" vertical="top"/>
    </xf>
    <xf numFmtId="0" fontId="9" fillId="0" borderId="0" xfId="35" applyAlignment="1" applyProtection="1">
      <alignment horizontal="left" vertical="top"/>
    </xf>
    <xf numFmtId="0" fontId="0" fillId="0" borderId="0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5" xfId="0" applyBorder="1" applyAlignment="1">
      <alignment horizontal="left"/>
    </xf>
    <xf numFmtId="0" fontId="2" fillId="0" borderId="16" xfId="0" applyFont="1" applyBorder="1"/>
    <xf numFmtId="0" fontId="2" fillId="0" borderId="17" xfId="0" applyFont="1" applyBorder="1"/>
    <xf numFmtId="0" fontId="2" fillId="0" borderId="18" xfId="0" applyFont="1" applyBorder="1"/>
    <xf numFmtId="0" fontId="2" fillId="0" borderId="12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10" fillId="0" borderId="0" xfId="0" applyFont="1" applyAlignment="1">
      <alignment wrapText="1"/>
    </xf>
    <xf numFmtId="0" fontId="9" fillId="0" borderId="0" xfId="35" applyAlignment="1" applyProtection="1">
      <alignment wrapText="1"/>
    </xf>
    <xf numFmtId="0" fontId="8" fillId="0" borderId="0" xfId="0" applyFont="1" applyAlignment="1">
      <alignment horizontal="left" vertical="top" wrapText="1"/>
    </xf>
    <xf numFmtId="0" fontId="9" fillId="0" borderId="0" xfId="35" applyAlignment="1" applyProtection="1">
      <alignment horizontal="left" vertical="top" wrapText="1"/>
    </xf>
    <xf numFmtId="0" fontId="13" fillId="0" borderId="19" xfId="0" applyFont="1" applyBorder="1" applyAlignment="1">
      <alignment wrapText="1"/>
    </xf>
    <xf numFmtId="0" fontId="14" fillId="0" borderId="0" xfId="0" applyFont="1" applyAlignment="1">
      <alignment horizontal="left" vertical="top"/>
    </xf>
    <xf numFmtId="0" fontId="0" fillId="27" borderId="0" xfId="0" applyFill="1" applyAlignment="1">
      <alignment wrapText="1"/>
    </xf>
    <xf numFmtId="0" fontId="0" fillId="27" borderId="20" xfId="0" applyFill="1" applyBorder="1" applyAlignment="1">
      <alignment wrapText="1"/>
    </xf>
    <xf numFmtId="0" fontId="0" fillId="27" borderId="21" xfId="0" applyFill="1" applyBorder="1" applyAlignment="1">
      <alignment wrapText="1"/>
    </xf>
    <xf numFmtId="0" fontId="0" fillId="27" borderId="11" xfId="0" applyFill="1" applyBorder="1" applyAlignment="1">
      <alignment wrapText="1"/>
    </xf>
    <xf numFmtId="0" fontId="8" fillId="27" borderId="0" xfId="0" applyFont="1" applyFill="1" applyAlignment="1">
      <alignment horizontal="left" vertical="top" wrapText="1"/>
    </xf>
    <xf numFmtId="0" fontId="0" fillId="27" borderId="0" xfId="0" applyFill="1" applyAlignment="1">
      <alignment horizontal="left" wrapText="1"/>
    </xf>
    <xf numFmtId="0" fontId="0" fillId="27" borderId="11" xfId="0" applyFill="1" applyBorder="1" applyAlignment="1">
      <alignment horizontal="left" wrapText="1"/>
    </xf>
    <xf numFmtId="0" fontId="8" fillId="27" borderId="0" xfId="0" applyFont="1" applyFill="1" applyAlignment="1">
      <alignment horizontal="right" vertical="top" wrapText="1"/>
    </xf>
    <xf numFmtId="0" fontId="0" fillId="27" borderId="0" xfId="0" applyFill="1" applyAlignment="1">
      <alignment horizontal="right" wrapText="1"/>
    </xf>
    <xf numFmtId="0" fontId="14" fillId="27" borderId="0" xfId="0" applyFont="1" applyFill="1" applyAlignment="1">
      <alignment horizontal="right" vertical="top" wrapText="1"/>
    </xf>
    <xf numFmtId="0" fontId="0" fillId="27" borderId="11" xfId="0" applyFill="1" applyBorder="1" applyAlignment="1">
      <alignment horizontal="right" wrapText="1"/>
    </xf>
    <xf numFmtId="0" fontId="2" fillId="27" borderId="0" xfId="0" applyFont="1" applyFill="1" applyAlignment="1">
      <alignment horizontal="left"/>
    </xf>
    <xf numFmtId="179" fontId="0" fillId="27" borderId="0" xfId="0" applyNumberFormat="1" applyFill="1" applyAlignment="1">
      <alignment horizontal="left" wrapText="1"/>
    </xf>
    <xf numFmtId="0" fontId="2" fillId="27" borderId="0" xfId="0" applyFont="1" applyFill="1" applyAlignment="1">
      <alignment horizontal="right" wrapText="1"/>
    </xf>
    <xf numFmtId="2" fontId="0" fillId="27" borderId="20" xfId="0" applyNumberFormat="1" applyFill="1" applyBorder="1" applyAlignment="1">
      <alignment horizontal="left" wrapText="1"/>
    </xf>
    <xf numFmtId="0" fontId="0" fillId="27" borderId="0" xfId="0" applyFill="1" applyAlignment="1">
      <alignment horizontal="center" wrapText="1"/>
    </xf>
    <xf numFmtId="2" fontId="0" fillId="27" borderId="0" xfId="0" applyNumberFormat="1" applyFill="1" applyAlignment="1">
      <alignment horizontal="center" wrapText="1"/>
    </xf>
    <xf numFmtId="0" fontId="9" fillId="0" borderId="0" xfId="35" applyAlignment="1" applyProtection="1"/>
    <xf numFmtId="0" fontId="15" fillId="0" borderId="0" xfId="0" applyFont="1" applyAlignment="1">
      <alignment wrapText="1"/>
    </xf>
    <xf numFmtId="0" fontId="16" fillId="0" borderId="0" xfId="0" applyFont="1"/>
    <xf numFmtId="0" fontId="3" fillId="0" borderId="0" xfId="0" applyFont="1" applyAlignment="1">
      <alignment vertical="top" wrapText="1"/>
    </xf>
    <xf numFmtId="0" fontId="9" fillId="0" borderId="0" xfId="35" applyAlignment="1" applyProtection="1">
      <alignment vertical="top" wrapText="1"/>
    </xf>
    <xf numFmtId="0" fontId="0" fillId="0" borderId="0" xfId="0" applyFill="1"/>
    <xf numFmtId="0" fontId="0" fillId="24" borderId="0" xfId="0" applyFill="1" applyAlignment="1">
      <alignment horizontal="right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2" fontId="3" fillId="0" borderId="0" xfId="0" applyNumberFormat="1" applyFont="1" applyAlignment="1">
      <alignment horizontal="center"/>
    </xf>
    <xf numFmtId="2" fontId="3" fillId="0" borderId="0" xfId="0" applyNumberFormat="1" applyFont="1"/>
    <xf numFmtId="2" fontId="0" fillId="0" borderId="10" xfId="0" applyNumberFormat="1" applyBorder="1"/>
    <xf numFmtId="9" fontId="0" fillId="0" borderId="0" xfId="0" applyNumberFormat="1" applyAlignment="1">
      <alignment horizontal="center"/>
    </xf>
    <xf numFmtId="0" fontId="9" fillId="27" borderId="22" xfId="35" applyFill="1" applyBorder="1" applyAlignment="1" applyProtection="1">
      <alignment horizontal="left" vertical="top" wrapText="1"/>
    </xf>
    <xf numFmtId="0" fontId="14" fillId="0" borderId="0" xfId="0" applyFont="1" applyAlignment="1">
      <alignment horizontal="left" vertical="top" wrapText="1"/>
    </xf>
    <xf numFmtId="0" fontId="9" fillId="0" borderId="0" xfId="35" applyFont="1" applyAlignment="1" applyProtection="1">
      <alignment horizontal="left" vertical="top" wrapText="1"/>
    </xf>
    <xf numFmtId="0" fontId="9" fillId="27" borderId="22" xfId="35" applyFont="1" applyFill="1" applyBorder="1" applyAlignment="1" applyProtection="1">
      <alignment horizontal="left" vertical="top" wrapText="1"/>
    </xf>
    <xf numFmtId="0" fontId="2" fillId="27" borderId="23" xfId="0" applyFont="1" applyFill="1" applyBorder="1" applyAlignment="1" applyProtection="1">
      <alignment horizontal="left"/>
    </xf>
    <xf numFmtId="0" fontId="0" fillId="27" borderId="24" xfId="0" applyFill="1" applyBorder="1" applyAlignment="1" applyProtection="1">
      <alignment horizontal="center"/>
    </xf>
    <xf numFmtId="0" fontId="2" fillId="27" borderId="0" xfId="0" applyFont="1" applyFill="1"/>
    <xf numFmtId="0" fontId="0" fillId="27" borderId="0" xfId="0" applyFill="1"/>
    <xf numFmtId="0" fontId="0" fillId="27" borderId="0" xfId="0" applyFill="1" applyAlignment="1">
      <alignment horizontal="center"/>
    </xf>
    <xf numFmtId="2" fontId="4" fillId="27" borderId="0" xfId="0" applyNumberFormat="1" applyFont="1" applyFill="1" applyBorder="1" applyAlignment="1" applyProtection="1">
      <alignment horizontal="center"/>
    </xf>
    <xf numFmtId="0" fontId="2" fillId="27" borderId="0" xfId="0" applyFont="1" applyFill="1" applyBorder="1" applyAlignment="1" applyProtection="1">
      <alignment horizontal="left"/>
    </xf>
    <xf numFmtId="0" fontId="0" fillId="27" borderId="0" xfId="0" applyFill="1" applyBorder="1" applyAlignment="1" applyProtection="1">
      <alignment horizontal="center"/>
    </xf>
    <xf numFmtId="0" fontId="0" fillId="27" borderId="25" xfId="0" applyFill="1" applyBorder="1" applyAlignment="1" applyProtection="1">
      <alignment horizontal="center"/>
    </xf>
    <xf numFmtId="0" fontId="2" fillId="27" borderId="26" xfId="0" applyFont="1" applyFill="1" applyBorder="1" applyAlignment="1" applyProtection="1">
      <alignment horizontal="center"/>
      <protection locked="0"/>
    </xf>
    <xf numFmtId="0" fontId="0" fillId="27" borderId="27" xfId="0" applyFill="1" applyBorder="1" applyAlignment="1" applyProtection="1">
      <alignment horizontal="center"/>
    </xf>
    <xf numFmtId="0" fontId="2" fillId="27" borderId="28" xfId="0" applyNumberFormat="1" applyFont="1" applyFill="1" applyBorder="1" applyAlignment="1" applyProtection="1">
      <alignment horizontal="center"/>
      <protection locked="0"/>
    </xf>
    <xf numFmtId="0" fontId="0" fillId="27" borderId="29" xfId="0" applyFill="1" applyBorder="1" applyAlignment="1" applyProtection="1">
      <alignment horizontal="center"/>
    </xf>
    <xf numFmtId="2" fontId="4" fillId="27" borderId="21" xfId="0" applyNumberFormat="1" applyFont="1" applyFill="1" applyBorder="1" applyAlignment="1" applyProtection="1">
      <alignment horizontal="center"/>
    </xf>
    <xf numFmtId="0" fontId="0" fillId="27" borderId="30" xfId="0" applyFill="1" applyBorder="1" applyAlignment="1" applyProtection="1">
      <alignment horizontal="center"/>
    </xf>
    <xf numFmtId="0" fontId="2" fillId="27" borderId="28" xfId="0" quotePrefix="1" applyFont="1" applyFill="1" applyBorder="1" applyAlignment="1" applyProtection="1">
      <alignment horizontal="center"/>
      <protection locked="0"/>
    </xf>
    <xf numFmtId="2" fontId="4" fillId="27" borderId="31" xfId="0" applyNumberFormat="1" applyFont="1" applyFill="1" applyBorder="1" applyAlignment="1" applyProtection="1">
      <alignment horizontal="center"/>
    </xf>
    <xf numFmtId="0" fontId="0" fillId="27" borderId="32" xfId="0" applyFill="1" applyBorder="1"/>
    <xf numFmtId="0" fontId="0" fillId="27" borderId="33" xfId="0" applyFill="1" applyBorder="1"/>
    <xf numFmtId="0" fontId="2" fillId="27" borderId="0" xfId="0" applyFont="1" applyFill="1" applyAlignment="1">
      <alignment horizontal="center"/>
    </xf>
    <xf numFmtId="1" fontId="2" fillId="27" borderId="0" xfId="0" applyNumberFormat="1" applyFont="1" applyFill="1" applyAlignment="1">
      <alignment horizontal="center"/>
    </xf>
    <xf numFmtId="1" fontId="0" fillId="27" borderId="0" xfId="0" applyNumberFormat="1" applyFill="1" applyAlignment="1">
      <alignment horizontal="center"/>
    </xf>
    <xf numFmtId="0" fontId="34" fillId="27" borderId="0" xfId="0" applyFont="1" applyFill="1"/>
    <xf numFmtId="0" fontId="35" fillId="27" borderId="0" xfId="0" applyFont="1" applyFill="1"/>
    <xf numFmtId="0" fontId="0" fillId="27" borderId="32" xfId="0" applyFill="1" applyBorder="1" applyAlignment="1" applyProtection="1">
      <alignment horizontal="center"/>
    </xf>
    <xf numFmtId="0" fontId="0" fillId="27" borderId="33" xfId="0" applyFill="1" applyBorder="1" applyAlignment="1" applyProtection="1">
      <alignment horizontal="center"/>
    </xf>
    <xf numFmtId="0" fontId="2" fillId="27" borderId="20" xfId="0" applyFont="1" applyFill="1" applyBorder="1" applyAlignment="1" applyProtection="1">
      <alignment horizontal="center"/>
      <protection locked="0"/>
    </xf>
    <xf numFmtId="0" fontId="0" fillId="27" borderId="34" xfId="0" applyFill="1" applyBorder="1"/>
    <xf numFmtId="0" fontId="0" fillId="27" borderId="34" xfId="0" applyFill="1" applyBorder="1" applyAlignment="1">
      <alignment horizontal="center"/>
    </xf>
    <xf numFmtId="3" fontId="0" fillId="27" borderId="34" xfId="0" applyNumberFormat="1" applyFill="1" applyBorder="1" applyAlignment="1">
      <alignment horizontal="center"/>
    </xf>
    <xf numFmtId="1" fontId="0" fillId="27" borderId="34" xfId="0" applyNumberFormat="1" applyFill="1" applyBorder="1" applyAlignment="1">
      <alignment horizontal="center"/>
    </xf>
    <xf numFmtId="2" fontId="4" fillId="27" borderId="34" xfId="0" applyNumberFormat="1" applyFont="1" applyFill="1" applyBorder="1" applyAlignment="1" applyProtection="1">
      <alignment horizontal="center"/>
    </xf>
    <xf numFmtId="2" fontId="35" fillId="27" borderId="34" xfId="0" applyNumberFormat="1" applyFont="1" applyFill="1" applyBorder="1" applyAlignment="1" applyProtection="1">
      <alignment horizontal="center"/>
    </xf>
    <xf numFmtId="2" fontId="0" fillId="27" borderId="34" xfId="0" applyNumberFormat="1" applyFill="1" applyBorder="1"/>
    <xf numFmtId="3" fontId="0" fillId="27" borderId="34" xfId="0" applyNumberFormat="1" applyFill="1" applyBorder="1"/>
    <xf numFmtId="0" fontId="0" fillId="27" borderId="34" xfId="0" applyFill="1" applyBorder="1" applyAlignment="1">
      <alignment wrapText="1"/>
    </xf>
    <xf numFmtId="0" fontId="5" fillId="0" borderId="0" xfId="0" applyFont="1"/>
    <xf numFmtId="0" fontId="0" fillId="27" borderId="0" xfId="0" applyFill="1" applyBorder="1"/>
    <xf numFmtId="0" fontId="0" fillId="27" borderId="0" xfId="0" applyFill="1" applyAlignment="1">
      <alignment horizontal="left"/>
    </xf>
    <xf numFmtId="0" fontId="2" fillId="27" borderId="0" xfId="0" applyFont="1" applyFill="1" applyAlignment="1">
      <alignment horizontal="right"/>
    </xf>
    <xf numFmtId="0" fontId="2" fillId="27" borderId="30" xfId="0" applyFont="1" applyFill="1" applyBorder="1" applyAlignment="1">
      <alignment horizontal="left"/>
    </xf>
    <xf numFmtId="0" fontId="2" fillId="27" borderId="30" xfId="0" applyFont="1" applyFill="1" applyBorder="1" applyAlignment="1">
      <alignment horizontal="center"/>
    </xf>
    <xf numFmtId="2" fontId="2" fillId="27" borderId="20" xfId="0" applyNumberFormat="1" applyFont="1" applyFill="1" applyBorder="1" applyAlignment="1">
      <alignment horizontal="center"/>
    </xf>
    <xf numFmtId="0" fontId="2" fillId="27" borderId="0" xfId="0" applyFont="1" applyFill="1" applyBorder="1" applyAlignment="1">
      <alignment horizontal="center"/>
    </xf>
    <xf numFmtId="1" fontId="2" fillId="27" borderId="20" xfId="0" applyNumberFormat="1" applyFont="1" applyFill="1" applyBorder="1" applyAlignment="1">
      <alignment horizontal="center"/>
    </xf>
    <xf numFmtId="0" fontId="0" fillId="27" borderId="0" xfId="0" applyFill="1" applyAlignment="1">
      <alignment horizontal="right"/>
    </xf>
    <xf numFmtId="0" fontId="0" fillId="27" borderId="30" xfId="0" applyFill="1" applyBorder="1" applyAlignment="1">
      <alignment horizontal="center"/>
    </xf>
    <xf numFmtId="2" fontId="0" fillId="27" borderId="20" xfId="0" applyNumberFormat="1" applyFill="1" applyBorder="1" applyAlignment="1">
      <alignment horizontal="center"/>
    </xf>
    <xf numFmtId="0" fontId="0" fillId="27" borderId="0" xfId="0" applyFill="1" applyBorder="1" applyAlignment="1">
      <alignment horizontal="center"/>
    </xf>
    <xf numFmtId="2" fontId="0" fillId="27" borderId="0" xfId="0" applyNumberFormat="1" applyFill="1" applyBorder="1" applyAlignment="1">
      <alignment horizontal="center"/>
    </xf>
    <xf numFmtId="1" fontId="0" fillId="27" borderId="20" xfId="0" applyNumberFormat="1" applyFill="1" applyBorder="1" applyAlignment="1">
      <alignment horizontal="center"/>
    </xf>
    <xf numFmtId="0" fontId="0" fillId="27" borderId="20" xfId="0" applyFill="1" applyBorder="1" applyAlignment="1">
      <alignment horizontal="center"/>
    </xf>
    <xf numFmtId="14" fontId="0" fillId="27" borderId="0" xfId="0" applyNumberFormat="1" applyFill="1" applyAlignment="1">
      <alignment horizontal="right"/>
    </xf>
    <xf numFmtId="184" fontId="0" fillId="0" borderId="0" xfId="0" applyNumberFormat="1" applyAlignment="1">
      <alignment horizontal="center"/>
    </xf>
    <xf numFmtId="0" fontId="0" fillId="27" borderId="0" xfId="0" applyFill="1" applyBorder="1" applyAlignment="1">
      <alignment horizontal="left"/>
    </xf>
    <xf numFmtId="1" fontId="0" fillId="27" borderId="20" xfId="0" applyNumberFormat="1" applyFill="1" applyBorder="1" applyAlignment="1">
      <alignment horizontal="left"/>
    </xf>
    <xf numFmtId="0" fontId="2" fillId="27" borderId="0" xfId="0" applyFont="1" applyFill="1" applyBorder="1" applyAlignment="1">
      <alignment horizontal="left"/>
    </xf>
    <xf numFmtId="1" fontId="2" fillId="27" borderId="20" xfId="0" applyNumberFormat="1" applyFont="1" applyFill="1" applyBorder="1" applyAlignment="1">
      <alignment horizontal="left"/>
    </xf>
    <xf numFmtId="2" fontId="2" fillId="27" borderId="0" xfId="0" applyNumberFormat="1" applyFont="1" applyFill="1" applyBorder="1" applyAlignment="1">
      <alignment horizontal="center"/>
    </xf>
    <xf numFmtId="0" fontId="4" fillId="27" borderId="0" xfId="0" applyFont="1" applyFill="1" applyBorder="1" applyAlignment="1">
      <alignment horizontal="left"/>
    </xf>
    <xf numFmtId="0" fontId="4" fillId="27" borderId="30" xfId="0" applyFont="1" applyFill="1" applyBorder="1" applyAlignment="1">
      <alignment horizontal="left"/>
    </xf>
    <xf numFmtId="2" fontId="0" fillId="27" borderId="20" xfId="0" applyNumberFormat="1" applyFill="1" applyBorder="1" applyAlignment="1">
      <alignment horizontal="left"/>
    </xf>
    <xf numFmtId="2" fontId="2" fillId="27" borderId="20" xfId="0" applyNumberFormat="1" applyFont="1" applyFill="1" applyBorder="1" applyAlignment="1">
      <alignment horizontal="left"/>
    </xf>
    <xf numFmtId="0" fontId="2" fillId="27" borderId="0" xfId="0" applyFont="1" applyFill="1" applyBorder="1" applyAlignment="1">
      <alignment horizontal="center" wrapText="1"/>
    </xf>
    <xf numFmtId="2" fontId="3" fillId="27" borderId="0" xfId="0" applyNumberFormat="1" applyFont="1" applyFill="1" applyBorder="1" applyAlignment="1">
      <alignment horizont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  <xf numFmtId="2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0" fillId="28" borderId="34" xfId="0" applyFill="1" applyBorder="1"/>
    <xf numFmtId="0" fontId="2" fillId="27" borderId="34" xfId="0" applyFont="1" applyFill="1" applyBorder="1" applyAlignment="1">
      <alignment horizontal="center" vertical="center" wrapText="1"/>
    </xf>
    <xf numFmtId="0" fontId="0" fillId="28" borderId="34" xfId="0" applyFill="1" applyBorder="1" applyAlignment="1">
      <alignment horizontal="center" vertical="center"/>
    </xf>
    <xf numFmtId="0" fontId="0" fillId="27" borderId="34" xfId="0" applyFill="1" applyBorder="1" applyAlignment="1">
      <alignment horizontal="center" vertical="center"/>
    </xf>
    <xf numFmtId="0" fontId="0" fillId="27" borderId="0" xfId="0" applyFill="1" applyAlignment="1">
      <alignment horizontal="center" vertical="center"/>
    </xf>
    <xf numFmtId="0" fontId="0" fillId="27" borderId="0" xfId="0" applyFill="1" applyAlignment="1">
      <alignment horizontal="left" vertical="center"/>
    </xf>
    <xf numFmtId="0" fontId="2" fillId="27" borderId="34" xfId="0" applyFont="1" applyFill="1" applyBorder="1" applyAlignment="1">
      <alignment horizontal="center" vertical="center"/>
    </xf>
    <xf numFmtId="0" fontId="2" fillId="27" borderId="0" xfId="0" applyFont="1" applyFill="1" applyAlignment="1">
      <alignment vertical="center" wrapText="1"/>
    </xf>
    <xf numFmtId="0" fontId="2" fillId="27" borderId="0" xfId="0" applyFont="1" applyFill="1" applyAlignment="1">
      <alignment horizontal="center" vertical="center" wrapText="1"/>
    </xf>
    <xf numFmtId="3" fontId="0" fillId="27" borderId="0" xfId="0" applyNumberFormat="1" applyFill="1" applyBorder="1" applyAlignment="1">
      <alignment horizontal="center"/>
    </xf>
    <xf numFmtId="1" fontId="0" fillId="27" borderId="0" xfId="0" applyNumberFormat="1" applyFill="1" applyBorder="1" applyAlignment="1">
      <alignment horizontal="center"/>
    </xf>
    <xf numFmtId="2" fontId="35" fillId="27" borderId="0" xfId="0" applyNumberFormat="1" applyFont="1" applyFill="1" applyBorder="1" applyAlignment="1" applyProtection="1">
      <alignment horizontal="center"/>
    </xf>
    <xf numFmtId="2" fontId="0" fillId="27" borderId="0" xfId="0" applyNumberFormat="1" applyFill="1" applyBorder="1"/>
    <xf numFmtId="0" fontId="2" fillId="29" borderId="0" xfId="0" applyFont="1" applyFill="1" applyAlignment="1">
      <alignment horizontal="center"/>
    </xf>
    <xf numFmtId="0" fontId="2" fillId="29" borderId="0" xfId="0" applyFont="1" applyFill="1" applyAlignment="1">
      <alignment horizontal="center" vertical="center"/>
    </xf>
    <xf numFmtId="0" fontId="2" fillId="29" borderId="0" xfId="0" applyFont="1" applyFill="1"/>
    <xf numFmtId="0" fontId="0" fillId="29" borderId="16" xfId="0" applyFill="1" applyBorder="1" applyAlignment="1">
      <alignment horizontal="center"/>
    </xf>
    <xf numFmtId="0" fontId="0" fillId="29" borderId="12" xfId="0" applyFill="1" applyBorder="1" applyAlignment="1">
      <alignment horizontal="center"/>
    </xf>
    <xf numFmtId="0" fontId="0" fillId="29" borderId="12" xfId="0" applyFill="1" applyBorder="1" applyAlignment="1">
      <alignment horizontal="center" vertical="center"/>
    </xf>
    <xf numFmtId="0" fontId="0" fillId="29" borderId="13" xfId="0" applyFill="1" applyBorder="1" applyAlignment="1">
      <alignment horizontal="center" vertical="center"/>
    </xf>
    <xf numFmtId="0" fontId="0" fillId="29" borderId="0" xfId="0" applyFill="1"/>
    <xf numFmtId="0" fontId="0" fillId="29" borderId="17" xfId="0" applyFill="1" applyBorder="1" applyAlignment="1">
      <alignment horizontal="center"/>
    </xf>
    <xf numFmtId="0" fontId="0" fillId="29" borderId="0" xfId="0" applyFill="1" applyBorder="1" applyAlignment="1">
      <alignment horizontal="center"/>
    </xf>
    <xf numFmtId="0" fontId="0" fillId="29" borderId="0" xfId="0" applyFill="1" applyBorder="1" applyAlignment="1">
      <alignment horizontal="center" vertical="center"/>
    </xf>
    <xf numFmtId="0" fontId="0" fillId="29" borderId="14" xfId="0" applyFill="1" applyBorder="1" applyAlignment="1">
      <alignment horizontal="center" vertical="center"/>
    </xf>
    <xf numFmtId="0" fontId="0" fillId="29" borderId="18" xfId="0" applyFill="1" applyBorder="1" applyAlignment="1">
      <alignment horizontal="center"/>
    </xf>
    <xf numFmtId="0" fontId="0" fillId="29" borderId="10" xfId="0" applyFill="1" applyBorder="1" applyAlignment="1">
      <alignment horizontal="center"/>
    </xf>
    <xf numFmtId="0" fontId="0" fillId="29" borderId="10" xfId="0" applyFill="1" applyBorder="1" applyAlignment="1">
      <alignment horizontal="center" vertical="center"/>
    </xf>
    <xf numFmtId="0" fontId="0" fillId="29" borderId="15" xfId="0" applyFill="1" applyBorder="1" applyAlignment="1">
      <alignment horizontal="center" vertical="center"/>
    </xf>
    <xf numFmtId="0" fontId="0" fillId="29" borderId="0" xfId="0" applyFill="1" applyAlignment="1">
      <alignment horizontal="center"/>
    </xf>
    <xf numFmtId="0" fontId="0" fillId="29" borderId="0" xfId="0" applyFill="1" applyAlignment="1">
      <alignment horizontal="center" vertical="center"/>
    </xf>
    <xf numFmtId="2" fontId="0" fillId="29" borderId="0" xfId="0" applyNumberFormat="1" applyFill="1" applyAlignment="1">
      <alignment horizontal="center"/>
    </xf>
    <xf numFmtId="185" fontId="36" fillId="29" borderId="0" xfId="41" applyNumberFormat="1" applyFont="1" applyFill="1" applyAlignment="1">
      <alignment horizontal="center"/>
    </xf>
    <xf numFmtId="0" fontId="3" fillId="29" borderId="0" xfId="0" applyFont="1" applyFill="1"/>
    <xf numFmtId="0" fontId="3" fillId="29" borderId="0" xfId="0" applyFont="1" applyFill="1" applyAlignment="1">
      <alignment horizontal="right"/>
    </xf>
    <xf numFmtId="0" fontId="2" fillId="29" borderId="0" xfId="0" applyFont="1" applyFill="1" applyAlignment="1">
      <alignment horizontal="right"/>
    </xf>
    <xf numFmtId="0" fontId="0" fillId="29" borderId="0" xfId="0" applyFill="1" applyAlignment="1">
      <alignment horizontal="right"/>
    </xf>
    <xf numFmtId="0" fontId="2" fillId="29" borderId="0" xfId="0" applyFont="1" applyFill="1" applyAlignment="1">
      <alignment horizontal="left"/>
    </xf>
    <xf numFmtId="0" fontId="0" fillId="29" borderId="0" xfId="0" applyFill="1" applyAlignment="1">
      <alignment horizontal="left"/>
    </xf>
    <xf numFmtId="0" fontId="3" fillId="29" borderId="0" xfId="0" applyFont="1" applyFill="1" applyAlignment="1">
      <alignment horizontal="left"/>
    </xf>
    <xf numFmtId="0" fontId="37" fillId="29" borderId="0" xfId="0" applyFont="1" applyFill="1" applyAlignment="1">
      <alignment horizontal="center"/>
    </xf>
    <xf numFmtId="185" fontId="37" fillId="29" borderId="0" xfId="41" applyNumberFormat="1" applyFont="1" applyFill="1" applyAlignment="1">
      <alignment horizontal="center"/>
    </xf>
    <xf numFmtId="0" fontId="38" fillId="29" borderId="0" xfId="0" applyFont="1" applyFill="1"/>
    <xf numFmtId="0" fontId="38" fillId="29" borderId="0" xfId="0" applyFont="1" applyFill="1" applyAlignment="1">
      <alignment horizontal="center"/>
    </xf>
    <xf numFmtId="0" fontId="38" fillId="29" borderId="0" xfId="0" applyFont="1" applyFill="1" applyAlignment="1">
      <alignment horizontal="right"/>
    </xf>
    <xf numFmtId="0" fontId="38" fillId="29" borderId="0" xfId="0" applyFont="1" applyFill="1" applyAlignment="1">
      <alignment horizontal="left"/>
    </xf>
    <xf numFmtId="185" fontId="3" fillId="29" borderId="0" xfId="41" applyNumberFormat="1" applyFont="1" applyFill="1" applyAlignment="1">
      <alignment horizontal="center"/>
    </xf>
    <xf numFmtId="186" fontId="3" fillId="0" borderId="0" xfId="0" applyNumberFormat="1" applyFont="1" applyAlignment="1">
      <alignment horizontal="center"/>
    </xf>
    <xf numFmtId="0" fontId="2" fillId="29" borderId="16" xfId="0" applyFont="1" applyFill="1" applyBorder="1" applyAlignment="1">
      <alignment horizontal="center" vertical="center"/>
    </xf>
    <xf numFmtId="186" fontId="2" fillId="29" borderId="12" xfId="0" applyNumberFormat="1" applyFont="1" applyFill="1" applyBorder="1" applyAlignment="1">
      <alignment horizontal="center" vertical="center"/>
    </xf>
    <xf numFmtId="186" fontId="2" fillId="29" borderId="13" xfId="0" applyNumberFormat="1" applyFont="1" applyFill="1" applyBorder="1" applyAlignment="1">
      <alignment horizontal="center" vertical="center"/>
    </xf>
    <xf numFmtId="186" fontId="2" fillId="29" borderId="17" xfId="0" applyNumberFormat="1" applyFont="1" applyFill="1" applyBorder="1" applyAlignment="1">
      <alignment horizontal="center" vertical="center"/>
    </xf>
    <xf numFmtId="10" fontId="0" fillId="29" borderId="16" xfId="0" applyNumberFormat="1" applyFill="1" applyBorder="1"/>
    <xf numFmtId="10" fontId="0" fillId="29" borderId="12" xfId="0" applyNumberFormat="1" applyFill="1" applyBorder="1"/>
    <xf numFmtId="10" fontId="0" fillId="29" borderId="13" xfId="0" applyNumberFormat="1" applyFill="1" applyBorder="1"/>
    <xf numFmtId="10" fontId="0" fillId="29" borderId="17" xfId="0" applyNumberFormat="1" applyFill="1" applyBorder="1"/>
    <xf numFmtId="10" fontId="0" fillId="29" borderId="0" xfId="0" applyNumberFormat="1" applyFill="1" applyBorder="1"/>
    <xf numFmtId="10" fontId="0" fillId="29" borderId="14" xfId="0" applyNumberFormat="1" applyFill="1" applyBorder="1"/>
    <xf numFmtId="186" fontId="2" fillId="29" borderId="18" xfId="0" applyNumberFormat="1" applyFont="1" applyFill="1" applyBorder="1" applyAlignment="1">
      <alignment horizontal="center" vertical="center"/>
    </xf>
    <xf numFmtId="10" fontId="0" fillId="29" borderId="18" xfId="0" applyNumberFormat="1" applyFill="1" applyBorder="1"/>
    <xf numFmtId="10" fontId="0" fillId="29" borderId="10" xfId="0" applyNumberFormat="1" applyFill="1" applyBorder="1"/>
    <xf numFmtId="10" fontId="0" fillId="29" borderId="15" xfId="0" applyNumberFormat="1" applyFill="1" applyBorder="1"/>
    <xf numFmtId="0" fontId="2" fillId="29" borderId="16" xfId="0" applyFont="1" applyFill="1" applyBorder="1" applyAlignment="1">
      <alignment horizontal="right" vertical="center"/>
    </xf>
    <xf numFmtId="186" fontId="2" fillId="29" borderId="17" xfId="0" applyNumberFormat="1" applyFont="1" applyFill="1" applyBorder="1" applyAlignment="1">
      <alignment horizontal="right" vertical="center"/>
    </xf>
    <xf numFmtId="0" fontId="2" fillId="29" borderId="12" xfId="0" applyFont="1" applyFill="1" applyBorder="1" applyAlignment="1">
      <alignment horizontal="right" vertical="center"/>
    </xf>
    <xf numFmtId="186" fontId="2" fillId="29" borderId="0" xfId="0" applyNumberFormat="1" applyFont="1" applyFill="1" applyBorder="1" applyAlignment="1">
      <alignment horizontal="right" vertical="center"/>
    </xf>
    <xf numFmtId="0" fontId="0" fillId="29" borderId="0" xfId="0" applyFill="1" applyBorder="1" applyAlignment="1">
      <alignment horizontal="right"/>
    </xf>
    <xf numFmtId="0" fontId="0" fillId="29" borderId="0" xfId="0" applyFill="1" applyBorder="1"/>
    <xf numFmtId="0" fontId="3" fillId="29" borderId="0" xfId="0" applyFont="1" applyFill="1" applyBorder="1" applyAlignment="1">
      <alignment horizontal="right"/>
    </xf>
    <xf numFmtId="0" fontId="3" fillId="29" borderId="0" xfId="0" applyFont="1" applyFill="1" applyBorder="1"/>
    <xf numFmtId="0" fontId="3" fillId="29" borderId="0" xfId="0" applyFont="1" applyFill="1" applyBorder="1" applyAlignment="1">
      <alignment horizontal="center"/>
    </xf>
    <xf numFmtId="171" fontId="0" fillId="29" borderId="0" xfId="28" applyFont="1" applyFill="1" applyBorder="1"/>
    <xf numFmtId="0" fontId="0" fillId="29" borderId="13" xfId="0" applyFill="1" applyBorder="1"/>
    <xf numFmtId="0" fontId="0" fillId="29" borderId="14" xfId="0" applyFill="1" applyBorder="1"/>
    <xf numFmtId="0" fontId="0" fillId="29" borderId="17" xfId="0" applyFill="1" applyBorder="1" applyAlignment="1">
      <alignment horizontal="right"/>
    </xf>
    <xf numFmtId="0" fontId="2" fillId="29" borderId="17" xfId="0" applyFont="1" applyFill="1" applyBorder="1" applyAlignment="1">
      <alignment horizontal="right"/>
    </xf>
    <xf numFmtId="0" fontId="0" fillId="29" borderId="18" xfId="0" applyFill="1" applyBorder="1" applyAlignment="1">
      <alignment horizontal="right"/>
    </xf>
    <xf numFmtId="0" fontId="0" fillId="29" borderId="10" xfId="0" applyFill="1" applyBorder="1" applyAlignment="1">
      <alignment horizontal="right"/>
    </xf>
    <xf numFmtId="0" fontId="0" fillId="29" borderId="10" xfId="0" applyFill="1" applyBorder="1"/>
    <xf numFmtId="0" fontId="0" fillId="29" borderId="15" xfId="0" applyFill="1" applyBorder="1"/>
    <xf numFmtId="171" fontId="0" fillId="29" borderId="16" xfId="28" applyFont="1" applyFill="1" applyBorder="1"/>
    <xf numFmtId="171" fontId="0" fillId="29" borderId="12" xfId="28" applyFont="1" applyFill="1" applyBorder="1"/>
    <xf numFmtId="171" fontId="0" fillId="29" borderId="13" xfId="28" applyFont="1" applyFill="1" applyBorder="1"/>
    <xf numFmtId="171" fontId="0" fillId="29" borderId="17" xfId="28" applyFont="1" applyFill="1" applyBorder="1"/>
    <xf numFmtId="171" fontId="0" fillId="29" borderId="14" xfId="28" applyFont="1" applyFill="1" applyBorder="1"/>
    <xf numFmtId="171" fontId="0" fillId="29" borderId="18" xfId="28" applyFont="1" applyFill="1" applyBorder="1"/>
    <xf numFmtId="171" fontId="0" fillId="29" borderId="10" xfId="28" applyFont="1" applyFill="1" applyBorder="1"/>
    <xf numFmtId="171" fontId="0" fillId="29" borderId="15" xfId="28" applyFont="1" applyFill="1" applyBorder="1"/>
    <xf numFmtId="171" fontId="0" fillId="29" borderId="37" xfId="28" applyFont="1" applyFill="1" applyBorder="1"/>
    <xf numFmtId="171" fontId="0" fillId="29" borderId="38" xfId="28" applyFont="1" applyFill="1" applyBorder="1"/>
    <xf numFmtId="171" fontId="0" fillId="29" borderId="36" xfId="28" applyFont="1" applyFill="1" applyBorder="1"/>
    <xf numFmtId="171" fontId="0" fillId="29" borderId="35" xfId="28" applyFont="1" applyFill="1" applyBorder="1"/>
  </cellXfs>
  <cellStyles count="4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28" builtinId="3"/>
    <cellStyle name="Explanatory Text" xfId="29" builtinId="53" customBuiltin="1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Hyperlink" xfId="35" builtinId="8"/>
    <cellStyle name="Input" xfId="36" builtinId="20" customBuiltin="1"/>
    <cellStyle name="Linked Cell" xfId="37" builtinId="24" customBuiltin="1"/>
    <cellStyle name="Neutral" xfId="38" builtinId="28" customBuiltin="1"/>
    <cellStyle name="Normal" xfId="0" builtinId="0"/>
    <cellStyle name="Note" xfId="39" builtinId="10" customBuiltin="1"/>
    <cellStyle name="Output" xfId="40" builtinId="21" customBuiltin="1"/>
    <cellStyle name="Percent" xfId="41" builtinId="5"/>
    <cellStyle name="Title" xfId="42" builtinId="15" customBuiltin="1"/>
    <cellStyle name="Total" xfId="43" builtinId="25" customBuiltin="1"/>
    <cellStyle name="Warning Text" xfId="4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hattrick.org/Club/Matches/Live.aspx?actionType=addMatch&amp;matchID=268523106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://www.hattrick.org/Club/Matches/Live.aspx?actionType=addMatch&amp;matchID=268523107" TargetMode="External"/><Relationship Id="rId6" Type="http://schemas.openxmlformats.org/officeDocument/2006/relationships/hyperlink" Target="http://www.hattrick.org/Club/Matches/Live.aspx?actionType=addMatch&amp;matchID=268523110" TargetMode="External"/><Relationship Id="rId5" Type="http://schemas.openxmlformats.org/officeDocument/2006/relationships/hyperlink" Target="http://www.hattrick.org/Club/Matches/Live.aspx?actionType=addMatch&amp;matchID=268523108" TargetMode="External"/><Relationship Id="rId4" Type="http://schemas.openxmlformats.org/officeDocument/2006/relationships/hyperlink" Target="http://www.hattrick.org/Club/Matches/Live.aspx?actionType=addMatch&amp;matchID=268523109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0</xdr:colOff>
      <xdr:row>57</xdr:row>
      <xdr:rowOff>0</xdr:rowOff>
    </xdr:from>
    <xdr:to>
      <xdr:col>20</xdr:col>
      <xdr:colOff>7620</xdr:colOff>
      <xdr:row>57</xdr:row>
      <xdr:rowOff>7620</xdr:rowOff>
    </xdr:to>
    <xdr:pic>
      <xdr:nvPicPr>
        <xdr:cNvPr id="2364" name="Picture 1" descr="HT Live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035540" y="972312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20</xdr:col>
      <xdr:colOff>0</xdr:colOff>
      <xdr:row>58</xdr:row>
      <xdr:rowOff>0</xdr:rowOff>
    </xdr:from>
    <xdr:to>
      <xdr:col>20</xdr:col>
      <xdr:colOff>7620</xdr:colOff>
      <xdr:row>58</xdr:row>
      <xdr:rowOff>7620</xdr:rowOff>
    </xdr:to>
    <xdr:pic>
      <xdr:nvPicPr>
        <xdr:cNvPr id="2365" name="Picture 2" descr="HT Live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035540" y="98907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20</xdr:col>
      <xdr:colOff>0</xdr:colOff>
      <xdr:row>62</xdr:row>
      <xdr:rowOff>0</xdr:rowOff>
    </xdr:from>
    <xdr:to>
      <xdr:col>20</xdr:col>
      <xdr:colOff>7620</xdr:colOff>
      <xdr:row>62</xdr:row>
      <xdr:rowOff>7620</xdr:rowOff>
    </xdr:to>
    <xdr:pic>
      <xdr:nvPicPr>
        <xdr:cNvPr id="2366" name="Picture 3" descr="HT Live">
          <a:hlinkClick xmlns:r="http://schemas.openxmlformats.org/officeDocument/2006/relationships" r:id="rId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035540" y="1056132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20</xdr:col>
      <xdr:colOff>0</xdr:colOff>
      <xdr:row>63</xdr:row>
      <xdr:rowOff>0</xdr:rowOff>
    </xdr:from>
    <xdr:to>
      <xdr:col>20</xdr:col>
      <xdr:colOff>7620</xdr:colOff>
      <xdr:row>63</xdr:row>
      <xdr:rowOff>7620</xdr:rowOff>
    </xdr:to>
    <xdr:pic>
      <xdr:nvPicPr>
        <xdr:cNvPr id="2367" name="Picture 4" descr="HT Live">
          <a:hlinkClick xmlns:r="http://schemas.openxmlformats.org/officeDocument/2006/relationships" r:id="rId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035540" y="107289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20</xdr:col>
      <xdr:colOff>0</xdr:colOff>
      <xdr:row>66</xdr:row>
      <xdr:rowOff>0</xdr:rowOff>
    </xdr:from>
    <xdr:to>
      <xdr:col>20</xdr:col>
      <xdr:colOff>7620</xdr:colOff>
      <xdr:row>66</xdr:row>
      <xdr:rowOff>7620</xdr:rowOff>
    </xdr:to>
    <xdr:pic>
      <xdr:nvPicPr>
        <xdr:cNvPr id="2368" name="Picture 5" descr="HT Live">
          <a:hlinkClick xmlns:r="http://schemas.openxmlformats.org/officeDocument/2006/relationships" r:id="rId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035540" y="1123188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20</xdr:col>
      <xdr:colOff>0</xdr:colOff>
      <xdr:row>26</xdr:row>
      <xdr:rowOff>0</xdr:rowOff>
    </xdr:from>
    <xdr:to>
      <xdr:col>20</xdr:col>
      <xdr:colOff>7620</xdr:colOff>
      <xdr:row>26</xdr:row>
      <xdr:rowOff>7620</xdr:rowOff>
    </xdr:to>
    <xdr:pic>
      <xdr:nvPicPr>
        <xdr:cNvPr id="2369" name="Picture 6" descr="HT Live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035540" y="452628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20</xdr:col>
      <xdr:colOff>0</xdr:colOff>
      <xdr:row>26</xdr:row>
      <xdr:rowOff>0</xdr:rowOff>
    </xdr:from>
    <xdr:to>
      <xdr:col>20</xdr:col>
      <xdr:colOff>7620</xdr:colOff>
      <xdr:row>26</xdr:row>
      <xdr:rowOff>7620</xdr:rowOff>
    </xdr:to>
    <xdr:pic>
      <xdr:nvPicPr>
        <xdr:cNvPr id="2370" name="Picture 7" descr="HT Live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035540" y="452628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20</xdr:col>
      <xdr:colOff>0</xdr:colOff>
      <xdr:row>26</xdr:row>
      <xdr:rowOff>0</xdr:rowOff>
    </xdr:from>
    <xdr:to>
      <xdr:col>20</xdr:col>
      <xdr:colOff>7620</xdr:colOff>
      <xdr:row>26</xdr:row>
      <xdr:rowOff>7620</xdr:rowOff>
    </xdr:to>
    <xdr:pic>
      <xdr:nvPicPr>
        <xdr:cNvPr id="2371" name="Picture 8" descr="HT Live">
          <a:hlinkClick xmlns:r="http://schemas.openxmlformats.org/officeDocument/2006/relationships" r:id="rId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035540" y="452628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20</xdr:col>
      <xdr:colOff>0</xdr:colOff>
      <xdr:row>26</xdr:row>
      <xdr:rowOff>0</xdr:rowOff>
    </xdr:from>
    <xdr:to>
      <xdr:col>20</xdr:col>
      <xdr:colOff>7620</xdr:colOff>
      <xdr:row>26</xdr:row>
      <xdr:rowOff>7620</xdr:rowOff>
    </xdr:to>
    <xdr:pic>
      <xdr:nvPicPr>
        <xdr:cNvPr id="2372" name="Picture 9" descr="HT Live">
          <a:hlinkClick xmlns:r="http://schemas.openxmlformats.org/officeDocument/2006/relationships" r:id="rId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035540" y="452628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20</xdr:col>
      <xdr:colOff>0</xdr:colOff>
      <xdr:row>26</xdr:row>
      <xdr:rowOff>0</xdr:rowOff>
    </xdr:from>
    <xdr:to>
      <xdr:col>20</xdr:col>
      <xdr:colOff>7620</xdr:colOff>
      <xdr:row>26</xdr:row>
      <xdr:rowOff>7620</xdr:rowOff>
    </xdr:to>
    <xdr:pic>
      <xdr:nvPicPr>
        <xdr:cNvPr id="2373" name="Picture 10" descr="HT Live">
          <a:hlinkClick xmlns:r="http://schemas.openxmlformats.org/officeDocument/2006/relationships" r:id="rId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035540" y="452628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24</xdr:col>
      <xdr:colOff>0</xdr:colOff>
      <xdr:row>57</xdr:row>
      <xdr:rowOff>0</xdr:rowOff>
    </xdr:from>
    <xdr:to>
      <xdr:col>24</xdr:col>
      <xdr:colOff>7620</xdr:colOff>
      <xdr:row>57</xdr:row>
      <xdr:rowOff>7620</xdr:rowOff>
    </xdr:to>
    <xdr:pic>
      <xdr:nvPicPr>
        <xdr:cNvPr id="2374" name="Picture 11" descr="HT Live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0" y="972312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24</xdr:col>
      <xdr:colOff>0</xdr:colOff>
      <xdr:row>58</xdr:row>
      <xdr:rowOff>0</xdr:rowOff>
    </xdr:from>
    <xdr:to>
      <xdr:col>24</xdr:col>
      <xdr:colOff>7620</xdr:colOff>
      <xdr:row>58</xdr:row>
      <xdr:rowOff>7620</xdr:rowOff>
    </xdr:to>
    <xdr:pic>
      <xdr:nvPicPr>
        <xdr:cNvPr id="2375" name="Picture 12" descr="HT Live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0" y="98907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24</xdr:col>
      <xdr:colOff>0</xdr:colOff>
      <xdr:row>62</xdr:row>
      <xdr:rowOff>0</xdr:rowOff>
    </xdr:from>
    <xdr:to>
      <xdr:col>24</xdr:col>
      <xdr:colOff>7620</xdr:colOff>
      <xdr:row>62</xdr:row>
      <xdr:rowOff>7620</xdr:rowOff>
    </xdr:to>
    <xdr:pic>
      <xdr:nvPicPr>
        <xdr:cNvPr id="2376" name="Picture 13" descr="HT Live">
          <a:hlinkClick xmlns:r="http://schemas.openxmlformats.org/officeDocument/2006/relationships" r:id="rId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0" y="1056132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24</xdr:col>
      <xdr:colOff>0</xdr:colOff>
      <xdr:row>63</xdr:row>
      <xdr:rowOff>0</xdr:rowOff>
    </xdr:from>
    <xdr:to>
      <xdr:col>24</xdr:col>
      <xdr:colOff>7620</xdr:colOff>
      <xdr:row>63</xdr:row>
      <xdr:rowOff>7620</xdr:rowOff>
    </xdr:to>
    <xdr:pic>
      <xdr:nvPicPr>
        <xdr:cNvPr id="2377" name="Picture 14" descr="HT Live">
          <a:hlinkClick xmlns:r="http://schemas.openxmlformats.org/officeDocument/2006/relationships" r:id="rId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0" y="107289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24</xdr:col>
      <xdr:colOff>0</xdr:colOff>
      <xdr:row>66</xdr:row>
      <xdr:rowOff>0</xdr:rowOff>
    </xdr:from>
    <xdr:to>
      <xdr:col>24</xdr:col>
      <xdr:colOff>7620</xdr:colOff>
      <xdr:row>66</xdr:row>
      <xdr:rowOff>7620</xdr:rowOff>
    </xdr:to>
    <xdr:pic>
      <xdr:nvPicPr>
        <xdr:cNvPr id="2378" name="Picture 15" descr="HT Live">
          <a:hlinkClick xmlns:r="http://schemas.openxmlformats.org/officeDocument/2006/relationships" r:id="rId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0" y="1123188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24</xdr:col>
      <xdr:colOff>0</xdr:colOff>
      <xdr:row>26</xdr:row>
      <xdr:rowOff>0</xdr:rowOff>
    </xdr:from>
    <xdr:to>
      <xdr:col>24</xdr:col>
      <xdr:colOff>7620</xdr:colOff>
      <xdr:row>26</xdr:row>
      <xdr:rowOff>7620</xdr:rowOff>
    </xdr:to>
    <xdr:pic>
      <xdr:nvPicPr>
        <xdr:cNvPr id="2379" name="Picture 16" descr="HT Live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0" y="452628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24</xdr:col>
      <xdr:colOff>0</xdr:colOff>
      <xdr:row>26</xdr:row>
      <xdr:rowOff>0</xdr:rowOff>
    </xdr:from>
    <xdr:to>
      <xdr:col>24</xdr:col>
      <xdr:colOff>7620</xdr:colOff>
      <xdr:row>26</xdr:row>
      <xdr:rowOff>7620</xdr:rowOff>
    </xdr:to>
    <xdr:pic>
      <xdr:nvPicPr>
        <xdr:cNvPr id="2380" name="Picture 17" descr="HT Live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0" y="452628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24</xdr:col>
      <xdr:colOff>0</xdr:colOff>
      <xdr:row>26</xdr:row>
      <xdr:rowOff>0</xdr:rowOff>
    </xdr:from>
    <xdr:to>
      <xdr:col>24</xdr:col>
      <xdr:colOff>7620</xdr:colOff>
      <xdr:row>26</xdr:row>
      <xdr:rowOff>7620</xdr:rowOff>
    </xdr:to>
    <xdr:pic>
      <xdr:nvPicPr>
        <xdr:cNvPr id="2381" name="Picture 18" descr="HT Live">
          <a:hlinkClick xmlns:r="http://schemas.openxmlformats.org/officeDocument/2006/relationships" r:id="rId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0" y="452628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24</xdr:col>
      <xdr:colOff>0</xdr:colOff>
      <xdr:row>26</xdr:row>
      <xdr:rowOff>0</xdr:rowOff>
    </xdr:from>
    <xdr:to>
      <xdr:col>24</xdr:col>
      <xdr:colOff>7620</xdr:colOff>
      <xdr:row>26</xdr:row>
      <xdr:rowOff>7620</xdr:rowOff>
    </xdr:to>
    <xdr:pic>
      <xdr:nvPicPr>
        <xdr:cNvPr id="2382" name="Picture 19" descr="HT Live">
          <a:hlinkClick xmlns:r="http://schemas.openxmlformats.org/officeDocument/2006/relationships" r:id="rId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0" y="452628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24</xdr:col>
      <xdr:colOff>0</xdr:colOff>
      <xdr:row>26</xdr:row>
      <xdr:rowOff>0</xdr:rowOff>
    </xdr:from>
    <xdr:to>
      <xdr:col>24</xdr:col>
      <xdr:colOff>7620</xdr:colOff>
      <xdr:row>26</xdr:row>
      <xdr:rowOff>7620</xdr:rowOff>
    </xdr:to>
    <xdr:pic>
      <xdr:nvPicPr>
        <xdr:cNvPr id="2383" name="Picture 20" descr="HT Live">
          <a:hlinkClick xmlns:r="http://schemas.openxmlformats.org/officeDocument/2006/relationships" r:id="rId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0" y="452628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28</xdr:col>
      <xdr:colOff>0</xdr:colOff>
      <xdr:row>57</xdr:row>
      <xdr:rowOff>0</xdr:rowOff>
    </xdr:from>
    <xdr:to>
      <xdr:col>28</xdr:col>
      <xdr:colOff>7620</xdr:colOff>
      <xdr:row>57</xdr:row>
      <xdr:rowOff>7620</xdr:rowOff>
    </xdr:to>
    <xdr:pic>
      <xdr:nvPicPr>
        <xdr:cNvPr id="2384" name="Picture 21" descr="HT Live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211300" y="972312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28</xdr:col>
      <xdr:colOff>0</xdr:colOff>
      <xdr:row>58</xdr:row>
      <xdr:rowOff>0</xdr:rowOff>
    </xdr:from>
    <xdr:to>
      <xdr:col>28</xdr:col>
      <xdr:colOff>7620</xdr:colOff>
      <xdr:row>58</xdr:row>
      <xdr:rowOff>7620</xdr:rowOff>
    </xdr:to>
    <xdr:pic>
      <xdr:nvPicPr>
        <xdr:cNvPr id="2385" name="Picture 22" descr="HT Live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211300" y="98907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28</xdr:col>
      <xdr:colOff>0</xdr:colOff>
      <xdr:row>62</xdr:row>
      <xdr:rowOff>0</xdr:rowOff>
    </xdr:from>
    <xdr:to>
      <xdr:col>28</xdr:col>
      <xdr:colOff>7620</xdr:colOff>
      <xdr:row>62</xdr:row>
      <xdr:rowOff>7620</xdr:rowOff>
    </xdr:to>
    <xdr:pic>
      <xdr:nvPicPr>
        <xdr:cNvPr id="2386" name="Picture 23" descr="HT Live">
          <a:hlinkClick xmlns:r="http://schemas.openxmlformats.org/officeDocument/2006/relationships" r:id="rId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211300" y="1056132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28</xdr:col>
      <xdr:colOff>0</xdr:colOff>
      <xdr:row>63</xdr:row>
      <xdr:rowOff>0</xdr:rowOff>
    </xdr:from>
    <xdr:to>
      <xdr:col>28</xdr:col>
      <xdr:colOff>7620</xdr:colOff>
      <xdr:row>63</xdr:row>
      <xdr:rowOff>7620</xdr:rowOff>
    </xdr:to>
    <xdr:pic>
      <xdr:nvPicPr>
        <xdr:cNvPr id="2387" name="Picture 24" descr="HT Live">
          <a:hlinkClick xmlns:r="http://schemas.openxmlformats.org/officeDocument/2006/relationships" r:id="rId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211300" y="107289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28</xdr:col>
      <xdr:colOff>0</xdr:colOff>
      <xdr:row>66</xdr:row>
      <xdr:rowOff>0</xdr:rowOff>
    </xdr:from>
    <xdr:to>
      <xdr:col>28</xdr:col>
      <xdr:colOff>7620</xdr:colOff>
      <xdr:row>66</xdr:row>
      <xdr:rowOff>7620</xdr:rowOff>
    </xdr:to>
    <xdr:pic>
      <xdr:nvPicPr>
        <xdr:cNvPr id="2388" name="Picture 25" descr="HT Live">
          <a:hlinkClick xmlns:r="http://schemas.openxmlformats.org/officeDocument/2006/relationships" r:id="rId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211300" y="1123188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28</xdr:col>
      <xdr:colOff>0</xdr:colOff>
      <xdr:row>26</xdr:row>
      <xdr:rowOff>0</xdr:rowOff>
    </xdr:from>
    <xdr:to>
      <xdr:col>28</xdr:col>
      <xdr:colOff>7620</xdr:colOff>
      <xdr:row>26</xdr:row>
      <xdr:rowOff>7620</xdr:rowOff>
    </xdr:to>
    <xdr:pic>
      <xdr:nvPicPr>
        <xdr:cNvPr id="2389" name="Picture 26" descr="HT Live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211300" y="452628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28</xdr:col>
      <xdr:colOff>0</xdr:colOff>
      <xdr:row>26</xdr:row>
      <xdr:rowOff>0</xdr:rowOff>
    </xdr:from>
    <xdr:to>
      <xdr:col>28</xdr:col>
      <xdr:colOff>7620</xdr:colOff>
      <xdr:row>26</xdr:row>
      <xdr:rowOff>7620</xdr:rowOff>
    </xdr:to>
    <xdr:pic>
      <xdr:nvPicPr>
        <xdr:cNvPr id="2390" name="Picture 27" descr="HT Live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211300" y="452628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28</xdr:col>
      <xdr:colOff>0</xdr:colOff>
      <xdr:row>26</xdr:row>
      <xdr:rowOff>0</xdr:rowOff>
    </xdr:from>
    <xdr:to>
      <xdr:col>28</xdr:col>
      <xdr:colOff>7620</xdr:colOff>
      <xdr:row>26</xdr:row>
      <xdr:rowOff>7620</xdr:rowOff>
    </xdr:to>
    <xdr:pic>
      <xdr:nvPicPr>
        <xdr:cNvPr id="2391" name="Picture 28" descr="HT Live">
          <a:hlinkClick xmlns:r="http://schemas.openxmlformats.org/officeDocument/2006/relationships" r:id="rId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211300" y="452628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28</xdr:col>
      <xdr:colOff>0</xdr:colOff>
      <xdr:row>26</xdr:row>
      <xdr:rowOff>0</xdr:rowOff>
    </xdr:from>
    <xdr:to>
      <xdr:col>28</xdr:col>
      <xdr:colOff>7620</xdr:colOff>
      <xdr:row>26</xdr:row>
      <xdr:rowOff>7620</xdr:rowOff>
    </xdr:to>
    <xdr:pic>
      <xdr:nvPicPr>
        <xdr:cNvPr id="2392" name="Picture 29" descr="HT Live">
          <a:hlinkClick xmlns:r="http://schemas.openxmlformats.org/officeDocument/2006/relationships" r:id="rId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211300" y="452628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28</xdr:col>
      <xdr:colOff>0</xdr:colOff>
      <xdr:row>26</xdr:row>
      <xdr:rowOff>0</xdr:rowOff>
    </xdr:from>
    <xdr:to>
      <xdr:col>28</xdr:col>
      <xdr:colOff>7620</xdr:colOff>
      <xdr:row>26</xdr:row>
      <xdr:rowOff>7620</xdr:rowOff>
    </xdr:to>
    <xdr:pic>
      <xdr:nvPicPr>
        <xdr:cNvPr id="2393" name="Picture 30" descr="HT Live">
          <a:hlinkClick xmlns:r="http://schemas.openxmlformats.org/officeDocument/2006/relationships" r:id="rId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211300" y="452628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0</xdr:col>
      <xdr:colOff>76200</xdr:colOff>
      <xdr:row>1</xdr:row>
      <xdr:rowOff>121920</xdr:rowOff>
    </xdr:to>
    <xdr:pic>
      <xdr:nvPicPr>
        <xdr:cNvPr id="1081" name="Bild 130" descr="http://www84.hattrick.org/Img/Icons/yellow_card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167640"/>
          <a:ext cx="76200" cy="1219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0</xdr:colOff>
      <xdr:row>1</xdr:row>
      <xdr:rowOff>0</xdr:rowOff>
    </xdr:from>
    <xdr:to>
      <xdr:col>0</xdr:col>
      <xdr:colOff>182880</xdr:colOff>
      <xdr:row>1</xdr:row>
      <xdr:rowOff>76200</xdr:rowOff>
    </xdr:to>
    <xdr:pic>
      <xdr:nvPicPr>
        <xdr:cNvPr id="1082" name="Bild 131" descr="Lätt skadad, men kan spela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167640"/>
          <a:ext cx="182880" cy="76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0</xdr:colOff>
      <xdr:row>1</xdr:row>
      <xdr:rowOff>0</xdr:rowOff>
    </xdr:from>
    <xdr:to>
      <xdr:col>7</xdr:col>
      <xdr:colOff>312420</xdr:colOff>
      <xdr:row>2</xdr:row>
      <xdr:rowOff>106680</xdr:rowOff>
    </xdr:to>
    <xdr:sp macro="" textlink="">
      <xdr:nvSpPr>
        <xdr:cNvPr id="1083" name="AutoShape 5"/>
        <xdr:cNvSpPr>
          <a:spLocks noChangeAspect="1" noChangeArrowheads="1"/>
        </xdr:cNvSpPr>
      </xdr:nvSpPr>
      <xdr:spPr bwMode="auto">
        <a:xfrm>
          <a:off x="8039100" y="167640"/>
          <a:ext cx="312420" cy="2743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7</xdr:col>
      <xdr:colOff>0</xdr:colOff>
      <xdr:row>0</xdr:row>
      <xdr:rowOff>0</xdr:rowOff>
    </xdr:from>
    <xdr:to>
      <xdr:col>7</xdr:col>
      <xdr:colOff>312420</xdr:colOff>
      <xdr:row>1</xdr:row>
      <xdr:rowOff>106680</xdr:rowOff>
    </xdr:to>
    <xdr:sp macro="" textlink="">
      <xdr:nvSpPr>
        <xdr:cNvPr id="1084" name="AutoShape 6"/>
        <xdr:cNvSpPr>
          <a:spLocks noChangeAspect="1" noChangeArrowheads="1"/>
        </xdr:cNvSpPr>
      </xdr:nvSpPr>
      <xdr:spPr bwMode="auto">
        <a:xfrm>
          <a:off x="8039100" y="0"/>
          <a:ext cx="312420" cy="2743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312420</xdr:colOff>
      <xdr:row>2</xdr:row>
      <xdr:rowOff>106680</xdr:rowOff>
    </xdr:to>
    <xdr:sp macro="" textlink="">
      <xdr:nvSpPr>
        <xdr:cNvPr id="1085" name="AutoShape 7"/>
        <xdr:cNvSpPr>
          <a:spLocks noChangeAspect="1" noChangeArrowheads="1"/>
        </xdr:cNvSpPr>
      </xdr:nvSpPr>
      <xdr:spPr bwMode="auto">
        <a:xfrm>
          <a:off x="0" y="167640"/>
          <a:ext cx="312420" cy="2743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312420</xdr:colOff>
      <xdr:row>1</xdr:row>
      <xdr:rowOff>106680</xdr:rowOff>
    </xdr:to>
    <xdr:sp macro="" textlink="">
      <xdr:nvSpPr>
        <xdr:cNvPr id="1086" name="AutoShape 8"/>
        <xdr:cNvSpPr>
          <a:spLocks noChangeAspect="1" noChangeArrowheads="1"/>
        </xdr:cNvSpPr>
      </xdr:nvSpPr>
      <xdr:spPr bwMode="auto">
        <a:xfrm>
          <a:off x="0" y="0"/>
          <a:ext cx="312420" cy="2743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hyperlink" Target="http://www99.hattrick.org/Help/Rules/AppDenominations.aspx?lt=skill&amp;ll=6" TargetMode="External"/><Relationship Id="rId3" Type="http://schemas.openxmlformats.org/officeDocument/2006/relationships/hyperlink" Target="http://www99.hattrick.org/Help/Rules/AppDenominations.aspx?lt=skill&amp;ll=5" TargetMode="External"/><Relationship Id="rId7" Type="http://schemas.openxmlformats.org/officeDocument/2006/relationships/hyperlink" Target="http://www99.hattrick.org/Help/Rules/AppDenominations.aspx?lt=skill&amp;ll=5" TargetMode="External"/><Relationship Id="rId2" Type="http://schemas.openxmlformats.org/officeDocument/2006/relationships/hyperlink" Target="http://www99.hattrick.org/Help/Rules/AppDenominations.aspx?lt=skill&amp;ll=1" TargetMode="External"/><Relationship Id="rId1" Type="http://schemas.openxmlformats.org/officeDocument/2006/relationships/hyperlink" Target="http://www99.hattrick.org/Help/Rules/AppDenominations.aspx?lt=skill&amp;ll=8" TargetMode="External"/><Relationship Id="rId6" Type="http://schemas.openxmlformats.org/officeDocument/2006/relationships/hyperlink" Target="http://www99.hattrick.org/Help/Rules/AppDenominations.aspx?lt=skill&amp;ll=12" TargetMode="External"/><Relationship Id="rId5" Type="http://schemas.openxmlformats.org/officeDocument/2006/relationships/hyperlink" Target="http://www99.hattrick.org/Help/Rules/AppDenominations.aspx?lt=skill&amp;ll=10" TargetMode="External"/><Relationship Id="rId4" Type="http://schemas.openxmlformats.org/officeDocument/2006/relationships/hyperlink" Target="http://www99.hattrick.org/Help/Rules/AppDenominations.aspx?lt=skill&amp;ll=5" TargetMode="External"/><Relationship Id="rId9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0.xml.rels><?xml version="1.0" encoding="UTF-8" standalone="yes"?>
<Relationships xmlns="http://schemas.openxmlformats.org/package/2006/relationships"><Relationship Id="rId8" Type="http://schemas.openxmlformats.org/officeDocument/2006/relationships/hyperlink" Target="http://www99.hattrick.org/Help/Rules/AppDenominations.aspx?lt=skill&amp;ll=6" TargetMode="External"/><Relationship Id="rId3" Type="http://schemas.openxmlformats.org/officeDocument/2006/relationships/hyperlink" Target="http://www99.hattrick.org/Help/Rules/AppDenominations.aspx?lt=skill&amp;ll=7" TargetMode="External"/><Relationship Id="rId7" Type="http://schemas.openxmlformats.org/officeDocument/2006/relationships/hyperlink" Target="http://www99.hattrick.org/Help/Rules/AppDenominations.aspx?lt=skill&amp;ll=4" TargetMode="External"/><Relationship Id="rId2" Type="http://schemas.openxmlformats.org/officeDocument/2006/relationships/hyperlink" Target="http://www99.hattrick.org/Club/?TeamID=46786" TargetMode="External"/><Relationship Id="rId1" Type="http://schemas.openxmlformats.org/officeDocument/2006/relationships/hyperlink" Target="http://www99.hattrick.org/World/Leagues/League.aspx?LeagueID=12" TargetMode="External"/><Relationship Id="rId6" Type="http://schemas.openxmlformats.org/officeDocument/2006/relationships/hyperlink" Target="http://www99.hattrick.org/Help/Rules/AppDenominations.aspx?lt=skill&amp;ll=9" TargetMode="External"/><Relationship Id="rId5" Type="http://schemas.openxmlformats.org/officeDocument/2006/relationships/hyperlink" Target="http://www99.hattrick.org/Help/Rules/AppDenominations.aspx?lt=skill&amp;ll=3" TargetMode="External"/><Relationship Id="rId10" Type="http://schemas.openxmlformats.org/officeDocument/2006/relationships/hyperlink" Target="http://www99.hattrick.org/Help/Rules/AppDenominations.aspx?lt=skill&amp;ll=19" TargetMode="External"/><Relationship Id="rId4" Type="http://schemas.openxmlformats.org/officeDocument/2006/relationships/hyperlink" Target="http://www99.hattrick.org/Help/Rules/AppDenominations.aspx?lt=skill&amp;ll=1" TargetMode="External"/><Relationship Id="rId9" Type="http://schemas.openxmlformats.org/officeDocument/2006/relationships/hyperlink" Target="http://www99.hattrick.org/Help/Rules/AppDenominations.aspx?lt=skill&amp;ll=14" TargetMode="Externa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D16"/>
  <sheetViews>
    <sheetView workbookViewId="0">
      <selection activeCell="C17" sqref="C17"/>
    </sheetView>
  </sheetViews>
  <sheetFormatPr defaultColWidth="9.109375" defaultRowHeight="13.2"/>
  <cols>
    <col min="1" max="1" width="18.88671875" style="11" customWidth="1"/>
    <col min="2" max="2" width="14.6640625" style="11" customWidth="1"/>
    <col min="3" max="3" width="18.6640625" style="15" customWidth="1"/>
    <col min="4" max="4" width="22.5546875" style="15" customWidth="1"/>
    <col min="5" max="16384" width="9.109375" style="12"/>
  </cols>
  <sheetData>
    <row r="5" spans="1:4">
      <c r="A5" s="10" t="s">
        <v>33</v>
      </c>
    </row>
    <row r="7" spans="1:4">
      <c r="A7" s="13" t="s">
        <v>34</v>
      </c>
      <c r="B7" s="13" t="s">
        <v>35</v>
      </c>
      <c r="C7" s="16" t="s">
        <v>36</v>
      </c>
      <c r="D7" s="16" t="s">
        <v>37</v>
      </c>
    </row>
    <row r="8" spans="1:4" ht="26.4">
      <c r="A8" s="11" t="s">
        <v>114</v>
      </c>
      <c r="B8" s="14">
        <v>39146</v>
      </c>
      <c r="C8" s="15" t="s">
        <v>38</v>
      </c>
      <c r="D8" s="15" t="s">
        <v>101</v>
      </c>
    </row>
    <row r="9" spans="1:4">
      <c r="A9" s="11" t="s">
        <v>113</v>
      </c>
      <c r="B9" s="14">
        <v>39147</v>
      </c>
      <c r="C9" s="15" t="s">
        <v>39</v>
      </c>
      <c r="D9" s="15" t="s">
        <v>40</v>
      </c>
    </row>
    <row r="10" spans="1:4">
      <c r="C10" s="15" t="s">
        <v>2</v>
      </c>
      <c r="D10" s="15" t="s">
        <v>40</v>
      </c>
    </row>
    <row r="11" spans="1:4">
      <c r="C11" s="15" t="s">
        <v>41</v>
      </c>
      <c r="D11" s="15" t="s">
        <v>40</v>
      </c>
    </row>
    <row r="12" spans="1:4">
      <c r="C12" s="15" t="s">
        <v>42</v>
      </c>
      <c r="D12" s="15" t="s">
        <v>40</v>
      </c>
    </row>
    <row r="13" spans="1:4" ht="26.4">
      <c r="C13" s="15" t="s">
        <v>59</v>
      </c>
      <c r="D13" s="15" t="s">
        <v>60</v>
      </c>
    </row>
    <row r="14" spans="1:4" ht="79.2">
      <c r="C14" s="15" t="s">
        <v>100</v>
      </c>
      <c r="D14" s="15" t="s">
        <v>102</v>
      </c>
    </row>
    <row r="15" spans="1:4" ht="52.8">
      <c r="C15" s="15" t="s">
        <v>109</v>
      </c>
      <c r="D15" s="15" t="s">
        <v>110</v>
      </c>
    </row>
    <row r="16" spans="1:4" ht="26.4">
      <c r="C16" s="15" t="s">
        <v>111</v>
      </c>
      <c r="D16" s="15" t="s">
        <v>112</v>
      </c>
    </row>
  </sheetData>
  <phoneticPr fontId="7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>
  <dimension ref="A1:T74"/>
  <sheetViews>
    <sheetView workbookViewId="0">
      <pane xSplit="2" ySplit="2" topLeftCell="C35" activePane="bottomRight" state="frozen"/>
      <selection pane="topRight" activeCell="C1" sqref="C1"/>
      <selection pane="bottomLeft" activeCell="A3" sqref="A3"/>
      <selection pane="bottomRight" activeCell="E57" sqref="E57"/>
    </sheetView>
  </sheetViews>
  <sheetFormatPr defaultColWidth="9.109375" defaultRowHeight="13.2"/>
  <cols>
    <col min="1" max="1" width="9.109375" style="102" customWidth="1"/>
    <col min="2" max="2" width="29" style="102" customWidth="1"/>
    <col min="3" max="3" width="11.33203125" style="103" bestFit="1" customWidth="1"/>
    <col min="4" max="4" width="14.33203125" style="103" bestFit="1" customWidth="1"/>
    <col min="5" max="5" width="9.109375" style="103" customWidth="1"/>
    <col min="6" max="8" width="8.109375" style="103" customWidth="1"/>
    <col min="9" max="9" width="9.109375" style="103" customWidth="1"/>
    <col min="10" max="10" width="14" style="120" customWidth="1"/>
    <col min="11" max="11" width="13.88671875" style="120" customWidth="1"/>
    <col min="12" max="12" width="16" style="102" customWidth="1"/>
    <col min="13" max="13" width="13.109375" style="122" bestFit="1" customWidth="1"/>
    <col min="14" max="14" width="12.6640625" style="102" customWidth="1"/>
    <col min="15" max="15" width="17.33203125" style="102" customWidth="1"/>
    <col min="16" max="16" width="20.33203125" style="102" bestFit="1" customWidth="1"/>
    <col min="17" max="17" width="8.6640625" style="102" customWidth="1"/>
    <col min="18" max="18" width="9.5546875" style="102" customWidth="1"/>
    <col min="19" max="19" width="7" style="102" bestFit="1" customWidth="1"/>
    <col min="20" max="20" width="13.5546875" style="102" customWidth="1"/>
    <col min="21" max="16384" width="9.109375" style="102"/>
  </cols>
  <sheetData>
    <row r="1" spans="1:20" s="101" customFormat="1">
      <c r="B1" s="76" t="s">
        <v>299</v>
      </c>
      <c r="C1" s="118"/>
      <c r="D1" s="118"/>
      <c r="E1" s="118"/>
      <c r="F1" s="118"/>
      <c r="G1" s="118"/>
      <c r="H1" s="118"/>
      <c r="I1" s="118"/>
      <c r="J1" s="119"/>
      <c r="K1" s="119"/>
      <c r="M1" s="121"/>
    </row>
    <row r="2" spans="1:20" s="101" customFormat="1">
      <c r="A2" s="101" t="s">
        <v>336</v>
      </c>
      <c r="B2" s="101" t="s">
        <v>318</v>
      </c>
      <c r="C2" s="118" t="s">
        <v>301</v>
      </c>
      <c r="D2" s="118" t="s">
        <v>300</v>
      </c>
      <c r="E2" s="118" t="s">
        <v>302</v>
      </c>
      <c r="F2" s="118" t="s">
        <v>1</v>
      </c>
      <c r="G2" s="118" t="s">
        <v>439</v>
      </c>
      <c r="H2" s="118" t="s">
        <v>438</v>
      </c>
      <c r="I2" s="118" t="s">
        <v>314</v>
      </c>
      <c r="J2" s="119" t="s">
        <v>303</v>
      </c>
      <c r="K2" s="119" t="s">
        <v>306</v>
      </c>
      <c r="L2" s="101" t="s">
        <v>316</v>
      </c>
      <c r="M2" s="121" t="s">
        <v>317</v>
      </c>
      <c r="N2" s="101" t="s">
        <v>329</v>
      </c>
      <c r="O2" s="101" t="s">
        <v>339</v>
      </c>
    </row>
    <row r="3" spans="1:20">
      <c r="A3" s="126"/>
      <c r="B3" s="126"/>
      <c r="C3" s="127">
        <v>33520</v>
      </c>
      <c r="D3" s="128">
        <v>455300</v>
      </c>
      <c r="E3" s="127">
        <v>34</v>
      </c>
      <c r="F3" s="127">
        <v>8</v>
      </c>
      <c r="G3" s="127"/>
      <c r="H3" s="127"/>
      <c r="I3" s="127">
        <v>1</v>
      </c>
      <c r="J3" s="129">
        <f>D3*VLOOKUP(E3,Parser!$Z$5:$AA$28,2,FALSE)</f>
        <v>1821200</v>
      </c>
      <c r="K3" s="129">
        <f>C3*VLOOKUP($E3,Parser!$Z$5:$AA$28,2,FALSE)</f>
        <v>134080</v>
      </c>
      <c r="L3" s="130">
        <f t="shared" ref="L3:L18" si="0">IF((J3/10)&lt;250*(0.8+0.200001*I3),0,(((J3/10)/(0.8+0.2*I3)-250)/0.0013)^(1/6.47)+1)</f>
        <v>19.155723375133704</v>
      </c>
      <c r="M3" s="131">
        <f t="shared" ref="M3:M44" si="1">((K3/((0.5768*(F3-1)^0.342)*0.0107))^(1/5.86))+1</f>
        <v>16.948457159735259</v>
      </c>
      <c r="N3" s="130"/>
      <c r="O3" s="132">
        <f>M3-L3</f>
        <v>-2.2072662153984446</v>
      </c>
      <c r="P3" s="126"/>
      <c r="Q3" s="136"/>
      <c r="R3" s="136"/>
      <c r="S3" s="105"/>
      <c r="T3" s="106"/>
    </row>
    <row r="4" spans="1:20">
      <c r="A4" s="126"/>
      <c r="B4" s="126"/>
      <c r="C4" s="127">
        <v>71970</v>
      </c>
      <c r="D4" s="127"/>
      <c r="E4" s="127">
        <v>33</v>
      </c>
      <c r="F4" s="127">
        <v>7</v>
      </c>
      <c r="G4" s="127"/>
      <c r="H4" s="127"/>
      <c r="I4" s="127">
        <v>1</v>
      </c>
      <c r="J4" s="129">
        <f>D4*VLOOKUP(E4,Parser!$Z$5:$AA$28,2,FALSE)</f>
        <v>0</v>
      </c>
      <c r="K4" s="129">
        <f>C4*VLOOKUP($E4,Parser!$Z$5:$AA$28,2,FALSE)</f>
        <v>191920</v>
      </c>
      <c r="L4" s="130">
        <f t="shared" si="0"/>
        <v>0</v>
      </c>
      <c r="M4" s="131">
        <f t="shared" si="1"/>
        <v>18.108241481493078</v>
      </c>
      <c r="N4" s="130"/>
      <c r="O4" s="132">
        <f t="shared" ref="O4:O22" si="2">M4-L4</f>
        <v>18.108241481493078</v>
      </c>
      <c r="P4" s="126"/>
      <c r="Q4" s="136"/>
      <c r="R4" s="136"/>
    </row>
    <row r="5" spans="1:20">
      <c r="A5" s="126"/>
      <c r="B5" s="126" t="s">
        <v>349</v>
      </c>
      <c r="C5" s="128">
        <v>138070</v>
      </c>
      <c r="D5" s="128">
        <v>1449000</v>
      </c>
      <c r="E5" s="127">
        <v>32</v>
      </c>
      <c r="F5" s="127">
        <v>7</v>
      </c>
      <c r="G5" s="127"/>
      <c r="H5" s="127"/>
      <c r="I5" s="127">
        <v>2</v>
      </c>
      <c r="J5" s="129">
        <f>D5*VLOOKUP(E5,Parser!$Z$5:$AA$28,2,FALSE)</f>
        <v>2898000</v>
      </c>
      <c r="K5" s="129">
        <f>C5*VLOOKUP($E5,Parser!$Z$5:$AA$28,2,FALSE)</f>
        <v>276140</v>
      </c>
      <c r="L5" s="130">
        <f>IF((J5/10)&lt;250*(0.8+0.200001*I5),0,(((J5/10)/(0.8+0.2*I5)-250)/0.0013)^(1/6.47)+1)</f>
        <v>19.96614101373013</v>
      </c>
      <c r="M5" s="131">
        <f t="shared" si="1"/>
        <v>19.204106995769155</v>
      </c>
      <c r="N5" s="130"/>
      <c r="O5" s="132">
        <f>M5-L5</f>
        <v>-0.76203401796097481</v>
      </c>
      <c r="P5" s="126"/>
      <c r="Q5" s="136"/>
      <c r="R5" s="136"/>
    </row>
    <row r="6" spans="1:20">
      <c r="A6" s="126" t="s">
        <v>337</v>
      </c>
      <c r="B6" s="126" t="s">
        <v>319</v>
      </c>
      <c r="C6" s="128">
        <v>322330</v>
      </c>
      <c r="D6" s="128">
        <v>1665900</v>
      </c>
      <c r="E6" s="127">
        <v>29</v>
      </c>
      <c r="F6" s="127">
        <v>7</v>
      </c>
      <c r="G6" s="127"/>
      <c r="H6" s="127"/>
      <c r="I6" s="127">
        <v>1</v>
      </c>
      <c r="J6" s="129">
        <f>D6*VLOOKUP(E6,Parser!$Z$5:$AA$28,2,FALSE)</f>
        <v>1903885.7142857141</v>
      </c>
      <c r="K6" s="129">
        <f>C6*VLOOKUP($E6,Parser!$Z$5:$AA$28,2,FALSE)</f>
        <v>368377.14285714284</v>
      </c>
      <c r="L6" s="130">
        <f t="shared" si="0"/>
        <v>19.280916766259992</v>
      </c>
      <c r="M6" s="131">
        <f t="shared" si="1"/>
        <v>20.121779843088998</v>
      </c>
      <c r="N6" s="130">
        <v>19</v>
      </c>
      <c r="O6" s="132">
        <f t="shared" si="2"/>
        <v>0.84086307682900596</v>
      </c>
      <c r="P6" s="126"/>
      <c r="Q6" s="136"/>
      <c r="R6" s="136"/>
    </row>
    <row r="7" spans="1:20">
      <c r="A7" s="126" t="s">
        <v>337</v>
      </c>
      <c r="B7" s="126" t="s">
        <v>320</v>
      </c>
      <c r="C7" s="127">
        <v>342460</v>
      </c>
      <c r="D7" s="128">
        <v>1770500</v>
      </c>
      <c r="E7" s="127">
        <v>30</v>
      </c>
      <c r="F7" s="127">
        <v>8</v>
      </c>
      <c r="G7" s="127"/>
      <c r="H7" s="127"/>
      <c r="I7" s="127">
        <v>1</v>
      </c>
      <c r="J7" s="129">
        <f>D7*VLOOKUP(E7,Parser!$Z$5:$AA$28,2,FALSE)</f>
        <v>2360666.6666666665</v>
      </c>
      <c r="K7" s="129">
        <f>C7*VLOOKUP($E7,Parser!$Z$5:$AA$28,2,FALSE)</f>
        <v>456613.33333333331</v>
      </c>
      <c r="L7" s="130">
        <f t="shared" si="0"/>
        <v>19.899483907656599</v>
      </c>
      <c r="M7" s="131">
        <f t="shared" si="1"/>
        <v>20.657811156286765</v>
      </c>
      <c r="N7" s="130">
        <v>19</v>
      </c>
      <c r="O7" s="132">
        <f t="shared" si="2"/>
        <v>0.75832724863016665</v>
      </c>
      <c r="P7" s="126"/>
      <c r="Q7" s="136"/>
      <c r="R7" s="136"/>
    </row>
    <row r="8" spans="1:20">
      <c r="A8" s="126" t="s">
        <v>337</v>
      </c>
      <c r="B8" s="126" t="s">
        <v>321</v>
      </c>
      <c r="C8" s="128">
        <v>108410</v>
      </c>
      <c r="D8" s="128">
        <v>928500</v>
      </c>
      <c r="E8" s="127">
        <v>33</v>
      </c>
      <c r="F8" s="127">
        <v>6</v>
      </c>
      <c r="G8" s="127">
        <v>7</v>
      </c>
      <c r="H8" s="127">
        <v>20</v>
      </c>
      <c r="I8" s="127">
        <v>1</v>
      </c>
      <c r="J8" s="129">
        <f>D8*VLOOKUP(E8,Parser!$Z$5:$AA$28,2,FALSE)</f>
        <v>2476000</v>
      </c>
      <c r="K8" s="129">
        <f>C8*VLOOKUP($E8,Parser!$Z$5:$AA$28,2,FALSE)</f>
        <v>289093.33333333331</v>
      </c>
      <c r="L8" s="130">
        <f t="shared" si="0"/>
        <v>20.039481192642867</v>
      </c>
      <c r="M8" s="131">
        <f t="shared" si="1"/>
        <v>19.543338923498556</v>
      </c>
      <c r="N8" s="130">
        <v>20</v>
      </c>
      <c r="O8" s="132">
        <f t="shared" si="2"/>
        <v>-0.49614226914431114</v>
      </c>
      <c r="P8" s="126"/>
      <c r="Q8" s="136">
        <f>(L8-1)*SQRT(IF((F8-1)&gt;7,7,(F8-1))/7)*SQRT(IF((G8-1)&gt;7,7,(G8-1))/7)*(1+SQRT((H8-1))*9/100)</f>
        <v>20.742008259314584</v>
      </c>
      <c r="R8" s="136">
        <f>(M8-1)*SQRT(IF((F8-1)&gt;7,7,(F8-1))/7)*SQRT(IF((G8-1)&gt;7,7,(G8-1))/7)*(1+SQRT((H8-1))*9/100)</f>
        <v>20.201500514368103</v>
      </c>
      <c r="T8" s="102" t="s">
        <v>315</v>
      </c>
    </row>
    <row r="9" spans="1:20">
      <c r="A9" s="126" t="s">
        <v>337</v>
      </c>
      <c r="B9" s="126" t="s">
        <v>326</v>
      </c>
      <c r="C9" s="128">
        <v>83550</v>
      </c>
      <c r="D9" s="128">
        <v>777100</v>
      </c>
      <c r="E9" s="127">
        <v>33</v>
      </c>
      <c r="F9" s="127">
        <v>4</v>
      </c>
      <c r="G9" s="127"/>
      <c r="H9" s="127"/>
      <c r="I9" s="127">
        <v>1</v>
      </c>
      <c r="J9" s="129">
        <f>D9*VLOOKUP(E9,Parser!$Z$5:$AA$28,2,FALSE)</f>
        <v>2072266.6666666665</v>
      </c>
      <c r="K9" s="129">
        <f>C9*VLOOKUP($E9,Parser!$Z$5:$AA$28,2,FALSE)</f>
        <v>222800</v>
      </c>
      <c r="L9" s="130">
        <f t="shared" si="0"/>
        <v>19.522246884078616</v>
      </c>
      <c r="M9" s="131">
        <f t="shared" si="1"/>
        <v>19.27389711460912</v>
      </c>
      <c r="N9" s="130">
        <v>20</v>
      </c>
      <c r="O9" s="132">
        <f t="shared" si="2"/>
        <v>-0.24834976946949539</v>
      </c>
      <c r="P9" s="126"/>
      <c r="Q9" s="136"/>
      <c r="R9" s="136"/>
    </row>
    <row r="10" spans="1:20">
      <c r="A10" s="126" t="s">
        <v>337</v>
      </c>
      <c r="B10" s="126" t="s">
        <v>327</v>
      </c>
      <c r="C10" s="128">
        <v>335540</v>
      </c>
      <c r="D10" s="128">
        <v>2308440</v>
      </c>
      <c r="E10" s="127">
        <v>29</v>
      </c>
      <c r="F10" s="127">
        <v>7</v>
      </c>
      <c r="G10" s="127"/>
      <c r="H10" s="127"/>
      <c r="I10" s="127">
        <v>2</v>
      </c>
      <c r="J10" s="129">
        <f>D10*VLOOKUP(E10,Parser!$Z$5:$AA$28,2,FALSE)</f>
        <v>2638217.1428571427</v>
      </c>
      <c r="K10" s="129">
        <f>C10*VLOOKUP($E10,Parser!$Z$5:$AA$28,2,FALSE)</f>
        <v>383474.28571428568</v>
      </c>
      <c r="L10" s="130">
        <f t="shared" si="0"/>
        <v>19.692525277837351</v>
      </c>
      <c r="M10" s="131">
        <f t="shared" si="1"/>
        <v>20.253293549706225</v>
      </c>
      <c r="N10" s="130">
        <v>19</v>
      </c>
      <c r="O10" s="132">
        <f t="shared" si="2"/>
        <v>0.56076827186887357</v>
      </c>
      <c r="P10" s="126"/>
      <c r="Q10" s="136"/>
      <c r="R10" s="136"/>
    </row>
    <row r="11" spans="1:20">
      <c r="A11" s="126" t="s">
        <v>337</v>
      </c>
      <c r="B11" s="126" t="s">
        <v>322</v>
      </c>
      <c r="C11" s="128">
        <v>316850</v>
      </c>
      <c r="D11" s="128">
        <v>1862100</v>
      </c>
      <c r="E11" s="127">
        <v>27</v>
      </c>
      <c r="F11" s="127">
        <v>6</v>
      </c>
      <c r="G11" s="127"/>
      <c r="H11" s="127"/>
      <c r="I11" s="127">
        <v>1</v>
      </c>
      <c r="J11" s="129">
        <f>D11*VLOOKUP(E11,Parser!$Z$5:$AA$28,2,FALSE)</f>
        <v>1862100</v>
      </c>
      <c r="K11" s="129">
        <f>C11*VLOOKUP($E11,Parser!$Z$5:$AA$28,2,FALSE)</f>
        <v>316850</v>
      </c>
      <c r="L11" s="130">
        <f t="shared" si="0"/>
        <v>19.218237758310963</v>
      </c>
      <c r="M11" s="131">
        <f t="shared" si="1"/>
        <v>19.835728118993014</v>
      </c>
      <c r="N11" s="130">
        <v>19</v>
      </c>
      <c r="O11" s="132">
        <f t="shared" si="2"/>
        <v>0.61749036068205143</v>
      </c>
      <c r="P11" s="126"/>
      <c r="Q11" s="136"/>
      <c r="R11" s="136"/>
    </row>
    <row r="12" spans="1:20">
      <c r="A12" s="126" t="s">
        <v>337</v>
      </c>
      <c r="B12" s="126" t="s">
        <v>323</v>
      </c>
      <c r="C12" s="128">
        <v>57350</v>
      </c>
      <c r="D12" s="128">
        <v>412300</v>
      </c>
      <c r="E12" s="127">
        <v>31</v>
      </c>
      <c r="F12" s="127">
        <v>5</v>
      </c>
      <c r="G12" s="127"/>
      <c r="H12" s="127"/>
      <c r="I12" s="127">
        <v>1</v>
      </c>
      <c r="J12" s="129">
        <f>D12*VLOOKUP(E12,Parser!$Z$5:$AA$28,2,FALSE)</f>
        <v>659680</v>
      </c>
      <c r="K12" s="129">
        <f>C12*VLOOKUP($E12,Parser!$Z$5:$AA$28,2,FALSE)</f>
        <v>91760</v>
      </c>
      <c r="L12" s="130">
        <f t="shared" si="0"/>
        <v>16.512664380941693</v>
      </c>
      <c r="M12" s="131">
        <f t="shared" si="1"/>
        <v>16.445259083599439</v>
      </c>
      <c r="N12" s="130">
        <v>16</v>
      </c>
      <c r="O12" s="132">
        <f t="shared" si="2"/>
        <v>-6.7405297342254755E-2</v>
      </c>
      <c r="P12" s="126"/>
      <c r="Q12" s="136"/>
      <c r="R12" s="136"/>
    </row>
    <row r="13" spans="1:20">
      <c r="A13" s="126" t="s">
        <v>337</v>
      </c>
      <c r="B13" s="126" t="s">
        <v>324</v>
      </c>
      <c r="C13" s="128">
        <v>4120</v>
      </c>
      <c r="D13" s="128">
        <v>70920</v>
      </c>
      <c r="E13" s="127">
        <v>34</v>
      </c>
      <c r="F13" s="127">
        <v>5</v>
      </c>
      <c r="G13" s="127"/>
      <c r="H13" s="127"/>
      <c r="I13" s="127">
        <v>2</v>
      </c>
      <c r="J13" s="129">
        <f>D13*VLOOKUP(E13,Parser!$Z$5:$AA$28,2,FALSE)</f>
        <v>283680</v>
      </c>
      <c r="K13" s="129">
        <f>C13*VLOOKUP($E13,Parser!$Z$5:$AA$28,2,FALSE)</f>
        <v>16480</v>
      </c>
      <c r="L13" s="130">
        <f t="shared" si="0"/>
        <v>14.223384866400371</v>
      </c>
      <c r="M13" s="131">
        <f t="shared" si="1"/>
        <v>12.522408998558046</v>
      </c>
      <c r="N13" s="130">
        <v>14</v>
      </c>
      <c r="O13" s="132">
        <f t="shared" si="2"/>
        <v>-1.7009758678423257</v>
      </c>
      <c r="P13" s="126"/>
      <c r="Q13" s="136"/>
      <c r="R13" s="136"/>
    </row>
    <row r="14" spans="1:20">
      <c r="A14" s="126" t="s">
        <v>337</v>
      </c>
      <c r="B14" s="126" t="s">
        <v>328</v>
      </c>
      <c r="C14" s="128">
        <v>119600</v>
      </c>
      <c r="D14" s="128">
        <v>714500</v>
      </c>
      <c r="E14" s="127">
        <v>27</v>
      </c>
      <c r="F14" s="127">
        <v>7</v>
      </c>
      <c r="G14" s="127"/>
      <c r="H14" s="127"/>
      <c r="I14" s="127">
        <v>1</v>
      </c>
      <c r="J14" s="129">
        <f>D14*VLOOKUP(E14,Parser!$Z$5:$AA$28,2,FALSE)</f>
        <v>714500</v>
      </c>
      <c r="K14" s="129">
        <f>C14*VLOOKUP($E14,Parser!$Z$5:$AA$28,2,FALSE)</f>
        <v>119600</v>
      </c>
      <c r="L14" s="130">
        <f t="shared" si="0"/>
        <v>16.705956702649424</v>
      </c>
      <c r="M14" s="131">
        <f t="shared" si="1"/>
        <v>16.781782174808818</v>
      </c>
      <c r="N14" s="130">
        <v>16</v>
      </c>
      <c r="O14" s="132">
        <f t="shared" si="2"/>
        <v>7.582547215939428E-2</v>
      </c>
      <c r="P14" s="126"/>
      <c r="Q14" s="136"/>
      <c r="R14" s="136"/>
    </row>
    <row r="15" spans="1:20">
      <c r="A15" s="126" t="s">
        <v>337</v>
      </c>
      <c r="B15" s="126" t="s">
        <v>325</v>
      </c>
      <c r="C15" s="128">
        <v>125520</v>
      </c>
      <c r="D15" s="127">
        <v>738700</v>
      </c>
      <c r="E15" s="127">
        <v>29</v>
      </c>
      <c r="F15" s="127">
        <v>6</v>
      </c>
      <c r="G15" s="127"/>
      <c r="H15" s="127"/>
      <c r="I15" s="127">
        <v>1</v>
      </c>
      <c r="J15" s="129">
        <f>D15*VLOOKUP(E15,Parser!$Z$5:$AA$28,2,FALSE)</f>
        <v>844228.57142857136</v>
      </c>
      <c r="K15" s="129">
        <f>C15*VLOOKUP($E15,Parser!$Z$5:$AA$28,2,FALSE)</f>
        <v>143451.42857142855</v>
      </c>
      <c r="L15" s="130">
        <f t="shared" si="0"/>
        <v>17.117573044278178</v>
      </c>
      <c r="M15" s="131">
        <f t="shared" si="1"/>
        <v>17.453335106869602</v>
      </c>
      <c r="N15" s="130">
        <v>19</v>
      </c>
      <c r="O15" s="132">
        <f t="shared" si="2"/>
        <v>0.33576206259142438</v>
      </c>
      <c r="P15" s="126"/>
      <c r="Q15" s="136"/>
      <c r="R15" s="136"/>
    </row>
    <row r="16" spans="1:20">
      <c r="A16" s="126" t="s">
        <v>337</v>
      </c>
      <c r="B16" s="126" t="s">
        <v>330</v>
      </c>
      <c r="C16" s="128">
        <v>29990</v>
      </c>
      <c r="D16" s="128">
        <v>155160</v>
      </c>
      <c r="E16" s="127">
        <v>24</v>
      </c>
      <c r="F16" s="127">
        <v>7</v>
      </c>
      <c r="G16" s="127"/>
      <c r="H16" s="127"/>
      <c r="I16" s="127">
        <v>2</v>
      </c>
      <c r="J16" s="129">
        <f>D16*VLOOKUP(E16,Parser!$Z$5:$AA$28,2,FALSE)</f>
        <v>155160</v>
      </c>
      <c r="K16" s="129">
        <f>C16*VLOOKUP($E16,Parser!$Z$5:$AA$28,2,FALSE)</f>
        <v>29990</v>
      </c>
      <c r="L16" s="130">
        <f t="shared" si="0"/>
        <v>13.029389039319488</v>
      </c>
      <c r="M16" s="131">
        <f t="shared" si="1"/>
        <v>13.463447124324727</v>
      </c>
      <c r="N16" s="130"/>
      <c r="O16" s="132">
        <f t="shared" si="2"/>
        <v>0.43405808500523868</v>
      </c>
      <c r="P16" s="126"/>
      <c r="Q16" s="136"/>
      <c r="R16" s="136"/>
    </row>
    <row r="17" spans="1:18">
      <c r="A17" s="126" t="s">
        <v>337</v>
      </c>
      <c r="B17" s="126" t="s">
        <v>331</v>
      </c>
      <c r="C17" s="128">
        <v>346220</v>
      </c>
      <c r="D17" s="128">
        <v>2925720</v>
      </c>
      <c r="E17" s="127">
        <v>28</v>
      </c>
      <c r="F17" s="127">
        <v>7</v>
      </c>
      <c r="G17" s="127"/>
      <c r="H17" s="127"/>
      <c r="I17" s="127">
        <v>2</v>
      </c>
      <c r="J17" s="129">
        <f>D17*VLOOKUP(E17,Parser!$Z$5:$AA$28,2,FALSE)</f>
        <v>2925720</v>
      </c>
      <c r="K17" s="129">
        <f>C17*VLOOKUP($E17,Parser!$Z$5:$AA$28,2,FALSE)</f>
        <v>346220</v>
      </c>
      <c r="L17" s="130">
        <f t="shared" si="0"/>
        <v>19.994096577827342</v>
      </c>
      <c r="M17" s="131">
        <f t="shared" si="1"/>
        <v>19.92042793050722</v>
      </c>
      <c r="N17" s="130">
        <v>20</v>
      </c>
      <c r="O17" s="132">
        <f t="shared" si="2"/>
        <v>-7.366864732012246E-2</v>
      </c>
      <c r="P17" s="126"/>
      <c r="Q17" s="136"/>
      <c r="R17" s="136"/>
    </row>
    <row r="18" spans="1:18">
      <c r="A18" s="126" t="s">
        <v>337</v>
      </c>
      <c r="B18" s="133" t="s">
        <v>332</v>
      </c>
      <c r="C18" s="128">
        <v>191320</v>
      </c>
      <c r="D18" s="127">
        <v>1984920</v>
      </c>
      <c r="E18" s="127">
        <v>31</v>
      </c>
      <c r="F18" s="127">
        <v>7</v>
      </c>
      <c r="G18" s="127"/>
      <c r="H18" s="127"/>
      <c r="I18" s="127">
        <v>2</v>
      </c>
      <c r="J18" s="129">
        <f>D18*VLOOKUP(E18,Parser!$Z$5:$AA$28,2,FALSE)</f>
        <v>3175872</v>
      </c>
      <c r="K18" s="129">
        <f>C18*VLOOKUP($E18,Parser!$Z$5:$AA$28,2,FALSE)</f>
        <v>306112</v>
      </c>
      <c r="L18" s="130">
        <f t="shared" si="0"/>
        <v>20.236721579406847</v>
      </c>
      <c r="M18" s="131">
        <f t="shared" si="1"/>
        <v>19.52704151678315</v>
      </c>
      <c r="N18" s="130"/>
      <c r="O18" s="132">
        <f t="shared" si="2"/>
        <v>-0.70968006262369698</v>
      </c>
      <c r="P18" s="126"/>
      <c r="Q18" s="136"/>
      <c r="R18" s="136"/>
    </row>
    <row r="19" spans="1:18">
      <c r="A19" s="126" t="s">
        <v>337</v>
      </c>
      <c r="B19" s="126" t="s">
        <v>333</v>
      </c>
      <c r="C19" s="128">
        <v>118720</v>
      </c>
      <c r="D19" s="128">
        <v>1059240</v>
      </c>
      <c r="E19" s="127">
        <v>32</v>
      </c>
      <c r="F19" s="127">
        <v>8</v>
      </c>
      <c r="G19" s="127"/>
      <c r="H19" s="127"/>
      <c r="I19" s="127">
        <v>2</v>
      </c>
      <c r="J19" s="129">
        <f>D19*VLOOKUP(E19,Parser!$Z$5:$AA$28,2,FALSE)</f>
        <v>2118480</v>
      </c>
      <c r="K19" s="129">
        <f>C19*VLOOKUP($E19,Parser!$Z$5:$AA$28,2,FALSE)</f>
        <v>237440</v>
      </c>
      <c r="L19" s="130">
        <f t="shared" ref="L19:L32" si="3">IF((J19/10)&lt;250*(0.8+0.200001*I19),0,(((J19/10)/(0.8+0.2*I19)-250)/0.0013)^(1/6.47)+1)</f>
        <v>19.068489313416336</v>
      </c>
      <c r="M19" s="131">
        <f t="shared" si="1"/>
        <v>18.582146660702797</v>
      </c>
      <c r="N19" s="130">
        <v>19</v>
      </c>
      <c r="O19" s="132">
        <f t="shared" si="2"/>
        <v>-0.48634265271353883</v>
      </c>
      <c r="P19" s="126"/>
      <c r="Q19" s="136"/>
      <c r="R19" s="136"/>
    </row>
    <row r="20" spans="1:18">
      <c r="A20" s="126" t="s">
        <v>337</v>
      </c>
      <c r="B20" s="126" t="s">
        <v>334</v>
      </c>
      <c r="C20" s="128">
        <v>294600</v>
      </c>
      <c r="D20" s="128">
        <v>1488700</v>
      </c>
      <c r="E20" s="127">
        <v>27</v>
      </c>
      <c r="F20" s="127">
        <v>7</v>
      </c>
      <c r="G20" s="127"/>
      <c r="H20" s="127"/>
      <c r="I20" s="127">
        <v>1</v>
      </c>
      <c r="J20" s="129">
        <f>D20*VLOOKUP(E20,Parser!$Z$5:$AA$28,2,FALSE)</f>
        <v>1488700</v>
      </c>
      <c r="K20" s="129">
        <f>C20*VLOOKUP($E20,Parser!$Z$5:$AA$28,2,FALSE)</f>
        <v>294600</v>
      </c>
      <c r="L20" s="130">
        <f t="shared" si="3"/>
        <v>18.597913993183575</v>
      </c>
      <c r="M20" s="131">
        <f t="shared" si="1"/>
        <v>19.406244438136046</v>
      </c>
      <c r="N20" s="130"/>
      <c r="O20" s="132">
        <f t="shared" si="2"/>
        <v>0.80833044495247108</v>
      </c>
      <c r="P20" s="126"/>
      <c r="Q20" s="136"/>
      <c r="R20" s="136"/>
    </row>
    <row r="21" spans="1:18">
      <c r="A21" s="126" t="s">
        <v>338</v>
      </c>
      <c r="B21" s="133" t="s">
        <v>335</v>
      </c>
      <c r="C21" s="127">
        <v>232730</v>
      </c>
      <c r="D21" s="128">
        <v>1440300</v>
      </c>
      <c r="E21" s="127">
        <v>31</v>
      </c>
      <c r="F21" s="127">
        <v>7</v>
      </c>
      <c r="G21" s="127"/>
      <c r="H21" s="127"/>
      <c r="I21" s="127">
        <v>1</v>
      </c>
      <c r="J21" s="129">
        <f>D21*VLOOKUP(E21,Parser!$Z$5:$AA$28,2,FALSE)</f>
        <v>2304480</v>
      </c>
      <c r="K21" s="129">
        <f>C21*VLOOKUP($E21,Parser!$Z$5:$AA$28,2,FALSE)</f>
        <v>372368</v>
      </c>
      <c r="L21" s="130">
        <f t="shared" si="3"/>
        <v>19.829173228592285</v>
      </c>
      <c r="M21" s="131">
        <f t="shared" si="1"/>
        <v>20.156973274722002</v>
      </c>
      <c r="N21" s="130"/>
      <c r="O21" s="132">
        <f t="shared" si="2"/>
        <v>0.3278000461297168</v>
      </c>
      <c r="P21" s="126"/>
      <c r="Q21" s="136"/>
      <c r="R21" s="136"/>
    </row>
    <row r="22" spans="1:18">
      <c r="A22" s="126" t="s">
        <v>338</v>
      </c>
      <c r="B22" s="126" t="s">
        <v>340</v>
      </c>
      <c r="C22" s="128">
        <v>208080</v>
      </c>
      <c r="D22" s="128">
        <v>1420100</v>
      </c>
      <c r="E22" s="127">
        <v>30</v>
      </c>
      <c r="F22" s="127">
        <v>6</v>
      </c>
      <c r="G22" s="127"/>
      <c r="H22" s="127"/>
      <c r="I22" s="127">
        <v>1</v>
      </c>
      <c r="J22" s="129">
        <f>D22*VLOOKUP(E22,Parser!$Z$5:$AA$28,2,FALSE)</f>
        <v>1893466.6666666665</v>
      </c>
      <c r="K22" s="129">
        <f>C22*VLOOKUP($E22,Parser!$Z$5:$AA$28,2,FALSE)</f>
        <v>277440</v>
      </c>
      <c r="L22" s="130">
        <f t="shared" si="3"/>
        <v>19.265397909895711</v>
      </c>
      <c r="M22" s="131">
        <f t="shared" si="1"/>
        <v>19.413596348600045</v>
      </c>
      <c r="N22" s="130"/>
      <c r="O22" s="132">
        <f t="shared" si="2"/>
        <v>0.14819843870433402</v>
      </c>
      <c r="P22" s="126"/>
      <c r="Q22" s="136"/>
      <c r="R22" s="136"/>
    </row>
    <row r="23" spans="1:18">
      <c r="A23" s="126" t="s">
        <v>338</v>
      </c>
      <c r="B23" s="126" t="s">
        <v>341</v>
      </c>
      <c r="C23" s="128">
        <v>125440</v>
      </c>
      <c r="D23" s="128">
        <v>995100</v>
      </c>
      <c r="E23" s="127">
        <v>32</v>
      </c>
      <c r="F23" s="127">
        <v>8</v>
      </c>
      <c r="G23" s="127"/>
      <c r="H23" s="127"/>
      <c r="I23" s="127">
        <v>1</v>
      </c>
      <c r="J23" s="129">
        <f>D23*VLOOKUP(E23,Parser!$Z$5:$AA$28,2,FALSE)</f>
        <v>1990200</v>
      </c>
      <c r="K23" s="129">
        <f>C23*VLOOKUP($E23,Parser!$Z$5:$AA$28,2,FALSE)</f>
        <v>250880</v>
      </c>
      <c r="L23" s="130">
        <f t="shared" si="3"/>
        <v>19.40678641711396</v>
      </c>
      <c r="M23" s="131">
        <f t="shared" si="1"/>
        <v>18.748124694631105</v>
      </c>
      <c r="N23" s="130"/>
      <c r="O23" s="132">
        <f t="shared" ref="O23:O32" si="4">M23-L23</f>
        <v>-0.65866172248285437</v>
      </c>
      <c r="P23" s="126"/>
      <c r="Q23" s="136"/>
      <c r="R23" s="136"/>
    </row>
    <row r="24" spans="1:18">
      <c r="A24" s="126" t="s">
        <v>337</v>
      </c>
      <c r="B24" s="126" t="s">
        <v>342</v>
      </c>
      <c r="C24" s="128">
        <v>78780</v>
      </c>
      <c r="D24" s="128">
        <v>651720</v>
      </c>
      <c r="E24" s="127">
        <v>33</v>
      </c>
      <c r="F24" s="127">
        <v>7</v>
      </c>
      <c r="G24" s="127"/>
      <c r="H24" s="127"/>
      <c r="I24" s="127">
        <v>1</v>
      </c>
      <c r="J24" s="129">
        <f>D24*VLOOKUP(E24,Parser!$Z$5:$AA$28,2,FALSE)</f>
        <v>1737920</v>
      </c>
      <c r="K24" s="129">
        <f>C24*VLOOKUP($E24,Parser!$Z$5:$AA$28,2,FALSE)</f>
        <v>210080</v>
      </c>
      <c r="L24" s="130">
        <f t="shared" si="3"/>
        <v>19.024667887280074</v>
      </c>
      <c r="M24" s="131">
        <f t="shared" si="1"/>
        <v>18.374239097466088</v>
      </c>
      <c r="N24" s="130"/>
      <c r="O24" s="132">
        <f t="shared" si="4"/>
        <v>-0.65042878981398644</v>
      </c>
      <c r="P24" s="126" t="s">
        <v>343</v>
      </c>
      <c r="Q24" s="136"/>
      <c r="R24" s="136"/>
    </row>
    <row r="25" spans="1:18">
      <c r="A25" s="126" t="s">
        <v>337</v>
      </c>
      <c r="B25" s="134" t="s">
        <v>344</v>
      </c>
      <c r="C25" s="128">
        <v>189240</v>
      </c>
      <c r="D25" s="128">
        <v>778200</v>
      </c>
      <c r="E25" s="127">
        <v>31</v>
      </c>
      <c r="F25" s="127">
        <v>8</v>
      </c>
      <c r="G25" s="127"/>
      <c r="H25" s="127"/>
      <c r="I25" s="127">
        <v>2</v>
      </c>
      <c r="J25" s="129">
        <f>D25*VLOOKUP(E25,Parser!$Z$5:$AA$28,2,FALSE)</f>
        <v>1245120</v>
      </c>
      <c r="K25" s="129">
        <f>C25*VLOOKUP($E25,Parser!$Z$5:$AA$28,2,FALSE)</f>
        <v>302784</v>
      </c>
      <c r="L25" s="130">
        <f t="shared" si="3"/>
        <v>17.641048000395426</v>
      </c>
      <c r="M25" s="131">
        <f t="shared" si="1"/>
        <v>19.326891095573</v>
      </c>
      <c r="N25" s="130"/>
      <c r="O25" s="132">
        <f t="shared" si="4"/>
        <v>1.6858430951775745</v>
      </c>
      <c r="P25" s="126"/>
      <c r="Q25" s="136"/>
      <c r="R25" s="136"/>
    </row>
    <row r="26" spans="1:18">
      <c r="A26" s="126" t="s">
        <v>337</v>
      </c>
      <c r="B26" s="126" t="s">
        <v>345</v>
      </c>
      <c r="C26" s="128">
        <v>226890</v>
      </c>
      <c r="D26" s="128">
        <v>1704600</v>
      </c>
      <c r="E26" s="127">
        <v>30</v>
      </c>
      <c r="F26" s="127">
        <v>6</v>
      </c>
      <c r="G26" s="127"/>
      <c r="H26" s="127"/>
      <c r="I26" s="127">
        <v>2</v>
      </c>
      <c r="J26" s="129">
        <f>D26*VLOOKUP(E26,Parser!$Z$5:$AA$28,2,FALSE)</f>
        <v>2272800</v>
      </c>
      <c r="K26" s="129">
        <f>C26*VLOOKUP($E26,Parser!$Z$5:$AA$28,2,FALSE)</f>
        <v>302520</v>
      </c>
      <c r="L26" s="130">
        <f t="shared" si="3"/>
        <v>19.266194047135425</v>
      </c>
      <c r="M26" s="131">
        <f t="shared" si="1"/>
        <v>19.687553277624605</v>
      </c>
      <c r="N26" s="130"/>
      <c r="O26" s="132">
        <f t="shared" si="4"/>
        <v>0.42135923048918045</v>
      </c>
      <c r="P26" s="126"/>
      <c r="Q26" s="136"/>
      <c r="R26" s="136"/>
    </row>
    <row r="27" spans="1:18">
      <c r="A27" s="126" t="s">
        <v>338</v>
      </c>
      <c r="B27" s="126" t="s">
        <v>346</v>
      </c>
      <c r="C27" s="128">
        <v>266630</v>
      </c>
      <c r="D27" s="128">
        <v>1494700</v>
      </c>
      <c r="E27" s="127">
        <v>27</v>
      </c>
      <c r="F27" s="127">
        <v>6</v>
      </c>
      <c r="G27" s="127"/>
      <c r="H27" s="127"/>
      <c r="I27" s="127">
        <v>1</v>
      </c>
      <c r="J27" s="129">
        <f>D27*VLOOKUP(E27,Parser!$Z$5:$AA$28,2,FALSE)</f>
        <v>1494700</v>
      </c>
      <c r="K27" s="129">
        <f>C27*VLOOKUP($E27,Parser!$Z$5:$AA$28,2,FALSE)</f>
        <v>266630</v>
      </c>
      <c r="L27" s="130">
        <f t="shared" si="3"/>
        <v>18.60887602226703</v>
      </c>
      <c r="M27" s="131">
        <f t="shared" si="1"/>
        <v>19.289137092291366</v>
      </c>
      <c r="N27" s="130"/>
      <c r="O27" s="132">
        <f t="shared" si="4"/>
        <v>0.68026107002433633</v>
      </c>
      <c r="P27" s="126"/>
      <c r="Q27" s="136"/>
      <c r="R27" s="136"/>
    </row>
    <row r="28" spans="1:18">
      <c r="A28" s="126" t="s">
        <v>337</v>
      </c>
      <c r="B28" s="126" t="s">
        <v>347</v>
      </c>
      <c r="C28" s="128">
        <v>361820</v>
      </c>
      <c r="D28" s="128">
        <v>1045700</v>
      </c>
      <c r="E28" s="127">
        <v>29</v>
      </c>
      <c r="F28" s="127">
        <v>7</v>
      </c>
      <c r="G28" s="127"/>
      <c r="H28" s="127"/>
      <c r="I28" s="127">
        <v>1</v>
      </c>
      <c r="J28" s="129">
        <f>D28*VLOOKUP(E28,Parser!$Z$5:$AA$28,2,FALSE)</f>
        <v>1195085.7142857143</v>
      </c>
      <c r="K28" s="129">
        <f>C28*VLOOKUP($E28,Parser!$Z$5:$AA$28,2,FALSE)</f>
        <v>413508.57142857142</v>
      </c>
      <c r="L28" s="130">
        <f t="shared" si="3"/>
        <v>18.009330126873294</v>
      </c>
      <c r="M28" s="131">
        <f t="shared" si="1"/>
        <v>20.502643147925887</v>
      </c>
      <c r="N28" s="130"/>
      <c r="O28" s="132">
        <f t="shared" si="4"/>
        <v>2.4933130210525931</v>
      </c>
      <c r="P28" s="126"/>
      <c r="Q28" s="136"/>
      <c r="R28" s="136"/>
    </row>
    <row r="29" spans="1:18">
      <c r="A29" s="126" t="s">
        <v>337</v>
      </c>
      <c r="B29" s="134" t="s">
        <v>348</v>
      </c>
      <c r="C29" s="128">
        <v>108020</v>
      </c>
      <c r="D29" s="128">
        <v>337080</v>
      </c>
      <c r="E29" s="127">
        <v>32</v>
      </c>
      <c r="F29" s="127">
        <v>8</v>
      </c>
      <c r="G29" s="127"/>
      <c r="H29" s="127"/>
      <c r="I29" s="127">
        <v>2</v>
      </c>
      <c r="J29" s="129">
        <f>D29*VLOOKUP(E29,Parser!$Z$5:$AA$28,2,FALSE)</f>
        <v>674160</v>
      </c>
      <c r="K29" s="129">
        <f>C29*VLOOKUP($E29,Parser!$Z$5:$AA$28,2,FALSE)</f>
        <v>216040</v>
      </c>
      <c r="L29" s="130">
        <f t="shared" si="3"/>
        <v>16.130773257380099</v>
      </c>
      <c r="M29" s="131">
        <f t="shared" si="1"/>
        <v>18.301029514791498</v>
      </c>
      <c r="N29" s="130"/>
      <c r="O29" s="132">
        <f t="shared" si="4"/>
        <v>2.170256257411399</v>
      </c>
      <c r="P29" s="126"/>
      <c r="Q29" s="136"/>
      <c r="R29" s="136"/>
    </row>
    <row r="30" spans="1:18">
      <c r="A30" s="126" t="s">
        <v>337</v>
      </c>
      <c r="B30" s="126" t="s">
        <v>350</v>
      </c>
      <c r="C30" s="128">
        <v>488530</v>
      </c>
      <c r="D30" s="128">
        <v>3532440</v>
      </c>
      <c r="E30" s="127">
        <v>27</v>
      </c>
      <c r="F30" s="127">
        <v>8</v>
      </c>
      <c r="G30" s="127"/>
      <c r="H30" s="127"/>
      <c r="I30" s="127">
        <v>2</v>
      </c>
      <c r="J30" s="129">
        <f>D30*VLOOKUP(E30,Parser!$Z$5:$AA$28,2,FALSE)</f>
        <v>3532440</v>
      </c>
      <c r="K30" s="129">
        <f>C30*VLOOKUP($E30,Parser!$Z$5:$AA$28,2,FALSE)</f>
        <v>488530</v>
      </c>
      <c r="L30" s="130">
        <f t="shared" si="3"/>
        <v>20.555995963393258</v>
      </c>
      <c r="M30" s="131">
        <f t="shared" si="1"/>
        <v>20.885771131056078</v>
      </c>
      <c r="N30" s="130"/>
      <c r="O30" s="132">
        <f t="shared" si="4"/>
        <v>0.32977516766282022</v>
      </c>
      <c r="P30" s="126"/>
      <c r="Q30" s="136"/>
      <c r="R30" s="136"/>
    </row>
    <row r="31" spans="1:18">
      <c r="A31" s="126" t="s">
        <v>337</v>
      </c>
      <c r="B31" s="126" t="s">
        <v>332</v>
      </c>
      <c r="C31" s="128">
        <v>198900</v>
      </c>
      <c r="D31" s="128">
        <v>1984920</v>
      </c>
      <c r="E31" s="127">
        <v>31</v>
      </c>
      <c r="F31" s="127">
        <v>7</v>
      </c>
      <c r="G31" s="127"/>
      <c r="H31" s="127"/>
      <c r="I31" s="127">
        <v>2</v>
      </c>
      <c r="J31" s="129">
        <f>D31*VLOOKUP(E31,Parser!$Z$5:$AA$28,2,FALSE)</f>
        <v>3175872</v>
      </c>
      <c r="K31" s="129">
        <f>C31*VLOOKUP($E31,Parser!$Z$5:$AA$28,2,FALSE)</f>
        <v>318240</v>
      </c>
      <c r="L31" s="130">
        <f t="shared" si="3"/>
        <v>20.236721579406847</v>
      </c>
      <c r="M31" s="131">
        <f t="shared" si="1"/>
        <v>19.650293342145353</v>
      </c>
      <c r="N31" s="130">
        <v>19</v>
      </c>
      <c r="O31" s="132">
        <f t="shared" si="4"/>
        <v>-0.58642823726149373</v>
      </c>
      <c r="P31" s="126"/>
      <c r="Q31" s="136"/>
      <c r="R31" s="136"/>
    </row>
    <row r="32" spans="1:18">
      <c r="A32" s="126"/>
      <c r="B32" s="126" t="s">
        <v>429</v>
      </c>
      <c r="C32" s="128">
        <v>179130</v>
      </c>
      <c r="D32" s="128">
        <v>1815480</v>
      </c>
      <c r="E32" s="127">
        <v>28</v>
      </c>
      <c r="F32" s="127">
        <v>5</v>
      </c>
      <c r="G32" s="127"/>
      <c r="H32" s="127"/>
      <c r="I32" s="127">
        <v>2</v>
      </c>
      <c r="J32" s="129">
        <f>D32*VLOOKUP(E32,Parser!$Z$5:$AA$28,2,FALSE)</f>
        <v>1815480</v>
      </c>
      <c r="K32" s="129">
        <f>C32*VLOOKUP($E32,Parser!$Z$5:$AA$28,2,FALSE)</f>
        <v>179130</v>
      </c>
      <c r="L32" s="130">
        <f t="shared" si="3"/>
        <v>18.64190107457927</v>
      </c>
      <c r="M32" s="131">
        <f t="shared" si="1"/>
        <v>18.312951913255834</v>
      </c>
      <c r="N32" s="130"/>
      <c r="O32" s="132">
        <f t="shared" si="4"/>
        <v>-0.3289491613234361</v>
      </c>
      <c r="P32" s="126"/>
      <c r="Q32" s="136"/>
      <c r="R32" s="136"/>
    </row>
    <row r="33" spans="1:18">
      <c r="A33" s="126"/>
      <c r="B33" s="126" t="s">
        <v>430</v>
      </c>
      <c r="C33" s="128">
        <v>240000</v>
      </c>
      <c r="D33" s="128">
        <v>2270040</v>
      </c>
      <c r="E33" s="127">
        <v>28</v>
      </c>
      <c r="F33" s="127">
        <v>6</v>
      </c>
      <c r="G33" s="127"/>
      <c r="H33" s="127"/>
      <c r="I33" s="127">
        <v>2</v>
      </c>
      <c r="J33" s="129">
        <f>D33*VLOOKUP(E33,Parser!$Z$5:$AA$28,2,FALSE)</f>
        <v>2270040</v>
      </c>
      <c r="K33" s="129">
        <f>C33*VLOOKUP($E33,Parser!$Z$5:$AA$28,2,FALSE)</f>
        <v>240000</v>
      </c>
      <c r="L33" s="130">
        <f t="shared" ref="L33:L39" si="5">IF((J33/10)&lt;250*(0.8+0.200001*I33),0,(((J33/10)/(0.8+0.2*I33)-250)/0.0013)^(1/6.47)+1)</f>
        <v>19.262759348641861</v>
      </c>
      <c r="M33" s="131">
        <f t="shared" si="1"/>
        <v>18.963665557503166</v>
      </c>
      <c r="N33" s="130"/>
      <c r="O33" s="132">
        <f t="shared" ref="O33:O40" si="6">M33-L33</f>
        <v>-0.29909379113869505</v>
      </c>
      <c r="P33" s="126"/>
      <c r="Q33" s="136"/>
      <c r="R33" s="136"/>
    </row>
    <row r="34" spans="1:18">
      <c r="A34" s="126"/>
      <c r="B34" s="134" t="s">
        <v>434</v>
      </c>
      <c r="C34" s="128">
        <v>332550</v>
      </c>
      <c r="D34" s="128">
        <v>1141900</v>
      </c>
      <c r="E34" s="127">
        <v>31</v>
      </c>
      <c r="F34" s="127">
        <v>7</v>
      </c>
      <c r="G34" s="127"/>
      <c r="H34" s="127"/>
      <c r="I34" s="127">
        <v>1</v>
      </c>
      <c r="J34" s="129">
        <f>D34*VLOOKUP(E34,Parser!$Z$5:$AA$28,2,FALSE)</f>
        <v>1827040</v>
      </c>
      <c r="K34" s="129">
        <f>C34*VLOOKUP($E34,Parser!$Z$5:$AA$28,2,FALSE)</f>
        <v>532080</v>
      </c>
      <c r="L34" s="130">
        <f>IF((J34/10)&lt;250*(0.8+0.200001*I34),0,(((J34/10)/(0.8+0.2*I34)-250)/0.0013)^(1/6.47)+1)</f>
        <v>19.16472192053995</v>
      </c>
      <c r="M34" s="131">
        <f t="shared" si="1"/>
        <v>21.3600193932552</v>
      </c>
      <c r="N34" s="130"/>
      <c r="O34" s="132">
        <f t="shared" si="6"/>
        <v>2.1952974727152501</v>
      </c>
      <c r="P34" s="126"/>
      <c r="Q34" s="136"/>
      <c r="R34" s="136"/>
    </row>
    <row r="35" spans="1:18">
      <c r="A35" s="126"/>
      <c r="B35" t="s">
        <v>435</v>
      </c>
      <c r="C35" s="128">
        <v>275040</v>
      </c>
      <c r="D35" s="128">
        <v>934700</v>
      </c>
      <c r="E35" s="127">
        <v>31</v>
      </c>
      <c r="F35" s="127">
        <v>6</v>
      </c>
      <c r="G35" s="127"/>
      <c r="H35" s="127"/>
      <c r="I35" s="127">
        <v>1</v>
      </c>
      <c r="J35" s="129">
        <f>D35*VLOOKUP(E35,Parser!$Z$5:$AA$28,2,FALSE)</f>
        <v>1495520</v>
      </c>
      <c r="K35" s="129">
        <f>C35*VLOOKUP($E35,Parser!$Z$5:$AA$28,2,FALSE)</f>
        <v>440064</v>
      </c>
      <c r="L35" s="130">
        <f>IF((J35/10)&lt;250*(0.8+0.200001*I35),0,(((J35/10)/(0.8+0.2*I35)-250)/0.0013)^(1/6.47)+1)</f>
        <v>18.610371270541002</v>
      </c>
      <c r="M35" s="131">
        <f t="shared" si="1"/>
        <v>20.921750034247381</v>
      </c>
      <c r="N35" s="130"/>
      <c r="O35" s="132">
        <f t="shared" si="6"/>
        <v>2.3113787637063794</v>
      </c>
      <c r="P35" s="126"/>
      <c r="Q35" s="136"/>
      <c r="R35" s="136"/>
    </row>
    <row r="36" spans="1:18">
      <c r="A36" s="126"/>
      <c r="B36" s="134" t="s">
        <v>436</v>
      </c>
      <c r="C36" s="128">
        <v>312650</v>
      </c>
      <c r="D36" s="128">
        <v>1185100</v>
      </c>
      <c r="E36" s="127">
        <v>31</v>
      </c>
      <c r="F36" s="127">
        <v>6</v>
      </c>
      <c r="G36" s="127"/>
      <c r="H36" s="127"/>
      <c r="I36" s="127">
        <v>1</v>
      </c>
      <c r="J36" s="129">
        <f>D36*VLOOKUP(E36,Parser!$Z$5:$AA$28,2,FALSE)</f>
        <v>1896160</v>
      </c>
      <c r="K36" s="129">
        <f>C36*VLOOKUP($E36,Parser!$Z$5:$AA$28,2,FALSE)</f>
        <v>500240</v>
      </c>
      <c r="L36" s="130">
        <f t="shared" si="5"/>
        <v>19.269416463417837</v>
      </c>
      <c r="M36" s="131">
        <f t="shared" si="1"/>
        <v>21.362271286262995</v>
      </c>
      <c r="N36" s="130"/>
      <c r="O36" s="132">
        <f t="shared" si="6"/>
        <v>2.0928548228451582</v>
      </c>
      <c r="P36" s="126"/>
      <c r="Q36" s="136"/>
      <c r="R36" s="136"/>
    </row>
    <row r="37" spans="1:18">
      <c r="A37" s="126"/>
      <c r="B37" s="126" t="s">
        <v>437</v>
      </c>
      <c r="C37" s="128">
        <v>220970</v>
      </c>
      <c r="D37" s="128">
        <v>1500500</v>
      </c>
      <c r="E37" s="127">
        <v>30</v>
      </c>
      <c r="F37" s="127">
        <v>8</v>
      </c>
      <c r="G37" s="127">
        <v>8</v>
      </c>
      <c r="H37" s="127">
        <v>13</v>
      </c>
      <c r="I37" s="127">
        <v>1</v>
      </c>
      <c r="J37" s="129">
        <f>D37*VLOOKUP(E37,Parser!$Z$5:$AA$28,2,FALSE)</f>
        <v>2000666.6666666665</v>
      </c>
      <c r="K37" s="129">
        <f>C37*VLOOKUP($E37,Parser!$Z$5:$AA$28,2,FALSE)</f>
        <v>294626.66666666663</v>
      </c>
      <c r="L37" s="130">
        <f t="shared" si="5"/>
        <v>19.421733849237757</v>
      </c>
      <c r="M37" s="131">
        <f t="shared" si="1"/>
        <v>19.241676932738695</v>
      </c>
      <c r="N37" s="130"/>
      <c r="O37" s="132">
        <f t="shared" si="6"/>
        <v>-0.18005691649906197</v>
      </c>
      <c r="P37" s="126"/>
      <c r="Q37" s="136">
        <f t="shared" ref="Q37:Q45" si="7">(L37-1)*SQRT(IF((F37-1)&gt;7,7,(F37-1))/7)*SQRT(IF((G37-1)&gt;7,7,(G37-1))/7)*(1+SQRT((H37-1))*9/100)</f>
        <v>24.165062067508167</v>
      </c>
      <c r="R37" s="136">
        <f t="shared" ref="R37:R45" si="8">(M37-1)*SQRT(IF((F37-1)&gt;7,7,(F37-1))/7)*SQRT(IF((G37-1)&gt;7,7,(G37-1))/7)*(1+SQRT((H37-1))*9/100)</f>
        <v>23.928868960035604</v>
      </c>
    </row>
    <row r="38" spans="1:18">
      <c r="A38" s="126"/>
      <c r="B38" s="126" t="s">
        <v>331</v>
      </c>
      <c r="C38" s="128">
        <v>242570</v>
      </c>
      <c r="D38" s="128">
        <v>1636700</v>
      </c>
      <c r="E38" s="127">
        <v>30</v>
      </c>
      <c r="F38" s="127">
        <v>8</v>
      </c>
      <c r="G38" s="127">
        <v>8</v>
      </c>
      <c r="H38" s="127">
        <v>14</v>
      </c>
      <c r="I38" s="127">
        <v>1</v>
      </c>
      <c r="J38" s="129">
        <f>D38*VLOOKUP(E38,Parser!$Z$5:$AA$28,2,FALSE)</f>
        <v>2182266.6666666665</v>
      </c>
      <c r="K38" s="129">
        <f>C38*VLOOKUP($E38,Parser!$Z$5:$AA$28,2,FALSE)</f>
        <v>323426.66666666663</v>
      </c>
      <c r="L38" s="130">
        <f t="shared" si="5"/>
        <v>19.67108252071251</v>
      </c>
      <c r="M38" s="131">
        <f t="shared" si="1"/>
        <v>19.534320407415276</v>
      </c>
      <c r="N38" s="130"/>
      <c r="O38" s="132">
        <f t="shared" si="6"/>
        <v>-0.13676211329723387</v>
      </c>
      <c r="P38" s="126"/>
      <c r="Q38" s="136">
        <f t="shared" si="7"/>
        <v>24.729841606428867</v>
      </c>
      <c r="R38" s="136">
        <f t="shared" si="8"/>
        <v>24.548700240048575</v>
      </c>
    </row>
    <row r="39" spans="1:18">
      <c r="A39" s="126"/>
      <c r="B39" s="126" t="s">
        <v>440</v>
      </c>
      <c r="C39" s="128">
        <v>327220</v>
      </c>
      <c r="D39" s="128">
        <v>1955160</v>
      </c>
      <c r="E39" s="127">
        <v>27</v>
      </c>
      <c r="F39" s="127">
        <v>7</v>
      </c>
      <c r="G39" s="127">
        <v>7</v>
      </c>
      <c r="H39" s="127">
        <v>7</v>
      </c>
      <c r="I39" s="127">
        <v>2</v>
      </c>
      <c r="J39" s="129">
        <f>D39*VLOOKUP(E39,Parser!$Z$5:$AA$28,2,FALSE)</f>
        <v>1955160</v>
      </c>
      <c r="K39" s="129">
        <f>C39*VLOOKUP($E39,Parser!$Z$5:$AA$28,2,FALSE)</f>
        <v>327220</v>
      </c>
      <c r="L39" s="130">
        <f t="shared" si="5"/>
        <v>18.845499929355235</v>
      </c>
      <c r="M39" s="131">
        <f t="shared" si="1"/>
        <v>19.73906710533829</v>
      </c>
      <c r="N39" s="130"/>
      <c r="O39" s="132">
        <f t="shared" si="6"/>
        <v>0.8935671759830548</v>
      </c>
      <c r="P39" s="126"/>
      <c r="Q39" s="136">
        <f t="shared" si="7"/>
        <v>18.668239836185705</v>
      </c>
      <c r="R39" s="136">
        <f t="shared" si="8"/>
        <v>19.603003581501383</v>
      </c>
    </row>
    <row r="40" spans="1:18">
      <c r="A40" s="126"/>
      <c r="B40" s="126" t="s">
        <v>556</v>
      </c>
      <c r="C40" s="128">
        <v>32010</v>
      </c>
      <c r="D40" s="128">
        <v>204600</v>
      </c>
      <c r="E40" s="127">
        <v>20</v>
      </c>
      <c r="F40" s="127">
        <v>6</v>
      </c>
      <c r="G40" s="127">
        <v>7</v>
      </c>
      <c r="H40" s="127">
        <v>3</v>
      </c>
      <c r="I40" s="127">
        <v>2</v>
      </c>
      <c r="J40" s="129">
        <f>D40*VLOOKUP(E40,Parser!$Z$5:$AA$28,2,FALSE)</f>
        <v>204600</v>
      </c>
      <c r="K40" s="129">
        <f>C40*VLOOKUP($E40,Parser!$Z$5:$AA$28,2,FALSE)</f>
        <v>32010</v>
      </c>
      <c r="L40" s="130">
        <f t="shared" ref="L40:L45" si="9">IF((J40/10)&lt;250*(0.8+0.200001*I40),0,(((J40/10)/(0.8+0.2*I40)-250)/0.0013)^(1/6.47)+1)</f>
        <v>13.564036830749425</v>
      </c>
      <c r="M40" s="131">
        <f t="shared" si="1"/>
        <v>13.737677721840893</v>
      </c>
      <c r="N40" s="130"/>
      <c r="O40" s="132">
        <f t="shared" si="6"/>
        <v>0.17364089109146796</v>
      </c>
      <c r="P40" s="126"/>
      <c r="Q40" s="136">
        <f t="shared" si="7"/>
        <v>11.082131261209287</v>
      </c>
      <c r="R40" s="136">
        <f t="shared" si="8"/>
        <v>11.23529152118874</v>
      </c>
    </row>
    <row r="41" spans="1:18">
      <c r="A41" s="126"/>
      <c r="B41" s="126"/>
      <c r="C41" s="128">
        <v>2150</v>
      </c>
      <c r="D41" s="128"/>
      <c r="E41" s="127">
        <v>35</v>
      </c>
      <c r="F41" s="127">
        <v>5</v>
      </c>
      <c r="G41" s="127">
        <v>5</v>
      </c>
      <c r="H41" s="127">
        <v>12</v>
      </c>
      <c r="I41" s="127">
        <v>1</v>
      </c>
      <c r="J41" s="129">
        <f>D41*VLOOKUP(E41,Parser!$Z$5:$AA$28,2,FALSE)</f>
        <v>0</v>
      </c>
      <c r="K41" s="129">
        <f>C41*VLOOKUP($E41,Parser!$Z$5:$AA$28,2,FALSE)</f>
        <v>17200</v>
      </c>
      <c r="L41" s="130">
        <f t="shared" si="9"/>
        <v>0</v>
      </c>
      <c r="M41" s="131">
        <f t="shared" si="1"/>
        <v>12.606798377701827</v>
      </c>
      <c r="N41" s="130"/>
      <c r="O41" s="132">
        <f>M41-L41</f>
        <v>12.606798377701827</v>
      </c>
      <c r="P41" s="126"/>
      <c r="Q41" s="136">
        <f t="shared" si="7"/>
        <v>-0.74199784636113475</v>
      </c>
      <c r="R41" s="136">
        <f t="shared" si="8"/>
        <v>8.6122193994026688</v>
      </c>
    </row>
    <row r="42" spans="1:18">
      <c r="A42" s="126"/>
      <c r="B42" s="126"/>
      <c r="C42" s="128">
        <v>4790</v>
      </c>
      <c r="D42" s="128"/>
      <c r="E42" s="127">
        <v>21</v>
      </c>
      <c r="F42" s="127">
        <v>6</v>
      </c>
      <c r="G42" s="127">
        <v>7</v>
      </c>
      <c r="H42" s="127">
        <v>2</v>
      </c>
      <c r="I42" s="127">
        <v>1</v>
      </c>
      <c r="J42" s="129">
        <f>D42*VLOOKUP(E42,Parser!$Z$5:$AA$28,2,FALSE)</f>
        <v>0</v>
      </c>
      <c r="K42" s="129">
        <f>C42*VLOOKUP($E42,Parser!$Z$5:$AA$28,2,FALSE)</f>
        <v>4790</v>
      </c>
      <c r="L42" s="130">
        <f t="shared" si="9"/>
        <v>0</v>
      </c>
      <c r="M42" s="131">
        <f t="shared" si="1"/>
        <v>10.211148386196502</v>
      </c>
      <c r="N42" s="130"/>
      <c r="O42" s="132">
        <f>M42-L42</f>
        <v>10.211148386196502</v>
      </c>
      <c r="P42" s="126"/>
      <c r="Q42" s="136">
        <f t="shared" si="7"/>
        <v>-0.8528822681151873</v>
      </c>
      <c r="R42" s="136">
        <f t="shared" si="8"/>
        <v>7.856025127564819</v>
      </c>
    </row>
    <row r="43" spans="1:18">
      <c r="A43" s="126"/>
      <c r="B43" s="126" t="s">
        <v>477</v>
      </c>
      <c r="C43" s="128">
        <v>217850</v>
      </c>
      <c r="D43" s="128">
        <v>2608440</v>
      </c>
      <c r="E43" s="127">
        <v>31</v>
      </c>
      <c r="F43" s="127">
        <v>7.5</v>
      </c>
      <c r="G43" s="127">
        <v>7.5</v>
      </c>
      <c r="H43" s="127">
        <v>19.5</v>
      </c>
      <c r="I43" s="127">
        <v>2</v>
      </c>
      <c r="J43" s="129">
        <f>D43*VLOOKUP(E43,Parser!$Z$5:$AA$28,2,FALSE)</f>
        <v>4173504</v>
      </c>
      <c r="K43" s="129">
        <f>C43*VLOOKUP($E43,Parser!$Z$5:$AA$28,2,FALSE)</f>
        <v>348560</v>
      </c>
      <c r="L43" s="130">
        <f t="shared" si="9"/>
        <v>21.067017767283943</v>
      </c>
      <c r="M43" s="131">
        <f t="shared" si="1"/>
        <v>19.85390831054811</v>
      </c>
      <c r="N43" s="130"/>
      <c r="O43" s="132">
        <f>M43-L43</f>
        <v>-1.2131094567358325</v>
      </c>
      <c r="P43" s="126"/>
      <c r="Q43" s="136">
        <f t="shared" si="7"/>
        <v>25.846835296378984</v>
      </c>
      <c r="R43" s="136">
        <f t="shared" si="8"/>
        <v>24.284319097492162</v>
      </c>
    </row>
    <row r="44" spans="1:18">
      <c r="A44" s="126"/>
      <c r="B44" s="126" t="s">
        <v>485</v>
      </c>
      <c r="C44" s="128">
        <v>221880</v>
      </c>
      <c r="D44" s="128">
        <v>1408500</v>
      </c>
      <c r="E44" s="127">
        <v>28</v>
      </c>
      <c r="F44" s="127">
        <v>6</v>
      </c>
      <c r="G44" s="127">
        <v>7</v>
      </c>
      <c r="H44" s="127">
        <v>9</v>
      </c>
      <c r="I44" s="127">
        <v>1</v>
      </c>
      <c r="J44" s="129">
        <f>D44*VLOOKUP(E44,Parser!$Z$5:$AA$28,2,FALSE)</f>
        <v>1408500</v>
      </c>
      <c r="K44" s="129">
        <f>C44*VLOOKUP($E44,Parser!$Z$5:$AA$28,2,FALSE)</f>
        <v>221880</v>
      </c>
      <c r="L44" s="130">
        <f t="shared" si="9"/>
        <v>18.447674601595466</v>
      </c>
      <c r="M44" s="131">
        <f t="shared" si="1"/>
        <v>18.724623889991673</v>
      </c>
      <c r="N44" s="130"/>
      <c r="O44" s="132">
        <f>M44-L44</f>
        <v>0.27694928839620658</v>
      </c>
      <c r="P44" s="126"/>
      <c r="Q44" s="136">
        <f t="shared" si="7"/>
        <v>17.127384098766729</v>
      </c>
      <c r="R44" s="136">
        <f t="shared" si="8"/>
        <v>17.399249372882295</v>
      </c>
    </row>
    <row r="45" spans="1:18">
      <c r="A45" s="126"/>
      <c r="B45" s="126" t="s">
        <v>547</v>
      </c>
      <c r="C45" s="128">
        <v>124020</v>
      </c>
      <c r="D45" s="128">
        <v>631560</v>
      </c>
      <c r="E45" s="127">
        <v>31</v>
      </c>
      <c r="F45" s="127">
        <v>8</v>
      </c>
      <c r="G45" s="127">
        <v>7</v>
      </c>
      <c r="H45" s="127">
        <v>14</v>
      </c>
      <c r="I45" s="127">
        <v>2</v>
      </c>
      <c r="J45" s="129">
        <f>D45*VLOOKUP(E45,Parser!$Z$5:$AA$28,2,FALSE)</f>
        <v>1010496</v>
      </c>
      <c r="K45" s="129">
        <f>C45*VLOOKUP($E45,Parser!$Z$5:$AA$28,2,FALSE)</f>
        <v>198432</v>
      </c>
      <c r="L45" s="130">
        <f t="shared" si="9"/>
        <v>17.111207402561195</v>
      </c>
      <c r="M45" s="131">
        <f>((K45/((0.5768*(F45-1)^0.342)*0.0107))^(1/5.86))+1</f>
        <v>18.051837532830195</v>
      </c>
      <c r="N45" s="130"/>
      <c r="O45" s="132">
        <f>M45-L45</f>
        <v>0.94063013026899966</v>
      </c>
      <c r="P45" s="126"/>
      <c r="Q45" s="136">
        <f t="shared" si="7"/>
        <v>19.756341743867257</v>
      </c>
      <c r="R45" s="136">
        <f t="shared" si="8"/>
        <v>20.909787903663979</v>
      </c>
    </row>
    <row r="46" spans="1:18">
      <c r="A46" s="126"/>
      <c r="B46" s="126"/>
      <c r="C46" s="128"/>
      <c r="D46" s="128"/>
      <c r="E46" s="127"/>
      <c r="F46" s="127"/>
      <c r="G46" s="127"/>
      <c r="H46" s="127"/>
      <c r="I46" s="127"/>
      <c r="J46" s="129" t="e">
        <f>D46*VLOOKUP(E46,Parser!$Z$5:$AA$28,2,FALSE)</f>
        <v>#N/A</v>
      </c>
      <c r="K46" s="129" t="e">
        <f>C46*VLOOKUP($E46,Parser!$Z$5:$AA$28,2,FALSE)</f>
        <v>#N/A</v>
      </c>
      <c r="L46" s="130" t="e">
        <f t="shared" ref="L46:L60" si="10">IF((J46/10)&lt;250*(0.8+0.200001*I46),0,(((J46/10)/(0.8+0.2*I46)-250)/0.0013)^(1/6.47)+1)</f>
        <v>#N/A</v>
      </c>
      <c r="M46" s="131" t="e">
        <f t="shared" ref="M46:M60" si="11">((K46/((0.5768*(F46-1)^0.342)*0.0107))^(1/5.86))+1</f>
        <v>#N/A</v>
      </c>
      <c r="N46" s="130"/>
      <c r="O46" s="132" t="e">
        <f t="shared" ref="O46:O60" si="12">M46-L46</f>
        <v>#N/A</v>
      </c>
      <c r="P46" s="126"/>
      <c r="Q46" s="136" t="e">
        <f t="shared" ref="Q46:Q60" si="13">(L46-1)*SQRT(IF((F46-1)&gt;7,7,(F46-1))/7)*SQRT(IF((G46-1)&gt;7,7,(G46-1))/7)*(1+SQRT((H46-1))*9/100)</f>
        <v>#N/A</v>
      </c>
      <c r="R46" s="136" t="e">
        <f t="shared" ref="R46:R60" si="14">(M46-1)*SQRT(IF((F46-1)&gt;7,7,(F46-1))/7)*SQRT(IF((G46-1)&gt;7,7,(G46-1))/7)*(1+SQRT((H46-1))*9/100)</f>
        <v>#N/A</v>
      </c>
    </row>
    <row r="47" spans="1:18">
      <c r="A47" s="126"/>
      <c r="B47" s="126"/>
      <c r="C47" s="128"/>
      <c r="D47" s="128"/>
      <c r="E47" s="127"/>
      <c r="F47" s="127"/>
      <c r="G47" s="127"/>
      <c r="H47" s="127"/>
      <c r="I47" s="127"/>
      <c r="J47" s="129" t="e">
        <f>D47*VLOOKUP(E47,Parser!$Z$5:$AA$28,2,FALSE)</f>
        <v>#N/A</v>
      </c>
      <c r="K47" s="129" t="e">
        <f>C47*VLOOKUP($E47,Parser!$Z$5:$AA$28,2,FALSE)</f>
        <v>#N/A</v>
      </c>
      <c r="L47" s="130" t="e">
        <f t="shared" si="10"/>
        <v>#N/A</v>
      </c>
      <c r="M47" s="131" t="e">
        <f t="shared" si="11"/>
        <v>#N/A</v>
      </c>
      <c r="N47" s="130"/>
      <c r="O47" s="132" t="e">
        <f t="shared" si="12"/>
        <v>#N/A</v>
      </c>
      <c r="P47" s="126"/>
      <c r="Q47" s="136" t="e">
        <f t="shared" si="13"/>
        <v>#N/A</v>
      </c>
      <c r="R47" s="136" t="e">
        <f t="shared" si="14"/>
        <v>#N/A</v>
      </c>
    </row>
    <row r="48" spans="1:18">
      <c r="A48" s="126"/>
      <c r="B48" s="126"/>
      <c r="C48" s="128"/>
      <c r="D48" s="128"/>
      <c r="E48" s="127"/>
      <c r="F48" s="127"/>
      <c r="G48" s="127"/>
      <c r="H48" s="127"/>
      <c r="I48" s="127"/>
      <c r="J48" s="129" t="e">
        <f>D48*VLOOKUP(E48,Parser!$Z$5:$AA$28,2,FALSE)</f>
        <v>#N/A</v>
      </c>
      <c r="K48" s="129" t="e">
        <f>C48*VLOOKUP($E48,Parser!$Z$5:$AA$28,2,FALSE)</f>
        <v>#N/A</v>
      </c>
      <c r="L48" s="130" t="e">
        <f t="shared" si="10"/>
        <v>#N/A</v>
      </c>
      <c r="M48" s="131" t="e">
        <f t="shared" si="11"/>
        <v>#N/A</v>
      </c>
      <c r="N48" s="130"/>
      <c r="O48" s="132" t="e">
        <f t="shared" si="12"/>
        <v>#N/A</v>
      </c>
      <c r="P48" s="126"/>
      <c r="Q48" s="136" t="e">
        <f t="shared" si="13"/>
        <v>#N/A</v>
      </c>
      <c r="R48" s="136" t="e">
        <f t="shared" si="14"/>
        <v>#N/A</v>
      </c>
    </row>
    <row r="49" spans="1:18">
      <c r="A49" s="126"/>
      <c r="B49" s="126"/>
      <c r="C49" s="128"/>
      <c r="D49" s="128"/>
      <c r="E49" s="127"/>
      <c r="F49" s="127"/>
      <c r="G49" s="127"/>
      <c r="H49" s="127"/>
      <c r="I49" s="127"/>
      <c r="J49" s="129" t="e">
        <f>D49*VLOOKUP(E49,Parser!$Z$5:$AA$28,2,FALSE)</f>
        <v>#N/A</v>
      </c>
      <c r="K49" s="129" t="e">
        <f>C49*VLOOKUP($E49,Parser!$Z$5:$AA$28,2,FALSE)</f>
        <v>#N/A</v>
      </c>
      <c r="L49" s="130" t="e">
        <f t="shared" si="10"/>
        <v>#N/A</v>
      </c>
      <c r="M49" s="131" t="e">
        <f t="shared" si="11"/>
        <v>#N/A</v>
      </c>
      <c r="N49" s="130"/>
      <c r="O49" s="132" t="e">
        <f t="shared" si="12"/>
        <v>#N/A</v>
      </c>
      <c r="P49" s="126"/>
      <c r="Q49" s="136" t="e">
        <f t="shared" si="13"/>
        <v>#N/A</v>
      </c>
      <c r="R49" s="136" t="e">
        <f t="shared" si="14"/>
        <v>#N/A</v>
      </c>
    </row>
    <row r="50" spans="1:18">
      <c r="A50" s="126"/>
      <c r="B50" s="126"/>
      <c r="C50" s="128"/>
      <c r="D50" s="128"/>
      <c r="E50" s="127"/>
      <c r="F50" s="127"/>
      <c r="G50" s="127"/>
      <c r="H50" s="127"/>
      <c r="I50" s="127"/>
      <c r="J50" s="129" t="e">
        <f>D50*VLOOKUP(E50,Parser!$Z$5:$AA$28,2,FALSE)</f>
        <v>#N/A</v>
      </c>
      <c r="K50" s="129" t="e">
        <f>C50*VLOOKUP($E50,Parser!$Z$5:$AA$28,2,FALSE)</f>
        <v>#N/A</v>
      </c>
      <c r="L50" s="130" t="e">
        <f t="shared" si="10"/>
        <v>#N/A</v>
      </c>
      <c r="M50" s="131" t="e">
        <f t="shared" si="11"/>
        <v>#N/A</v>
      </c>
      <c r="N50" s="130"/>
      <c r="O50" s="132" t="e">
        <f t="shared" si="12"/>
        <v>#N/A</v>
      </c>
      <c r="P50" s="126"/>
      <c r="Q50" s="136" t="e">
        <f t="shared" si="13"/>
        <v>#N/A</v>
      </c>
      <c r="R50" s="136" t="e">
        <f t="shared" si="14"/>
        <v>#N/A</v>
      </c>
    </row>
    <row r="51" spans="1:18">
      <c r="A51" s="126"/>
      <c r="B51" s="126"/>
      <c r="C51" s="128"/>
      <c r="D51" s="128"/>
      <c r="E51" s="127"/>
      <c r="F51" s="127"/>
      <c r="G51" s="127"/>
      <c r="H51" s="127"/>
      <c r="I51" s="127"/>
      <c r="J51" s="129" t="e">
        <f>D51*VLOOKUP(E51,Parser!$Z$5:$AA$28,2,FALSE)</f>
        <v>#N/A</v>
      </c>
      <c r="K51" s="129" t="e">
        <f>C51*VLOOKUP($E51,Parser!$Z$5:$AA$28,2,FALSE)</f>
        <v>#N/A</v>
      </c>
      <c r="L51" s="130" t="e">
        <f t="shared" si="10"/>
        <v>#N/A</v>
      </c>
      <c r="M51" s="131" t="e">
        <f t="shared" si="11"/>
        <v>#N/A</v>
      </c>
      <c r="N51" s="130"/>
      <c r="O51" s="132" t="e">
        <f t="shared" si="12"/>
        <v>#N/A</v>
      </c>
      <c r="P51" s="126"/>
      <c r="Q51" s="136" t="e">
        <f t="shared" si="13"/>
        <v>#N/A</v>
      </c>
      <c r="R51" s="136" t="e">
        <f t="shared" si="14"/>
        <v>#N/A</v>
      </c>
    </row>
    <row r="52" spans="1:18">
      <c r="A52" s="126"/>
      <c r="B52" s="126"/>
      <c r="C52" s="128"/>
      <c r="D52" s="128"/>
      <c r="E52" s="127"/>
      <c r="F52" s="127"/>
      <c r="G52" s="127"/>
      <c r="H52" s="127"/>
      <c r="I52" s="127"/>
      <c r="J52" s="129" t="e">
        <f>D52*VLOOKUP(E52,Parser!$Z$5:$AA$28,2,FALSE)</f>
        <v>#N/A</v>
      </c>
      <c r="K52" s="129" t="e">
        <f>C52*VLOOKUP($E52,Parser!$Z$5:$AA$28,2,FALSE)</f>
        <v>#N/A</v>
      </c>
      <c r="L52" s="130" t="e">
        <f t="shared" si="10"/>
        <v>#N/A</v>
      </c>
      <c r="M52" s="131" t="e">
        <f t="shared" si="11"/>
        <v>#N/A</v>
      </c>
      <c r="N52" s="130"/>
      <c r="O52" s="132" t="e">
        <f t="shared" si="12"/>
        <v>#N/A</v>
      </c>
      <c r="P52" s="126"/>
      <c r="Q52" s="136" t="e">
        <f t="shared" si="13"/>
        <v>#N/A</v>
      </c>
      <c r="R52" s="136" t="e">
        <f t="shared" si="14"/>
        <v>#N/A</v>
      </c>
    </row>
    <row r="53" spans="1:18">
      <c r="A53" s="126"/>
      <c r="B53" s="126"/>
      <c r="C53" s="128"/>
      <c r="D53" s="128"/>
      <c r="E53" s="127"/>
      <c r="F53" s="127"/>
      <c r="G53" s="127"/>
      <c r="H53" s="127"/>
      <c r="I53" s="127"/>
      <c r="J53" s="129" t="e">
        <f>D53*VLOOKUP(E53,Parser!$Z$5:$AA$28,2,FALSE)</f>
        <v>#N/A</v>
      </c>
      <c r="K53" s="129" t="e">
        <f>C53*VLOOKUP($E53,Parser!$Z$5:$AA$28,2,FALSE)</f>
        <v>#N/A</v>
      </c>
      <c r="L53" s="130" t="e">
        <f t="shared" si="10"/>
        <v>#N/A</v>
      </c>
      <c r="M53" s="131" t="e">
        <f t="shared" si="11"/>
        <v>#N/A</v>
      </c>
      <c r="N53" s="130"/>
      <c r="O53" s="132" t="e">
        <f t="shared" si="12"/>
        <v>#N/A</v>
      </c>
      <c r="P53" s="126"/>
      <c r="Q53" s="136" t="e">
        <f t="shared" si="13"/>
        <v>#N/A</v>
      </c>
      <c r="R53" s="136" t="e">
        <f t="shared" si="14"/>
        <v>#N/A</v>
      </c>
    </row>
    <row r="54" spans="1:18">
      <c r="A54" s="126"/>
      <c r="B54" s="126"/>
      <c r="C54" s="128"/>
      <c r="D54" s="128"/>
      <c r="E54" s="127"/>
      <c r="F54" s="127"/>
      <c r="G54" s="127"/>
      <c r="H54" s="127"/>
      <c r="I54" s="127"/>
      <c r="J54" s="129" t="e">
        <f>D54*VLOOKUP(E54,Parser!$Z$5:$AA$28,2,FALSE)</f>
        <v>#N/A</v>
      </c>
      <c r="K54" s="129" t="e">
        <f>C54*VLOOKUP($E54,Parser!$Z$5:$AA$28,2,FALSE)</f>
        <v>#N/A</v>
      </c>
      <c r="L54" s="130" t="e">
        <f t="shared" si="10"/>
        <v>#N/A</v>
      </c>
      <c r="M54" s="131" t="e">
        <f t="shared" si="11"/>
        <v>#N/A</v>
      </c>
      <c r="N54" s="130"/>
      <c r="O54" s="132" t="e">
        <f t="shared" si="12"/>
        <v>#N/A</v>
      </c>
      <c r="P54" s="126"/>
      <c r="Q54" s="136" t="e">
        <f t="shared" si="13"/>
        <v>#N/A</v>
      </c>
      <c r="R54" s="136" t="e">
        <f t="shared" si="14"/>
        <v>#N/A</v>
      </c>
    </row>
    <row r="55" spans="1:18">
      <c r="A55" s="126"/>
      <c r="B55" s="126"/>
      <c r="C55" s="128"/>
      <c r="D55" s="128"/>
      <c r="E55" s="127"/>
      <c r="F55" s="127"/>
      <c r="G55" s="127"/>
      <c r="H55" s="127"/>
      <c r="I55" s="127"/>
      <c r="J55" s="129" t="e">
        <f>D55*VLOOKUP(E55,Parser!$Z$5:$AA$28,2,FALSE)</f>
        <v>#N/A</v>
      </c>
      <c r="K55" s="129" t="e">
        <f>C55*VLOOKUP($E55,Parser!$Z$5:$AA$28,2,FALSE)</f>
        <v>#N/A</v>
      </c>
      <c r="L55" s="130" t="e">
        <f t="shared" si="10"/>
        <v>#N/A</v>
      </c>
      <c r="M55" s="131" t="e">
        <f t="shared" si="11"/>
        <v>#N/A</v>
      </c>
      <c r="N55" s="130"/>
      <c r="O55" s="132" t="e">
        <f t="shared" si="12"/>
        <v>#N/A</v>
      </c>
      <c r="P55" s="126"/>
      <c r="Q55" s="136" t="e">
        <f t="shared" si="13"/>
        <v>#N/A</v>
      </c>
      <c r="R55" s="136" t="e">
        <f t="shared" si="14"/>
        <v>#N/A</v>
      </c>
    </row>
    <row r="56" spans="1:18">
      <c r="A56" s="126"/>
      <c r="B56" s="126"/>
      <c r="C56" s="128"/>
      <c r="D56" s="128"/>
      <c r="E56" s="127"/>
      <c r="F56" s="127"/>
      <c r="G56" s="127"/>
      <c r="H56" s="127"/>
      <c r="I56" s="127"/>
      <c r="J56" s="129" t="e">
        <f>D56*VLOOKUP(E56,Parser!$Z$5:$AA$28,2,FALSE)</f>
        <v>#N/A</v>
      </c>
      <c r="K56" s="129" t="e">
        <f>C56*VLOOKUP($E56,Parser!$Z$5:$AA$28,2,FALSE)</f>
        <v>#N/A</v>
      </c>
      <c r="L56" s="130" t="e">
        <f t="shared" si="10"/>
        <v>#N/A</v>
      </c>
      <c r="M56" s="131" t="e">
        <f t="shared" si="11"/>
        <v>#N/A</v>
      </c>
      <c r="N56" s="130"/>
      <c r="O56" s="132" t="e">
        <f t="shared" si="12"/>
        <v>#N/A</v>
      </c>
      <c r="P56" s="126"/>
      <c r="Q56" s="136" t="e">
        <f t="shared" si="13"/>
        <v>#N/A</v>
      </c>
      <c r="R56" s="136" t="e">
        <f t="shared" si="14"/>
        <v>#N/A</v>
      </c>
    </row>
    <row r="57" spans="1:18">
      <c r="A57" s="126"/>
      <c r="B57" s="126"/>
      <c r="C57" s="128"/>
      <c r="D57" s="128"/>
      <c r="E57" s="127"/>
      <c r="F57" s="127"/>
      <c r="G57" s="127"/>
      <c r="H57" s="127"/>
      <c r="I57" s="127"/>
      <c r="J57" s="129" t="e">
        <f>D57*VLOOKUP(E57,Parser!$Z$5:$AA$28,2,FALSE)</f>
        <v>#N/A</v>
      </c>
      <c r="K57" s="129" t="e">
        <f>C57*VLOOKUP($E57,Parser!$Z$5:$AA$28,2,FALSE)</f>
        <v>#N/A</v>
      </c>
      <c r="L57" s="130" t="e">
        <f t="shared" si="10"/>
        <v>#N/A</v>
      </c>
      <c r="M57" s="131" t="e">
        <f t="shared" si="11"/>
        <v>#N/A</v>
      </c>
      <c r="N57" s="130"/>
      <c r="O57" s="132" t="e">
        <f t="shared" si="12"/>
        <v>#N/A</v>
      </c>
      <c r="P57" s="126"/>
      <c r="Q57" s="136" t="e">
        <f t="shared" si="13"/>
        <v>#N/A</v>
      </c>
      <c r="R57" s="136" t="e">
        <f t="shared" si="14"/>
        <v>#N/A</v>
      </c>
    </row>
    <row r="58" spans="1:18">
      <c r="A58" s="126"/>
      <c r="B58" s="126"/>
      <c r="C58" s="128"/>
      <c r="D58" s="128"/>
      <c r="E58" s="127"/>
      <c r="F58" s="127"/>
      <c r="G58" s="127"/>
      <c r="H58" s="127"/>
      <c r="I58" s="127"/>
      <c r="J58" s="129" t="e">
        <f>D58*VLOOKUP(E58,Parser!$Z$5:$AA$28,2,FALSE)</f>
        <v>#N/A</v>
      </c>
      <c r="K58" s="129" t="e">
        <f>C58*VLOOKUP($E58,Parser!$Z$5:$AA$28,2,FALSE)</f>
        <v>#N/A</v>
      </c>
      <c r="L58" s="130" t="e">
        <f t="shared" si="10"/>
        <v>#N/A</v>
      </c>
      <c r="M58" s="131" t="e">
        <f t="shared" si="11"/>
        <v>#N/A</v>
      </c>
      <c r="N58" s="130"/>
      <c r="O58" s="132" t="e">
        <f t="shared" si="12"/>
        <v>#N/A</v>
      </c>
      <c r="P58" s="126"/>
      <c r="Q58" s="136" t="e">
        <f t="shared" si="13"/>
        <v>#N/A</v>
      </c>
      <c r="R58" s="136" t="e">
        <f t="shared" si="14"/>
        <v>#N/A</v>
      </c>
    </row>
    <row r="59" spans="1:18">
      <c r="A59" s="126"/>
      <c r="B59" s="126"/>
      <c r="C59" s="128"/>
      <c r="D59" s="128"/>
      <c r="E59" s="127"/>
      <c r="F59" s="127"/>
      <c r="G59" s="127"/>
      <c r="H59" s="127"/>
      <c r="I59" s="127"/>
      <c r="J59" s="129" t="e">
        <f>D59*VLOOKUP(E59,Parser!$Z$5:$AA$28,2,FALSE)</f>
        <v>#N/A</v>
      </c>
      <c r="K59" s="129" t="e">
        <f>C59*VLOOKUP($E59,Parser!$Z$5:$AA$28,2,FALSE)</f>
        <v>#N/A</v>
      </c>
      <c r="L59" s="130" t="e">
        <f t="shared" si="10"/>
        <v>#N/A</v>
      </c>
      <c r="M59" s="131" t="e">
        <f t="shared" si="11"/>
        <v>#N/A</v>
      </c>
      <c r="N59" s="130"/>
      <c r="O59" s="132" t="e">
        <f t="shared" si="12"/>
        <v>#N/A</v>
      </c>
      <c r="P59" s="126"/>
      <c r="Q59" s="136" t="e">
        <f t="shared" si="13"/>
        <v>#N/A</v>
      </c>
      <c r="R59" s="136" t="e">
        <f t="shared" si="14"/>
        <v>#N/A</v>
      </c>
    </row>
    <row r="60" spans="1:18">
      <c r="A60" s="126"/>
      <c r="B60" s="126"/>
      <c r="C60" s="128"/>
      <c r="D60" s="128"/>
      <c r="E60" s="127"/>
      <c r="F60" s="127"/>
      <c r="G60" s="127"/>
      <c r="H60" s="127"/>
      <c r="I60" s="127"/>
      <c r="J60" s="129" t="e">
        <f>D60*VLOOKUP(E60,Parser!$Z$5:$AA$28,2,FALSE)</f>
        <v>#N/A</v>
      </c>
      <c r="K60" s="129" t="e">
        <f>C60*VLOOKUP($E60,Parser!$Z$5:$AA$28,2,FALSE)</f>
        <v>#N/A</v>
      </c>
      <c r="L60" s="130" t="e">
        <f t="shared" si="10"/>
        <v>#N/A</v>
      </c>
      <c r="M60" s="131" t="e">
        <f t="shared" si="11"/>
        <v>#N/A</v>
      </c>
      <c r="N60" s="130"/>
      <c r="O60" s="132" t="e">
        <f t="shared" si="12"/>
        <v>#N/A</v>
      </c>
      <c r="P60" s="126"/>
      <c r="Q60" s="136" t="e">
        <f t="shared" si="13"/>
        <v>#N/A</v>
      </c>
      <c r="R60" s="136" t="e">
        <f t="shared" si="14"/>
        <v>#N/A</v>
      </c>
    </row>
    <row r="61" spans="1:18">
      <c r="A61" s="136"/>
      <c r="B61" s="136"/>
      <c r="C61" s="178"/>
      <c r="D61" s="178"/>
      <c r="E61" s="147"/>
      <c r="F61" s="147"/>
      <c r="G61" s="147"/>
      <c r="H61" s="147"/>
      <c r="I61" s="147"/>
      <c r="J61" s="179"/>
      <c r="K61" s="179"/>
      <c r="L61" s="104"/>
      <c r="M61" s="180"/>
      <c r="N61" s="104"/>
      <c r="O61" s="181"/>
      <c r="P61" s="136"/>
      <c r="Q61" s="136"/>
      <c r="R61" s="136"/>
    </row>
    <row r="63" spans="1:18">
      <c r="C63" s="116"/>
      <c r="D63" s="117"/>
    </row>
    <row r="64" spans="1:18">
      <c r="C64" s="99" t="s">
        <v>312</v>
      </c>
      <c r="D64" s="100"/>
    </row>
    <row r="65" spans="3:4">
      <c r="C65" s="107" t="s">
        <v>311</v>
      </c>
      <c r="D65" s="108">
        <v>230000</v>
      </c>
    </row>
    <row r="66" spans="3:4">
      <c r="C66" s="113" t="s">
        <v>302</v>
      </c>
      <c r="D66" s="125">
        <v>29</v>
      </c>
    </row>
    <row r="67" spans="3:4">
      <c r="C67" s="109" t="s">
        <v>307</v>
      </c>
      <c r="D67" s="110">
        <v>2</v>
      </c>
    </row>
    <row r="68" spans="3:4">
      <c r="C68" s="111" t="s">
        <v>309</v>
      </c>
      <c r="D68" s="112">
        <f>IF(VALUE(TRIM(D65))*VLOOKUP(D66,Parser!Z5:AA33,2,FALSE)&lt;250*(0.8+0.200001*D67),0,((VALUE(TRIM(D65))*VLOOKUP(D66,Parser!Z5:AA33,2,FALSE)/(0.8+0.2*D67)-250)/0.0013)^(1/6.47)+1)</f>
        <v>19.681933846471349</v>
      </c>
    </row>
    <row r="69" spans="3:4">
      <c r="C69" s="106"/>
      <c r="D69" s="104"/>
    </row>
    <row r="70" spans="3:4">
      <c r="C70" s="123"/>
      <c r="D70" s="124"/>
    </row>
    <row r="71" spans="3:4">
      <c r="C71" s="99" t="s">
        <v>313</v>
      </c>
      <c r="D71" s="100"/>
    </row>
    <row r="72" spans="3:4">
      <c r="C72" s="113" t="s">
        <v>308</v>
      </c>
      <c r="D72" s="108">
        <v>10000</v>
      </c>
    </row>
    <row r="73" spans="3:4">
      <c r="C73" s="109" t="s">
        <v>1</v>
      </c>
      <c r="D73" s="114">
        <v>6</v>
      </c>
    </row>
    <row r="74" spans="3:4">
      <c r="C74" s="111" t="s">
        <v>310</v>
      </c>
      <c r="D74" s="115">
        <f>((D72/((0.5768*(D73-1)^0.342)*0.0107))^(1/5.86))+1</f>
        <v>11.443931922710398</v>
      </c>
    </row>
  </sheetData>
  <sheetProtection selectLockedCells="1"/>
  <phoneticPr fontId="7" type="noConversion"/>
  <pageMargins left="0.75" right="0.75" top="1" bottom="1" header="0.5" footer="0.5"/>
  <pageSetup paperSize="9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>
  <dimension ref="A1:N27"/>
  <sheetViews>
    <sheetView workbookViewId="0">
      <selection activeCell="G27" sqref="G27"/>
    </sheetView>
  </sheetViews>
  <sheetFormatPr defaultColWidth="9.109375" defaultRowHeight="13.2"/>
  <cols>
    <col min="1" max="13" width="9.109375" style="102" customWidth="1"/>
    <col min="14" max="14" width="25.109375" style="102" customWidth="1"/>
    <col min="15" max="16384" width="9.109375" style="102"/>
  </cols>
  <sheetData>
    <row r="1" spans="1:12">
      <c r="A1" s="102" t="s">
        <v>91</v>
      </c>
    </row>
    <row r="2" spans="1:12">
      <c r="B2" s="126" t="s">
        <v>478</v>
      </c>
      <c r="C2" s="126"/>
      <c r="D2" s="126"/>
      <c r="F2" s="126" t="s">
        <v>482</v>
      </c>
      <c r="G2" s="126"/>
      <c r="H2" s="126"/>
      <c r="J2" s="126" t="s">
        <v>483</v>
      </c>
      <c r="K2" s="126"/>
      <c r="L2" s="126"/>
    </row>
    <row r="3" spans="1:12">
      <c r="B3" s="126" t="s">
        <v>479</v>
      </c>
      <c r="C3" s="126" t="s">
        <v>480</v>
      </c>
      <c r="D3" s="126" t="s">
        <v>481</v>
      </c>
      <c r="F3" s="126" t="s">
        <v>479</v>
      </c>
      <c r="G3" s="126" t="s">
        <v>480</v>
      </c>
      <c r="H3" s="126" t="s">
        <v>481</v>
      </c>
      <c r="J3" s="126" t="s">
        <v>479</v>
      </c>
      <c r="K3" s="126" t="s">
        <v>480</v>
      </c>
      <c r="L3" s="126" t="s">
        <v>481</v>
      </c>
    </row>
    <row r="4" spans="1:12">
      <c r="B4" s="169">
        <v>14</v>
      </c>
      <c r="C4" s="169">
        <v>14</v>
      </c>
      <c r="D4" s="169">
        <v>14</v>
      </c>
      <c r="F4" s="169">
        <v>11</v>
      </c>
      <c r="G4" s="169">
        <v>16</v>
      </c>
      <c r="H4" s="169">
        <v>15</v>
      </c>
      <c r="J4" s="169">
        <v>10</v>
      </c>
      <c r="K4" s="169">
        <v>10</v>
      </c>
      <c r="L4" s="169">
        <v>10</v>
      </c>
    </row>
    <row r="5" spans="1:12">
      <c r="B5" s="126"/>
      <c r="C5" s="126"/>
      <c r="D5" s="126"/>
      <c r="F5" s="126"/>
      <c r="G5" s="126"/>
      <c r="H5" s="126"/>
      <c r="J5" s="126"/>
      <c r="K5" s="126"/>
      <c r="L5" s="126"/>
    </row>
    <row r="6" spans="1:12">
      <c r="B6" s="126" t="s">
        <v>482</v>
      </c>
      <c r="C6" s="126"/>
      <c r="D6" s="126"/>
      <c r="F6" s="126" t="s">
        <v>483</v>
      </c>
      <c r="G6" s="126"/>
      <c r="H6" s="126"/>
      <c r="J6" s="126" t="s">
        <v>478</v>
      </c>
      <c r="K6" s="126"/>
      <c r="L6" s="126"/>
    </row>
    <row r="7" spans="1:12">
      <c r="B7" s="126" t="s">
        <v>479</v>
      </c>
      <c r="C7" s="126" t="s">
        <v>480</v>
      </c>
      <c r="D7" s="126" t="s">
        <v>481</v>
      </c>
      <c r="F7" s="126" t="s">
        <v>479</v>
      </c>
      <c r="G7" s="126" t="s">
        <v>480</v>
      </c>
      <c r="H7" s="126" t="s">
        <v>481</v>
      </c>
      <c r="J7" s="126" t="s">
        <v>479</v>
      </c>
      <c r="K7" s="126" t="s">
        <v>480</v>
      </c>
      <c r="L7" s="126" t="s">
        <v>481</v>
      </c>
    </row>
    <row r="8" spans="1:12">
      <c r="B8" s="126">
        <f>1.05*(B4/0.9)</f>
        <v>16.333333333333332</v>
      </c>
      <c r="C8" s="126">
        <f>1.05*(C4/0.9)</f>
        <v>16.333333333333332</v>
      </c>
      <c r="D8" s="126">
        <f>1.05*(D4/0.9)</f>
        <v>16.333333333333332</v>
      </c>
      <c r="F8" s="126">
        <f>1.2*(F4/1.05)</f>
        <v>12.571428571428571</v>
      </c>
      <c r="G8" s="126">
        <f>1.2*(G4/1.05)</f>
        <v>18.285714285714285</v>
      </c>
      <c r="H8" s="126">
        <f>1.2*(H4/1.05)</f>
        <v>17.142857142857142</v>
      </c>
      <c r="J8" s="126">
        <f>0.9*(J4/1.2)</f>
        <v>7.5000000000000009</v>
      </c>
      <c r="K8" s="126">
        <f>0.9*(K4/1.2)</f>
        <v>7.5000000000000009</v>
      </c>
      <c r="L8" s="126">
        <f>0.9*(L4/1.2)</f>
        <v>7.5000000000000009</v>
      </c>
    </row>
    <row r="9" spans="1:12">
      <c r="B9" s="126"/>
      <c r="C9" s="126"/>
      <c r="D9" s="126"/>
      <c r="F9" s="126"/>
      <c r="G9" s="126"/>
      <c r="H9" s="126"/>
      <c r="J9" s="126"/>
      <c r="K9" s="126"/>
      <c r="L9" s="126"/>
    </row>
    <row r="10" spans="1:12">
      <c r="B10" s="126" t="s">
        <v>483</v>
      </c>
      <c r="C10" s="126"/>
      <c r="D10" s="126"/>
      <c r="F10" s="126" t="s">
        <v>478</v>
      </c>
      <c r="G10" s="126"/>
      <c r="H10" s="126"/>
      <c r="J10" s="126" t="s">
        <v>482</v>
      </c>
      <c r="K10" s="126"/>
      <c r="L10" s="126"/>
    </row>
    <row r="11" spans="1:12">
      <c r="B11" s="126" t="s">
        <v>479</v>
      </c>
      <c r="C11" s="126" t="s">
        <v>480</v>
      </c>
      <c r="D11" s="126" t="s">
        <v>481</v>
      </c>
      <c r="F11" s="126" t="s">
        <v>479</v>
      </c>
      <c r="G11" s="126" t="s">
        <v>480</v>
      </c>
      <c r="H11" s="126" t="s">
        <v>481</v>
      </c>
      <c r="J11" s="126" t="s">
        <v>479</v>
      </c>
      <c r="K11" s="126" t="s">
        <v>480</v>
      </c>
      <c r="L11" s="126" t="s">
        <v>481</v>
      </c>
    </row>
    <row r="12" spans="1:12">
      <c r="B12" s="126">
        <f>1.2*(B4/0.9)</f>
        <v>18.666666666666664</v>
      </c>
      <c r="C12" s="126">
        <f>1.2*(C4/0.9)</f>
        <v>18.666666666666664</v>
      </c>
      <c r="D12" s="126">
        <f>1.2*(D4/0.9)</f>
        <v>18.666666666666664</v>
      </c>
      <c r="F12" s="126">
        <f>0.9*(F4/1.05)</f>
        <v>9.4285714285714288</v>
      </c>
      <c r="G12" s="126">
        <f>0.9*(G4/1.05)</f>
        <v>13.714285714285714</v>
      </c>
      <c r="H12" s="126">
        <f>0.9*(H4/1.05)</f>
        <v>12.857142857142856</v>
      </c>
      <c r="J12" s="126">
        <f>1.05*(J4/1.2)</f>
        <v>8.7500000000000018</v>
      </c>
      <c r="K12" s="126">
        <f>1.05*(K4/1.2)</f>
        <v>8.7500000000000018</v>
      </c>
      <c r="L12" s="126">
        <f>1.05*(L4/1.2)</f>
        <v>8.7500000000000018</v>
      </c>
    </row>
    <row r="14" spans="1:12">
      <c r="A14" s="102" t="s">
        <v>283</v>
      </c>
    </row>
    <row r="15" spans="1:12">
      <c r="B15" s="126" t="s">
        <v>478</v>
      </c>
      <c r="C15" s="126"/>
      <c r="D15" s="126"/>
      <c r="F15" s="126" t="s">
        <v>482</v>
      </c>
      <c r="G15" s="126"/>
      <c r="H15" s="126"/>
      <c r="J15" s="126" t="s">
        <v>483</v>
      </c>
      <c r="K15" s="126"/>
      <c r="L15" s="126"/>
    </row>
    <row r="16" spans="1:12">
      <c r="B16" s="126" t="s">
        <v>479</v>
      </c>
      <c r="C16" s="126" t="s">
        <v>480</v>
      </c>
      <c r="D16" s="126" t="s">
        <v>481</v>
      </c>
      <c r="F16" s="126" t="s">
        <v>479</v>
      </c>
      <c r="G16" s="126" t="s">
        <v>480</v>
      </c>
      <c r="H16" s="126" t="s">
        <v>481</v>
      </c>
      <c r="J16" s="126" t="s">
        <v>479</v>
      </c>
      <c r="K16" s="126" t="s">
        <v>480</v>
      </c>
      <c r="L16" s="126" t="s">
        <v>481</v>
      </c>
    </row>
    <row r="17" spans="2:14">
      <c r="B17" s="169">
        <v>14</v>
      </c>
      <c r="C17" s="169">
        <v>14</v>
      </c>
      <c r="D17" s="169">
        <v>14</v>
      </c>
      <c r="F17" s="169">
        <v>10</v>
      </c>
      <c r="G17" s="169">
        <v>14.6</v>
      </c>
      <c r="H17" s="169">
        <v>10</v>
      </c>
      <c r="J17" s="169">
        <v>10</v>
      </c>
      <c r="K17" s="169">
        <v>10</v>
      </c>
      <c r="L17" s="169">
        <v>10</v>
      </c>
    </row>
    <row r="18" spans="2:14">
      <c r="B18" s="126"/>
      <c r="C18" s="126"/>
      <c r="D18" s="126"/>
      <c r="F18" s="126"/>
      <c r="G18" s="126"/>
      <c r="H18" s="126"/>
      <c r="J18" s="126"/>
      <c r="K18" s="126"/>
      <c r="L18" s="126"/>
    </row>
    <row r="19" spans="2:14">
      <c r="B19" s="126" t="s">
        <v>482</v>
      </c>
      <c r="C19" s="126"/>
      <c r="D19" s="126"/>
      <c r="F19" s="126" t="s">
        <v>483</v>
      </c>
      <c r="G19" s="126"/>
      <c r="H19" s="126"/>
      <c r="J19" s="126" t="s">
        <v>478</v>
      </c>
      <c r="K19" s="126"/>
      <c r="L19" s="126"/>
    </row>
    <row r="20" spans="2:14">
      <c r="B20" s="126" t="s">
        <v>479</v>
      </c>
      <c r="C20" s="126" t="s">
        <v>480</v>
      </c>
      <c r="D20" s="126" t="s">
        <v>481</v>
      </c>
      <c r="F20" s="126" t="s">
        <v>479</v>
      </c>
      <c r="G20" s="126" t="s">
        <v>480</v>
      </c>
      <c r="H20" s="126" t="s">
        <v>481</v>
      </c>
      <c r="J20" s="126" t="s">
        <v>479</v>
      </c>
      <c r="K20" s="126" t="s">
        <v>480</v>
      </c>
      <c r="L20" s="126" t="s">
        <v>481</v>
      </c>
    </row>
    <row r="21" spans="2:14">
      <c r="B21" s="126">
        <f>1.05*(B17/1.15)</f>
        <v>12.782608695652176</v>
      </c>
      <c r="C21" s="126">
        <f>1.05*(C17/1.15)</f>
        <v>12.782608695652176</v>
      </c>
      <c r="D21" s="126">
        <f>1.05*(D17/1.15)</f>
        <v>12.782608695652176</v>
      </c>
      <c r="F21" s="126">
        <f>0.9*(F17/1.05)</f>
        <v>8.5714285714285712</v>
      </c>
      <c r="G21" s="126">
        <f>0.9*(G17/1.05)</f>
        <v>12.514285714285712</v>
      </c>
      <c r="H21" s="126">
        <f>0.9*(H17/1.05)</f>
        <v>8.5714285714285712</v>
      </c>
      <c r="J21" s="126">
        <f>1.15*(J17/0.9)</f>
        <v>12.777777777777777</v>
      </c>
      <c r="K21" s="126">
        <f>1.15*(K17/0.9)</f>
        <v>12.777777777777777</v>
      </c>
      <c r="L21" s="126">
        <f>1.15*(L17/0.9)</f>
        <v>12.777777777777777</v>
      </c>
    </row>
    <row r="22" spans="2:14">
      <c r="B22" s="126"/>
      <c r="C22" s="126"/>
      <c r="D22" s="126"/>
      <c r="F22" s="126"/>
      <c r="G22" s="126"/>
      <c r="H22" s="126"/>
      <c r="J22" s="126"/>
      <c r="K22" s="126"/>
      <c r="L22" s="126"/>
    </row>
    <row r="23" spans="2:14">
      <c r="B23" s="126" t="s">
        <v>483</v>
      </c>
      <c r="C23" s="126"/>
      <c r="D23" s="126"/>
      <c r="F23" s="126" t="s">
        <v>478</v>
      </c>
      <c r="G23" s="126"/>
      <c r="H23" s="126"/>
      <c r="J23" s="126" t="s">
        <v>482</v>
      </c>
      <c r="K23" s="126"/>
      <c r="L23" s="126"/>
    </row>
    <row r="24" spans="2:14">
      <c r="B24" s="126" t="s">
        <v>479</v>
      </c>
      <c r="C24" s="126" t="s">
        <v>480</v>
      </c>
      <c r="D24" s="126" t="s">
        <v>481</v>
      </c>
      <c r="F24" s="126" t="s">
        <v>479</v>
      </c>
      <c r="G24" s="126" t="s">
        <v>480</v>
      </c>
      <c r="H24" s="126" t="s">
        <v>481</v>
      </c>
      <c r="J24" s="126" t="s">
        <v>479</v>
      </c>
      <c r="K24" s="126" t="s">
        <v>480</v>
      </c>
      <c r="L24" s="126" t="s">
        <v>481</v>
      </c>
    </row>
    <row r="25" spans="2:14">
      <c r="B25" s="126">
        <f>0.9*(B17/1.15)</f>
        <v>10.956521739130435</v>
      </c>
      <c r="C25" s="126">
        <f>0.9*(C17/1.15)</f>
        <v>10.956521739130435</v>
      </c>
      <c r="D25" s="126">
        <f>0.9*(D17/1.15)</f>
        <v>10.956521739130435</v>
      </c>
      <c r="F25" s="126">
        <f>1.15*(F17/1.05)</f>
        <v>10.952380952380951</v>
      </c>
      <c r="G25" s="126">
        <f>1.15*(G17/1.05)</f>
        <v>15.990476190476187</v>
      </c>
      <c r="H25" s="126">
        <f>1.15*(H17/1.05)</f>
        <v>10.952380952380951</v>
      </c>
      <c r="J25" s="126">
        <f>1.05*(J17/0.9)</f>
        <v>11.666666666666666</v>
      </c>
      <c r="K25" s="126">
        <f>1.05*(K17/0.9)</f>
        <v>11.666666666666666</v>
      </c>
      <c r="L25" s="126">
        <f>1.05*(L17/0.9)</f>
        <v>11.666666666666666</v>
      </c>
    </row>
    <row r="27" spans="2:14" ht="158.4">
      <c r="N27" s="65" t="s">
        <v>484</v>
      </c>
    </row>
  </sheetData>
  <phoneticPr fontId="7" type="noConversion"/>
  <pageMargins left="0.75" right="0.75" top="1" bottom="1" header="0.5" footer="0.5"/>
  <pageSetup paperSize="9" orientation="portrait" horizontalDpi="4294967293" verticalDpi="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>
  <dimension ref="A1:I3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21" sqref="D21"/>
    </sheetView>
  </sheetViews>
  <sheetFormatPr defaultColWidth="9.109375" defaultRowHeight="13.2"/>
  <cols>
    <col min="1" max="1" width="9.109375" style="102" customWidth="1"/>
    <col min="2" max="2" width="16.109375" style="173" customWidth="1"/>
    <col min="3" max="3" width="8.88671875" style="173" customWidth="1"/>
    <col min="4" max="4" width="10" style="173" customWidth="1"/>
    <col min="5" max="5" width="12.33203125" style="173" customWidth="1"/>
    <col min="6" max="6" width="12.88671875" style="173" customWidth="1"/>
    <col min="7" max="7" width="9.109375" style="103" customWidth="1"/>
    <col min="8" max="8" width="9.109375" style="173" customWidth="1"/>
    <col min="9" max="16384" width="9.109375" style="102"/>
  </cols>
  <sheetData>
    <row r="1" spans="1:9" s="176" customFormat="1" ht="26.4">
      <c r="B1" s="170" t="s">
        <v>490</v>
      </c>
      <c r="C1" s="170" t="s">
        <v>487</v>
      </c>
      <c r="D1" s="170" t="s">
        <v>488</v>
      </c>
      <c r="E1" s="170" t="s">
        <v>489</v>
      </c>
      <c r="F1" s="170"/>
      <c r="G1" s="177" t="s">
        <v>516</v>
      </c>
      <c r="H1" s="177" t="s">
        <v>517</v>
      </c>
      <c r="I1" s="174" t="s">
        <v>486</v>
      </c>
    </row>
    <row r="2" spans="1:9">
      <c r="A2" s="102">
        <v>1</v>
      </c>
      <c r="B2" s="171">
        <v>4.5</v>
      </c>
      <c r="C2" s="172">
        <v>6</v>
      </c>
      <c r="D2" s="172"/>
      <c r="E2" s="172">
        <v>0</v>
      </c>
      <c r="F2" s="175">
        <f t="shared" ref="F2:F7" si="0">B2+(C2-D2)*(0.2+(0.12*SQRT(E2)))</f>
        <v>5.7</v>
      </c>
      <c r="G2" s="103" t="s">
        <v>493</v>
      </c>
      <c r="H2" s="173" t="s">
        <v>518</v>
      </c>
    </row>
    <row r="3" spans="1:9">
      <c r="A3" s="102">
        <v>2</v>
      </c>
      <c r="B3" s="172">
        <f>F2</f>
        <v>5.7</v>
      </c>
      <c r="C3" s="172">
        <v>4</v>
      </c>
      <c r="D3" s="172"/>
      <c r="E3" s="172">
        <v>0</v>
      </c>
      <c r="F3" s="175">
        <f t="shared" si="0"/>
        <v>6.5</v>
      </c>
      <c r="G3" s="103" t="s">
        <v>494</v>
      </c>
      <c r="H3" s="173" t="s">
        <v>519</v>
      </c>
    </row>
    <row r="4" spans="1:9">
      <c r="A4" s="102">
        <v>3</v>
      </c>
      <c r="B4" s="172">
        <f>F3</f>
        <v>6.5</v>
      </c>
      <c r="C4" s="172">
        <v>3</v>
      </c>
      <c r="D4" s="172"/>
      <c r="E4" s="172">
        <v>0</v>
      </c>
      <c r="F4" s="175">
        <f t="shared" si="0"/>
        <v>7.1</v>
      </c>
      <c r="G4" s="103" t="s">
        <v>495</v>
      </c>
      <c r="H4" s="173" t="s">
        <v>520</v>
      </c>
    </row>
    <row r="5" spans="1:9">
      <c r="A5" s="102">
        <v>4</v>
      </c>
      <c r="B5" s="172">
        <f>F4</f>
        <v>7.1</v>
      </c>
      <c r="C5" s="172">
        <v>2</v>
      </c>
      <c r="D5" s="172"/>
      <c r="E5" s="172">
        <v>0</v>
      </c>
      <c r="F5" s="175">
        <f t="shared" si="0"/>
        <v>7.5</v>
      </c>
      <c r="G5" s="103" t="s">
        <v>496</v>
      </c>
      <c r="H5" s="173" t="s">
        <v>521</v>
      </c>
    </row>
    <row r="6" spans="1:9">
      <c r="A6" s="102">
        <v>5</v>
      </c>
      <c r="B6" s="172">
        <f>F5</f>
        <v>7.5</v>
      </c>
      <c r="C6" s="172">
        <v>1</v>
      </c>
      <c r="D6" s="172"/>
      <c r="E6" s="172">
        <v>0</v>
      </c>
      <c r="F6" s="175">
        <f t="shared" si="0"/>
        <v>7.7</v>
      </c>
      <c r="G6" s="103" t="s">
        <v>497</v>
      </c>
      <c r="H6" s="173" t="s">
        <v>522</v>
      </c>
    </row>
    <row r="7" spans="1:9">
      <c r="A7" s="102">
        <v>6</v>
      </c>
      <c r="B7" s="172">
        <f>F6</f>
        <v>7.7</v>
      </c>
      <c r="C7" s="172">
        <v>1</v>
      </c>
      <c r="D7" s="172"/>
      <c r="E7" s="172">
        <v>0</v>
      </c>
      <c r="F7" s="175">
        <f t="shared" si="0"/>
        <v>7.9</v>
      </c>
      <c r="G7" s="103" t="s">
        <v>498</v>
      </c>
      <c r="H7" s="173" t="s">
        <v>523</v>
      </c>
    </row>
    <row r="8" spans="1:9">
      <c r="A8" s="102">
        <v>7</v>
      </c>
      <c r="B8" s="172">
        <f t="shared" ref="B8:B30" si="1">F7</f>
        <v>7.9</v>
      </c>
      <c r="C8" s="172"/>
      <c r="D8" s="172">
        <v>4</v>
      </c>
      <c r="E8" s="172">
        <v>0</v>
      </c>
      <c r="F8" s="175">
        <f t="shared" ref="F8:F30" si="2">B8+(C8-D8)*(0.2+(0.12*SQRT(E8)))</f>
        <v>7.1000000000000005</v>
      </c>
      <c r="G8" s="103" t="s">
        <v>499</v>
      </c>
      <c r="H8" s="173" t="s">
        <v>524</v>
      </c>
    </row>
    <row r="9" spans="1:9">
      <c r="A9" s="102">
        <v>8</v>
      </c>
      <c r="B9" s="172">
        <f t="shared" si="1"/>
        <v>7.1000000000000005</v>
      </c>
      <c r="C9" s="172">
        <v>5</v>
      </c>
      <c r="D9" s="172"/>
      <c r="E9" s="172">
        <v>0</v>
      </c>
      <c r="F9" s="175">
        <f t="shared" si="2"/>
        <v>8.1000000000000014</v>
      </c>
      <c r="G9" s="103" t="s">
        <v>500</v>
      </c>
      <c r="H9" s="173" t="s">
        <v>525</v>
      </c>
    </row>
    <row r="10" spans="1:9">
      <c r="A10" s="102">
        <v>9</v>
      </c>
      <c r="B10" s="172">
        <f t="shared" si="1"/>
        <v>8.1000000000000014</v>
      </c>
      <c r="C10" s="172">
        <v>1</v>
      </c>
      <c r="D10" s="172"/>
      <c r="E10" s="172">
        <v>0</v>
      </c>
      <c r="F10" s="175">
        <f t="shared" si="2"/>
        <v>8.3000000000000007</v>
      </c>
      <c r="G10" s="103" t="s">
        <v>501</v>
      </c>
      <c r="H10" s="173" t="s">
        <v>526</v>
      </c>
    </row>
    <row r="11" spans="1:9">
      <c r="A11" s="102">
        <v>10</v>
      </c>
      <c r="B11" s="172">
        <f t="shared" si="1"/>
        <v>8.3000000000000007</v>
      </c>
      <c r="C11" s="172">
        <v>3</v>
      </c>
      <c r="D11" s="172"/>
      <c r="E11" s="172">
        <v>0</v>
      </c>
      <c r="F11" s="175">
        <f t="shared" si="2"/>
        <v>8.9</v>
      </c>
      <c r="G11" s="103" t="s">
        <v>502</v>
      </c>
      <c r="H11" s="173" t="s">
        <v>527</v>
      </c>
    </row>
    <row r="12" spans="1:9">
      <c r="A12" s="102">
        <v>11</v>
      </c>
      <c r="B12" s="172">
        <f t="shared" si="1"/>
        <v>8.9</v>
      </c>
      <c r="C12" s="172">
        <v>2</v>
      </c>
      <c r="D12" s="172"/>
      <c r="E12" s="172">
        <v>0</v>
      </c>
      <c r="F12" s="175">
        <f t="shared" si="2"/>
        <v>9.3000000000000007</v>
      </c>
      <c r="G12" s="103" t="s">
        <v>503</v>
      </c>
      <c r="H12" s="173" t="s">
        <v>528</v>
      </c>
    </row>
    <row r="13" spans="1:9">
      <c r="A13" s="102">
        <v>12</v>
      </c>
      <c r="B13" s="172">
        <f t="shared" si="1"/>
        <v>9.3000000000000007</v>
      </c>
      <c r="C13" s="172">
        <v>2</v>
      </c>
      <c r="D13" s="172"/>
      <c r="E13" s="172">
        <v>0</v>
      </c>
      <c r="F13" s="175">
        <f t="shared" si="2"/>
        <v>9.7000000000000011</v>
      </c>
      <c r="G13" s="103" t="s">
        <v>504</v>
      </c>
      <c r="H13" s="173" t="s">
        <v>529</v>
      </c>
    </row>
    <row r="14" spans="1:9">
      <c r="A14" s="102">
        <v>13</v>
      </c>
      <c r="B14" s="172">
        <f t="shared" si="1"/>
        <v>9.7000000000000011</v>
      </c>
      <c r="C14" s="172">
        <v>0</v>
      </c>
      <c r="D14" s="172"/>
      <c r="E14" s="172">
        <v>0</v>
      </c>
      <c r="F14" s="175">
        <f t="shared" si="2"/>
        <v>9.7000000000000011</v>
      </c>
      <c r="G14" s="103" t="s">
        <v>505</v>
      </c>
      <c r="H14" s="173" t="s">
        <v>530</v>
      </c>
    </row>
    <row r="15" spans="1:9">
      <c r="A15" s="102">
        <v>14</v>
      </c>
      <c r="B15" s="172">
        <f t="shared" si="1"/>
        <v>9.7000000000000011</v>
      </c>
      <c r="C15" s="172"/>
      <c r="D15" s="172">
        <v>1</v>
      </c>
      <c r="E15" s="172">
        <v>0</v>
      </c>
      <c r="F15" s="175">
        <f t="shared" si="2"/>
        <v>9.5000000000000018</v>
      </c>
      <c r="G15" s="103" t="s">
        <v>506</v>
      </c>
      <c r="H15" s="173" t="s">
        <v>531</v>
      </c>
    </row>
    <row r="16" spans="1:9">
      <c r="A16" s="102">
        <v>15</v>
      </c>
      <c r="B16" s="172">
        <v>4.5</v>
      </c>
      <c r="C16" s="172"/>
      <c r="D16" s="172">
        <v>3</v>
      </c>
      <c r="E16" s="172">
        <v>0</v>
      </c>
      <c r="F16" s="175">
        <f t="shared" si="2"/>
        <v>3.9</v>
      </c>
      <c r="G16" s="103" t="s">
        <v>507</v>
      </c>
      <c r="H16" s="173" t="s">
        <v>532</v>
      </c>
    </row>
    <row r="17" spans="1:8">
      <c r="A17" s="102">
        <v>16</v>
      </c>
      <c r="B17" s="172">
        <f t="shared" si="1"/>
        <v>3.9</v>
      </c>
      <c r="C17" s="172">
        <v>1</v>
      </c>
      <c r="D17" s="172"/>
      <c r="E17" s="172">
        <v>0</v>
      </c>
      <c r="F17" s="175">
        <f t="shared" si="2"/>
        <v>4.0999999999999996</v>
      </c>
      <c r="G17" s="103" t="s">
        <v>508</v>
      </c>
      <c r="H17" s="173" t="s">
        <v>533</v>
      </c>
    </row>
    <row r="18" spans="1:8">
      <c r="A18" s="102">
        <v>17</v>
      </c>
      <c r="B18" s="172">
        <f t="shared" si="1"/>
        <v>4.0999999999999996</v>
      </c>
      <c r="C18" s="172">
        <v>1</v>
      </c>
      <c r="D18" s="172"/>
      <c r="E18" s="172">
        <v>0</v>
      </c>
      <c r="F18" s="175">
        <f t="shared" si="2"/>
        <v>4.3</v>
      </c>
      <c r="G18" s="103" t="s">
        <v>509</v>
      </c>
      <c r="H18" s="173" t="s">
        <v>534</v>
      </c>
    </row>
    <row r="19" spans="1:8">
      <c r="A19" s="102">
        <v>18</v>
      </c>
      <c r="B19" s="172">
        <f t="shared" si="1"/>
        <v>4.3</v>
      </c>
      <c r="C19" s="172">
        <v>3</v>
      </c>
      <c r="D19" s="172"/>
      <c r="E19" s="172">
        <v>0</v>
      </c>
      <c r="F19" s="175">
        <v>5.5</v>
      </c>
      <c r="G19" s="103" t="s">
        <v>510</v>
      </c>
      <c r="H19" s="173" t="s">
        <v>535</v>
      </c>
    </row>
    <row r="20" spans="1:8">
      <c r="A20" s="102">
        <v>19</v>
      </c>
      <c r="B20" s="172">
        <f t="shared" si="1"/>
        <v>5.5</v>
      </c>
      <c r="C20" s="172">
        <v>1</v>
      </c>
      <c r="D20" s="172"/>
      <c r="E20" s="172">
        <v>0</v>
      </c>
      <c r="F20" s="175">
        <f t="shared" si="2"/>
        <v>5.7</v>
      </c>
      <c r="G20" s="103" t="s">
        <v>511</v>
      </c>
      <c r="H20" s="173" t="s">
        <v>536</v>
      </c>
    </row>
    <row r="21" spans="1:8">
      <c r="A21" s="102">
        <v>20</v>
      </c>
      <c r="B21" s="172">
        <f t="shared" si="1"/>
        <v>5.7</v>
      </c>
      <c r="C21" s="172"/>
      <c r="D21" s="172">
        <v>4</v>
      </c>
      <c r="E21" s="172">
        <v>0</v>
      </c>
      <c r="F21" s="175">
        <f t="shared" si="2"/>
        <v>4.9000000000000004</v>
      </c>
      <c r="G21" s="103" t="s">
        <v>512</v>
      </c>
      <c r="H21" s="173" t="s">
        <v>537</v>
      </c>
    </row>
    <row r="22" spans="1:8">
      <c r="A22" s="102">
        <v>21</v>
      </c>
      <c r="B22" s="172">
        <f t="shared" si="1"/>
        <v>4.9000000000000004</v>
      </c>
      <c r="C22" s="172"/>
      <c r="D22" s="172"/>
      <c r="E22" s="172">
        <v>0</v>
      </c>
      <c r="F22" s="175">
        <f t="shared" si="2"/>
        <v>4.9000000000000004</v>
      </c>
      <c r="G22" s="103" t="s">
        <v>513</v>
      </c>
      <c r="H22" s="173" t="s">
        <v>538</v>
      </c>
    </row>
    <row r="23" spans="1:8">
      <c r="A23" s="102">
        <v>22</v>
      </c>
      <c r="B23" s="172">
        <f t="shared" si="1"/>
        <v>4.9000000000000004</v>
      </c>
      <c r="C23" s="172"/>
      <c r="D23" s="172"/>
      <c r="E23" s="172">
        <v>0</v>
      </c>
      <c r="F23" s="175">
        <f t="shared" si="2"/>
        <v>4.9000000000000004</v>
      </c>
      <c r="G23" s="103" t="s">
        <v>514</v>
      </c>
      <c r="H23" s="173" t="s">
        <v>539</v>
      </c>
    </row>
    <row r="24" spans="1:8">
      <c r="A24" s="102">
        <v>23</v>
      </c>
      <c r="B24" s="172">
        <f t="shared" si="1"/>
        <v>4.9000000000000004</v>
      </c>
      <c r="C24" s="172"/>
      <c r="D24" s="172"/>
      <c r="E24" s="172">
        <v>0</v>
      </c>
      <c r="F24" s="175">
        <f t="shared" si="2"/>
        <v>4.9000000000000004</v>
      </c>
      <c r="G24" s="103" t="s">
        <v>515</v>
      </c>
      <c r="H24" s="173" t="s">
        <v>540</v>
      </c>
    </row>
    <row r="25" spans="1:8">
      <c r="A25" s="102">
        <v>24</v>
      </c>
      <c r="B25" s="172">
        <f t="shared" si="1"/>
        <v>4.9000000000000004</v>
      </c>
      <c r="C25" s="172"/>
      <c r="D25" s="172"/>
      <c r="E25" s="172">
        <v>0</v>
      </c>
      <c r="F25" s="175">
        <f t="shared" si="2"/>
        <v>4.9000000000000004</v>
      </c>
      <c r="G25" s="103" t="s">
        <v>491</v>
      </c>
      <c r="H25" s="173" t="s">
        <v>541</v>
      </c>
    </row>
    <row r="26" spans="1:8">
      <c r="A26" s="102">
        <v>25</v>
      </c>
      <c r="B26" s="172">
        <f t="shared" si="1"/>
        <v>4.9000000000000004</v>
      </c>
      <c r="C26" s="172"/>
      <c r="D26" s="172"/>
      <c r="E26" s="172">
        <v>0</v>
      </c>
      <c r="F26" s="175">
        <f t="shared" si="2"/>
        <v>4.9000000000000004</v>
      </c>
      <c r="G26" s="103" t="s">
        <v>492</v>
      </c>
      <c r="H26" s="173" t="s">
        <v>542</v>
      </c>
    </row>
    <row r="27" spans="1:8">
      <c r="A27" s="102">
        <v>26</v>
      </c>
      <c r="B27" s="172">
        <f t="shared" si="1"/>
        <v>4.9000000000000004</v>
      </c>
      <c r="C27" s="172"/>
      <c r="D27" s="172"/>
      <c r="E27" s="172">
        <v>0</v>
      </c>
      <c r="F27" s="175">
        <f t="shared" si="2"/>
        <v>4.9000000000000004</v>
      </c>
      <c r="H27" s="173" t="s">
        <v>543</v>
      </c>
    </row>
    <row r="28" spans="1:8">
      <c r="A28" s="102">
        <v>27</v>
      </c>
      <c r="B28" s="172">
        <f t="shared" si="1"/>
        <v>4.9000000000000004</v>
      </c>
      <c r="C28" s="172"/>
      <c r="D28" s="172"/>
      <c r="E28" s="172">
        <v>0</v>
      </c>
      <c r="F28" s="175">
        <f t="shared" si="2"/>
        <v>4.9000000000000004</v>
      </c>
      <c r="H28" s="173" t="s">
        <v>544</v>
      </c>
    </row>
    <row r="29" spans="1:8">
      <c r="A29" s="102">
        <v>28</v>
      </c>
      <c r="B29" s="172">
        <f t="shared" si="1"/>
        <v>4.9000000000000004</v>
      </c>
      <c r="C29" s="172"/>
      <c r="D29" s="172"/>
      <c r="E29" s="172">
        <v>0</v>
      </c>
      <c r="F29" s="175">
        <f t="shared" si="2"/>
        <v>4.9000000000000004</v>
      </c>
      <c r="H29" s="173" t="s">
        <v>545</v>
      </c>
    </row>
    <row r="30" spans="1:8">
      <c r="A30" s="102">
        <v>29</v>
      </c>
      <c r="B30" s="172">
        <f t="shared" si="1"/>
        <v>4.9000000000000004</v>
      </c>
      <c r="C30" s="172"/>
      <c r="D30" s="172"/>
      <c r="E30" s="172">
        <v>0</v>
      </c>
      <c r="F30" s="175">
        <f t="shared" si="2"/>
        <v>4.9000000000000004</v>
      </c>
      <c r="H30" s="173" t="s">
        <v>546</v>
      </c>
    </row>
  </sheetData>
  <phoneticPr fontId="7" type="noConversion"/>
  <pageMargins left="0.75" right="0.75" top="1" bottom="1" header="0.5" footer="0.5"/>
  <pageSetup paperSize="9"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>
  <dimension ref="A1:N43"/>
  <sheetViews>
    <sheetView workbookViewId="0">
      <pane ySplit="1" topLeftCell="A2" activePane="bottomLeft" state="frozen"/>
      <selection pane="bottomLeft" activeCell="H2" sqref="H2"/>
    </sheetView>
  </sheetViews>
  <sheetFormatPr defaultRowHeight="13.2"/>
  <cols>
    <col min="1" max="1" width="23.6640625" style="164" customWidth="1"/>
    <col min="2" max="2" width="6.33203125" style="164" customWidth="1"/>
    <col min="3" max="6" width="9.109375" style="90" customWidth="1"/>
    <col min="7" max="9" width="9.109375" style="8" customWidth="1"/>
    <col min="10" max="10" width="8.33203125" style="8" customWidth="1"/>
    <col min="11" max="11" width="15.109375" bestFit="1" customWidth="1"/>
  </cols>
  <sheetData>
    <row r="1" spans="1:10" s="168" customFormat="1" ht="39.6">
      <c r="A1" s="165" t="s">
        <v>460</v>
      </c>
      <c r="B1" s="165" t="s">
        <v>475</v>
      </c>
      <c r="C1" s="166" t="s">
        <v>472</v>
      </c>
      <c r="D1" s="166" t="s">
        <v>1</v>
      </c>
      <c r="E1" s="166" t="s">
        <v>461</v>
      </c>
      <c r="F1" s="166" t="s">
        <v>462</v>
      </c>
      <c r="G1" s="167" t="s">
        <v>463</v>
      </c>
      <c r="H1" s="167" t="s">
        <v>464</v>
      </c>
      <c r="I1" s="167" t="s">
        <v>465</v>
      </c>
      <c r="J1" s="167" t="s">
        <v>476</v>
      </c>
    </row>
    <row r="2" spans="1:10">
      <c r="A2" s="164" t="s">
        <v>324</v>
      </c>
      <c r="B2" s="164" t="s">
        <v>85</v>
      </c>
      <c r="C2" s="90">
        <v>10.5</v>
      </c>
      <c r="D2" s="90">
        <v>3</v>
      </c>
      <c r="E2" s="90">
        <v>3</v>
      </c>
      <c r="F2" s="90">
        <v>12</v>
      </c>
      <c r="G2" s="8">
        <f>(C2-1)*SQRT(IF((D2-1)&gt;7,7,(D2-1))/7)*SQRT(IF((E2-1)&gt;7,7,(E2-1))/7)*(1+SQRT((F2-1))*9/100)</f>
        <v>3.524489770215391</v>
      </c>
      <c r="H2" s="8">
        <f>(C2-1)*SQRT(IF((D2-0.5)&gt;7,7,(D2-0.5))/7)*SQRT(IF((E2-1)&gt;7,7,(E2-1))/7)*(1+SQRT((F2-1))*9/100)</f>
        <v>3.940499356102114</v>
      </c>
      <c r="I2" s="8">
        <f>(C2-1)*SQRT(IF((D2)&gt;7,7,(D2))/7)*SQRT(IF((E2-1)&gt;7,7,(E2-1))/7)*(1+SQRT((F2-1))*9/100)</f>
        <v>4.3166007703434195</v>
      </c>
      <c r="J2" s="8">
        <f>(C2-1)*SQRT(IF((D2-0.5)&gt;7,7,(D2-0.5))/7)*(1+SQRT((F2-1))*9/100)</f>
        <v>7.3719992616687167</v>
      </c>
    </row>
    <row r="3" spans="1:10">
      <c r="A3" s="164" t="s">
        <v>571</v>
      </c>
      <c r="B3" s="164" t="s">
        <v>85</v>
      </c>
      <c r="C3" s="90">
        <v>8</v>
      </c>
      <c r="D3" s="90">
        <v>7</v>
      </c>
      <c r="E3" s="90">
        <v>8</v>
      </c>
      <c r="F3" s="90">
        <v>3</v>
      </c>
      <c r="G3" s="8">
        <f t="shared" ref="G3:G35" si="0">(C3-1)*SQRT(IF((D3-1)&gt;7,7,(D3-1))/7)*SQRT(IF((E3-1)&gt;7,7,(E3-1))/7)*(1+SQRT((F3-1))*9/100)</f>
        <v>7.305604323499912</v>
      </c>
      <c r="H3" s="8">
        <f t="shared" ref="H3:H35" si="1">(C3-1)*SQRT(IF((D3-0.5)&gt;7,7,(D3-0.5))/7)*SQRT(IF((E3-1)&gt;7,7,(E3-1))/7)*(1+SQRT((F3-1))*9/100)</f>
        <v>7.6039140628912723</v>
      </c>
      <c r="I3" s="8">
        <f t="shared" ref="I3:I35" si="2">(C3-1)*SQRT(IF((D3)&gt;7,7,(D3))/7)*SQRT(IF((E3-1)&gt;7,7,(E3-1))/7)*(1+SQRT((F3-1))*9/100)</f>
        <v>7.8909545442950506</v>
      </c>
      <c r="J3" s="8">
        <f t="shared" ref="J3:J35" si="3">(C3-1)*SQRT(IF((D3-0.5)&gt;7,7,(D3-0.5))/7)*(1+SQRT((F3-1))*9/100)</f>
        <v>7.6039140628912723</v>
      </c>
    </row>
    <row r="4" spans="1:10">
      <c r="B4" s="164" t="s">
        <v>85</v>
      </c>
      <c r="G4" s="8" t="e">
        <f t="shared" si="0"/>
        <v>#NUM!</v>
      </c>
      <c r="H4" s="8" t="e">
        <f t="shared" si="1"/>
        <v>#NUM!</v>
      </c>
      <c r="I4" s="8" t="e">
        <f t="shared" si="2"/>
        <v>#NUM!</v>
      </c>
      <c r="J4" s="8" t="e">
        <f t="shared" si="3"/>
        <v>#NUM!</v>
      </c>
    </row>
    <row r="5" spans="1:10">
      <c r="A5" s="164" t="s">
        <v>572</v>
      </c>
      <c r="B5" s="164" t="s">
        <v>85</v>
      </c>
      <c r="C5" s="90">
        <v>14</v>
      </c>
      <c r="D5" s="90">
        <v>6</v>
      </c>
      <c r="E5" s="90">
        <v>6.5</v>
      </c>
      <c r="F5" s="90">
        <v>8</v>
      </c>
      <c r="G5" s="8">
        <f t="shared" si="0"/>
        <v>12.057952333415489</v>
      </c>
      <c r="H5" s="8">
        <f t="shared" si="1"/>
        <v>12.64648709810009</v>
      </c>
      <c r="I5" s="8">
        <f t="shared" si="2"/>
        <v>13.208824980667433</v>
      </c>
      <c r="J5" s="8">
        <f t="shared" si="3"/>
        <v>14.267161605059643</v>
      </c>
    </row>
    <row r="6" spans="1:10">
      <c r="A6" s="164" t="s">
        <v>552</v>
      </c>
      <c r="B6" s="164" t="s">
        <v>85</v>
      </c>
      <c r="C6" s="90">
        <v>14</v>
      </c>
      <c r="D6" s="90">
        <v>8</v>
      </c>
      <c r="E6" s="90">
        <v>7.5</v>
      </c>
      <c r="F6" s="90">
        <v>5</v>
      </c>
      <c r="G6" s="8">
        <f t="shared" si="0"/>
        <v>14.781993872855679</v>
      </c>
      <c r="H6" s="8">
        <f t="shared" si="1"/>
        <v>14.781993872855679</v>
      </c>
      <c r="I6" s="8">
        <f t="shared" si="2"/>
        <v>14.781993872855679</v>
      </c>
      <c r="J6" s="8">
        <f t="shared" si="3"/>
        <v>15.34</v>
      </c>
    </row>
    <row r="7" spans="1:10">
      <c r="A7" s="164" t="s">
        <v>426</v>
      </c>
      <c r="B7" s="164" t="s">
        <v>85</v>
      </c>
      <c r="C7" s="90">
        <v>10</v>
      </c>
      <c r="D7" s="90">
        <v>8</v>
      </c>
      <c r="E7" s="90">
        <v>5</v>
      </c>
      <c r="F7" s="90">
        <v>7</v>
      </c>
      <c r="G7" s="8">
        <f t="shared" si="0"/>
        <v>8.3031890757976239</v>
      </c>
      <c r="H7" s="8">
        <f t="shared" si="1"/>
        <v>8.3031890757976239</v>
      </c>
      <c r="I7" s="8">
        <f t="shared" si="2"/>
        <v>8.3031890757976239</v>
      </c>
      <c r="J7" s="8">
        <f t="shared" si="3"/>
        <v>10.984086691654376</v>
      </c>
    </row>
    <row r="8" spans="1:10">
      <c r="A8" s="164" t="s">
        <v>573</v>
      </c>
      <c r="B8" s="164" t="s">
        <v>85</v>
      </c>
      <c r="C8" s="90">
        <v>14</v>
      </c>
      <c r="D8" s="90">
        <v>4</v>
      </c>
      <c r="E8" s="90">
        <v>7.5</v>
      </c>
      <c r="F8" s="90">
        <v>5</v>
      </c>
      <c r="G8" s="8">
        <f t="shared" si="0"/>
        <v>9.6770865492477967</v>
      </c>
      <c r="H8" s="8">
        <f t="shared" si="1"/>
        <v>10.452448106954247</v>
      </c>
      <c r="I8" s="8">
        <f t="shared" si="2"/>
        <v>11.174137048359043</v>
      </c>
      <c r="J8" s="8">
        <f t="shared" si="3"/>
        <v>10.84701802340164</v>
      </c>
    </row>
    <row r="9" spans="1:10">
      <c r="B9" s="164" t="s">
        <v>85</v>
      </c>
      <c r="G9" s="8" t="e">
        <f t="shared" si="0"/>
        <v>#NUM!</v>
      </c>
      <c r="H9" s="8" t="e">
        <f t="shared" si="1"/>
        <v>#NUM!</v>
      </c>
      <c r="I9" s="8" t="e">
        <f t="shared" si="2"/>
        <v>#NUM!</v>
      </c>
      <c r="J9" s="8" t="e">
        <f t="shared" si="3"/>
        <v>#NUM!</v>
      </c>
    </row>
    <row r="10" spans="1:10">
      <c r="A10" s="164" t="s">
        <v>466</v>
      </c>
      <c r="B10" s="164" t="s">
        <v>474</v>
      </c>
      <c r="C10" s="90">
        <v>15</v>
      </c>
      <c r="D10" s="90">
        <v>4</v>
      </c>
      <c r="E10" s="90">
        <v>7.5</v>
      </c>
      <c r="F10" s="90">
        <v>8</v>
      </c>
      <c r="G10" s="8">
        <f t="shared" si="0"/>
        <v>10.934758726526471</v>
      </c>
      <c r="H10" s="8">
        <f t="shared" si="1"/>
        <v>11.810889317711769</v>
      </c>
      <c r="I10" s="8">
        <f t="shared" si="2"/>
        <v>12.626371788567337</v>
      </c>
      <c r="J10" s="8">
        <f t="shared" si="3"/>
        <v>12.256739090279249</v>
      </c>
    </row>
    <row r="11" spans="1:10">
      <c r="A11" s="164" t="s">
        <v>467</v>
      </c>
      <c r="B11" s="164" t="s">
        <v>474</v>
      </c>
      <c r="C11" s="90">
        <v>13.3</v>
      </c>
      <c r="D11" s="90">
        <v>6</v>
      </c>
      <c r="E11" s="90">
        <v>8</v>
      </c>
      <c r="F11" s="90">
        <v>4</v>
      </c>
      <c r="G11" s="8">
        <f t="shared" si="0"/>
        <v>12.015879404291793</v>
      </c>
      <c r="H11" s="8">
        <f t="shared" si="1"/>
        <v>12.602360637766722</v>
      </c>
      <c r="I11" s="8">
        <f t="shared" si="2"/>
        <v>13.162736395984703</v>
      </c>
      <c r="J11" s="8">
        <f t="shared" si="3"/>
        <v>12.602360637766722</v>
      </c>
    </row>
    <row r="12" spans="1:10">
      <c r="A12" s="164" t="s">
        <v>468</v>
      </c>
      <c r="B12" s="164" t="s">
        <v>474</v>
      </c>
      <c r="C12" s="90">
        <v>14</v>
      </c>
      <c r="D12" s="90">
        <v>7</v>
      </c>
      <c r="E12" s="90">
        <v>8</v>
      </c>
      <c r="F12" s="90">
        <v>5</v>
      </c>
      <c r="G12" s="8">
        <f t="shared" si="0"/>
        <v>14.202080330510938</v>
      </c>
      <c r="H12" s="8">
        <f t="shared" si="1"/>
        <v>14.781993872855679</v>
      </c>
      <c r="I12" s="8">
        <f t="shared" si="2"/>
        <v>15.34</v>
      </c>
      <c r="J12" s="8">
        <f t="shared" si="3"/>
        <v>14.781993872855679</v>
      </c>
    </row>
    <row r="13" spans="1:10">
      <c r="A13" s="164" t="s">
        <v>469</v>
      </c>
      <c r="B13" s="164" t="s">
        <v>474</v>
      </c>
      <c r="C13" s="90">
        <v>13.3</v>
      </c>
      <c r="D13" s="90">
        <v>7</v>
      </c>
      <c r="E13" s="90">
        <v>8</v>
      </c>
      <c r="F13" s="90">
        <v>3</v>
      </c>
      <c r="G13" s="8">
        <f t="shared" si="0"/>
        <v>12.836990454149845</v>
      </c>
      <c r="H13" s="8">
        <f t="shared" si="1"/>
        <v>13.361163281937522</v>
      </c>
      <c r="I13" s="8">
        <f t="shared" si="2"/>
        <v>13.865534413547019</v>
      </c>
      <c r="J13" s="8">
        <f t="shared" si="3"/>
        <v>13.361163281937522</v>
      </c>
    </row>
    <row r="14" spans="1:10">
      <c r="A14" s="164" t="s">
        <v>466</v>
      </c>
      <c r="B14" s="164" t="s">
        <v>85</v>
      </c>
      <c r="C14" s="90">
        <v>9</v>
      </c>
      <c r="D14" s="90">
        <v>4</v>
      </c>
      <c r="E14" s="90">
        <v>7.5</v>
      </c>
      <c r="F14" s="90">
        <v>8</v>
      </c>
      <c r="G14" s="8">
        <f t="shared" si="0"/>
        <v>6.248433558015126</v>
      </c>
      <c r="H14" s="8">
        <f t="shared" si="1"/>
        <v>6.7490796101210115</v>
      </c>
      <c r="I14" s="8">
        <f t="shared" si="2"/>
        <v>7.2150695934670486</v>
      </c>
      <c r="J14" s="8">
        <f t="shared" si="3"/>
        <v>7.0038509087309997</v>
      </c>
    </row>
    <row r="15" spans="1:10">
      <c r="A15" s="164" t="s">
        <v>468</v>
      </c>
      <c r="B15" s="164" t="s">
        <v>85</v>
      </c>
      <c r="C15" s="90">
        <v>6</v>
      </c>
      <c r="D15" s="90">
        <v>7</v>
      </c>
      <c r="E15" s="90">
        <v>8</v>
      </c>
      <c r="F15" s="90">
        <v>5</v>
      </c>
      <c r="G15" s="8">
        <f t="shared" si="0"/>
        <v>5.4623385886580529</v>
      </c>
      <c r="H15" s="8">
        <f t="shared" si="1"/>
        <v>5.6853822587906455</v>
      </c>
      <c r="I15" s="8">
        <f t="shared" si="2"/>
        <v>5.8999999999999995</v>
      </c>
      <c r="J15" s="8">
        <f t="shared" si="3"/>
        <v>5.6853822587906455</v>
      </c>
    </row>
    <row r="16" spans="1:10">
      <c r="A16" s="164" t="s">
        <v>470</v>
      </c>
      <c r="B16" s="164" t="s">
        <v>473</v>
      </c>
      <c r="C16" s="90">
        <v>13.7</v>
      </c>
      <c r="D16" s="90">
        <v>4</v>
      </c>
      <c r="E16" s="90">
        <v>7.5</v>
      </c>
      <c r="F16" s="90">
        <v>5</v>
      </c>
      <c r="G16" s="8">
        <f t="shared" si="0"/>
        <v>9.4537691673420774</v>
      </c>
      <c r="H16" s="8">
        <f t="shared" si="1"/>
        <v>10.211237766024533</v>
      </c>
      <c r="I16" s="8">
        <f t="shared" si="2"/>
        <v>10.916272347243066</v>
      </c>
      <c r="J16" s="8">
        <f t="shared" si="3"/>
        <v>10.5967022228616</v>
      </c>
    </row>
    <row r="17" spans="1:14">
      <c r="A17" s="164" t="s">
        <v>471</v>
      </c>
      <c r="B17" s="164" t="s">
        <v>473</v>
      </c>
      <c r="C17" s="90">
        <v>11</v>
      </c>
      <c r="D17" s="90">
        <v>6</v>
      </c>
      <c r="E17" s="90">
        <v>8</v>
      </c>
      <c r="F17" s="90">
        <v>2</v>
      </c>
      <c r="G17" s="8">
        <f>(C17-1)*SQRT(IF((D17-1)&gt;7,7,(D17-1))/7)*SQRT(IF((E17-1)&gt;7,7,(E17-1))/7)*(1+SQRT((F17-1))*9/100)</f>
        <v>9.2121813765408316</v>
      </c>
      <c r="H17" s="8">
        <f>(C17-1)*SQRT(IF((D17-0.5)&gt;7,7,(D17-0.5))/7)*SQRT(IF((E17-1)&gt;7,7,(E17-1))/7)*(1+SQRT((F17-1))*9/100)</f>
        <v>9.6618173386643118</v>
      </c>
      <c r="I17" s="8">
        <f>(C17-1)*SQRT(IF((D17)&gt;7,7,(D17))/7)*SQRT(IF((E17-1)&gt;7,7,(E17-1))/7)*(1+SQRT((F17-1))*9/100)</f>
        <v>10.09143908752081</v>
      </c>
      <c r="J17" s="8">
        <f t="shared" si="3"/>
        <v>9.6618173386643118</v>
      </c>
    </row>
    <row r="18" spans="1:14">
      <c r="G18" s="8" t="e">
        <f t="shared" si="0"/>
        <v>#NUM!</v>
      </c>
      <c r="H18" s="8" t="e">
        <f t="shared" si="1"/>
        <v>#NUM!</v>
      </c>
      <c r="I18" s="8" t="e">
        <f t="shared" si="2"/>
        <v>#NUM!</v>
      </c>
      <c r="J18" s="8" t="e">
        <f t="shared" si="3"/>
        <v>#NUM!</v>
      </c>
    </row>
    <row r="19" spans="1:14">
      <c r="G19" s="8" t="e">
        <f t="shared" si="0"/>
        <v>#NUM!</v>
      </c>
      <c r="H19" s="8" t="e">
        <f t="shared" si="1"/>
        <v>#NUM!</v>
      </c>
      <c r="I19" s="8" t="e">
        <f t="shared" si="2"/>
        <v>#NUM!</v>
      </c>
      <c r="J19" s="8" t="e">
        <f t="shared" si="3"/>
        <v>#NUM!</v>
      </c>
    </row>
    <row r="20" spans="1:14">
      <c r="A20" s="164" t="s">
        <v>553</v>
      </c>
      <c r="B20" s="164" t="s">
        <v>555</v>
      </c>
      <c r="C20" s="90">
        <v>16</v>
      </c>
      <c r="D20" s="90">
        <v>5</v>
      </c>
      <c r="E20" s="90">
        <v>8</v>
      </c>
      <c r="F20" s="90">
        <v>5</v>
      </c>
      <c r="G20" s="8">
        <f t="shared" si="0"/>
        <v>13.379942344526643</v>
      </c>
      <c r="H20" s="8">
        <f t="shared" si="1"/>
        <v>14.191571945549734</v>
      </c>
      <c r="I20" s="8">
        <f t="shared" si="2"/>
        <v>14.959230308694742</v>
      </c>
      <c r="J20" s="8">
        <f t="shared" si="3"/>
        <v>14.191571945549734</v>
      </c>
      <c r="L20">
        <f t="shared" ref="L20:N21" si="4">G20+G24/3</f>
        <v>14.271938500828419</v>
      </c>
      <c r="M20">
        <f t="shared" si="4"/>
        <v>15.137676741919716</v>
      </c>
      <c r="N20">
        <f t="shared" si="4"/>
        <v>15.956512329274393</v>
      </c>
    </row>
    <row r="21" spans="1:14">
      <c r="A21" s="164" t="s">
        <v>554</v>
      </c>
      <c r="B21" s="164" t="s">
        <v>555</v>
      </c>
      <c r="C21" s="90">
        <v>16</v>
      </c>
      <c r="D21" s="90">
        <v>6</v>
      </c>
      <c r="E21" s="90">
        <v>8</v>
      </c>
      <c r="F21" s="90">
        <v>4</v>
      </c>
      <c r="G21" s="8">
        <f>(C21-1)*SQRT(IF((D21-1)&gt;7,7,(D21-1))/7)*SQRT(IF((E21-1)&gt;7,7,(E21-1))/7)*(1+SQRT((F21-1))*9/100)</f>
        <v>14.653511468648526</v>
      </c>
      <c r="H21" s="8">
        <f t="shared" si="1"/>
        <v>15.368732485081367</v>
      </c>
      <c r="I21" s="8">
        <f>(C21-1)*SQRT(IF((D21)&gt;7,7,(D21))/7)*SQRT(IF((E21-1)&gt;7,7,(E21-1))/7)*(1+SQRT((F21-1))*9/100)</f>
        <v>16.052117556078908</v>
      </c>
      <c r="J21" s="8">
        <f t="shared" si="3"/>
        <v>15.368732485081367</v>
      </c>
      <c r="L21">
        <f t="shared" si="4"/>
        <v>14.979145056840716</v>
      </c>
      <c r="M21">
        <f t="shared" si="4"/>
        <v>15.71025987363873</v>
      </c>
      <c r="N21">
        <f t="shared" si="4"/>
        <v>16.408831279547329</v>
      </c>
    </row>
    <row r="22" spans="1:14">
      <c r="A22" s="164" t="s">
        <v>553</v>
      </c>
      <c r="B22" s="164" t="s">
        <v>555</v>
      </c>
      <c r="C22" s="90">
        <v>9</v>
      </c>
      <c r="D22" s="90">
        <v>5</v>
      </c>
      <c r="E22" s="90">
        <v>8</v>
      </c>
      <c r="F22" s="90">
        <v>5</v>
      </c>
      <c r="G22" s="8">
        <f t="shared" si="0"/>
        <v>7.1359692504142087</v>
      </c>
      <c r="H22" s="8">
        <f t="shared" si="1"/>
        <v>7.5688383709598588</v>
      </c>
      <c r="I22" s="8">
        <f t="shared" si="2"/>
        <v>7.9782561646371963</v>
      </c>
      <c r="J22" s="8">
        <f t="shared" si="3"/>
        <v>7.5688383709598588</v>
      </c>
    </row>
    <row r="23" spans="1:14">
      <c r="A23" s="164" t="s">
        <v>554</v>
      </c>
      <c r="B23" s="164" t="s">
        <v>555</v>
      </c>
      <c r="C23" s="90">
        <v>8</v>
      </c>
      <c r="D23" s="90">
        <v>6</v>
      </c>
      <c r="E23" s="90">
        <v>8</v>
      </c>
      <c r="F23" s="90">
        <v>4</v>
      </c>
      <c r="G23" s="8">
        <f t="shared" si="0"/>
        <v>6.8383053520359791</v>
      </c>
      <c r="H23" s="8">
        <f t="shared" si="1"/>
        <v>7.1720751597046384</v>
      </c>
      <c r="I23" s="8">
        <f t="shared" si="2"/>
        <v>7.4909881928368236</v>
      </c>
      <c r="J23" s="8">
        <f t="shared" si="3"/>
        <v>7.1720751597046384</v>
      </c>
    </row>
    <row r="24" spans="1:14">
      <c r="A24" s="164" t="s">
        <v>553</v>
      </c>
      <c r="B24" s="164" t="s">
        <v>555</v>
      </c>
      <c r="C24" s="90">
        <v>4</v>
      </c>
      <c r="D24" s="90">
        <v>5</v>
      </c>
      <c r="E24" s="90">
        <v>8</v>
      </c>
      <c r="F24" s="90">
        <v>5</v>
      </c>
      <c r="G24" s="8">
        <f t="shared" si="0"/>
        <v>2.6759884689053282</v>
      </c>
      <c r="H24" s="8">
        <f t="shared" si="1"/>
        <v>2.8383143891099469</v>
      </c>
      <c r="I24" s="8">
        <f t="shared" si="2"/>
        <v>2.9918460617389488</v>
      </c>
      <c r="J24" s="8">
        <f t="shared" si="3"/>
        <v>2.8383143891099469</v>
      </c>
    </row>
    <row r="25" spans="1:14">
      <c r="A25" s="164" t="s">
        <v>554</v>
      </c>
      <c r="B25" s="164" t="s">
        <v>555</v>
      </c>
      <c r="C25" s="90">
        <v>2</v>
      </c>
      <c r="D25" s="90">
        <v>6</v>
      </c>
      <c r="E25" s="90">
        <v>8</v>
      </c>
      <c r="F25" s="90">
        <v>4</v>
      </c>
      <c r="G25" s="8">
        <f t="shared" si="0"/>
        <v>0.97690076457656838</v>
      </c>
      <c r="H25" s="8">
        <f t="shared" si="1"/>
        <v>1.024582165672091</v>
      </c>
      <c r="I25" s="8">
        <f t="shared" si="2"/>
        <v>1.0701411704052604</v>
      </c>
      <c r="J25" s="8">
        <f t="shared" si="3"/>
        <v>1.024582165672091</v>
      </c>
    </row>
    <row r="26" spans="1:14">
      <c r="G26" s="8" t="e">
        <f t="shared" si="0"/>
        <v>#NUM!</v>
      </c>
      <c r="H26" s="8" t="e">
        <f t="shared" si="1"/>
        <v>#NUM!</v>
      </c>
      <c r="I26" s="8" t="e">
        <f t="shared" si="2"/>
        <v>#NUM!</v>
      </c>
      <c r="J26" s="8" t="e">
        <f t="shared" si="3"/>
        <v>#NUM!</v>
      </c>
    </row>
    <row r="27" spans="1:14">
      <c r="G27" s="8" t="e">
        <f t="shared" si="0"/>
        <v>#NUM!</v>
      </c>
      <c r="H27" s="8" t="e">
        <f t="shared" si="1"/>
        <v>#NUM!</v>
      </c>
      <c r="I27" s="8" t="e">
        <f t="shared" si="2"/>
        <v>#NUM!</v>
      </c>
      <c r="J27" s="8" t="e">
        <f t="shared" si="3"/>
        <v>#NUM!</v>
      </c>
    </row>
    <row r="28" spans="1:14">
      <c r="A28" s="164" t="s">
        <v>551</v>
      </c>
      <c r="B28" s="164" t="s">
        <v>474</v>
      </c>
      <c r="C28" s="90">
        <v>18</v>
      </c>
      <c r="D28" s="90">
        <v>7</v>
      </c>
      <c r="E28" s="90">
        <v>7</v>
      </c>
      <c r="F28" s="90">
        <v>14</v>
      </c>
      <c r="G28" s="8">
        <f t="shared" si="0"/>
        <v>19.299851529822774</v>
      </c>
      <c r="H28" s="8">
        <f t="shared" si="1"/>
        <v>20.087922362188248</v>
      </c>
      <c r="I28" s="8">
        <f t="shared" si="2"/>
        <v>20.846222213758608</v>
      </c>
      <c r="J28" s="8">
        <f t="shared" si="3"/>
        <v>21.697435999848459</v>
      </c>
      <c r="L28">
        <f>H28+2*H32</f>
        <v>29.54106229733566</v>
      </c>
    </row>
    <row r="29" spans="1:14">
      <c r="A29" s="164" t="s">
        <v>550</v>
      </c>
      <c r="B29" s="164" t="s">
        <v>474</v>
      </c>
      <c r="C29" s="90">
        <v>18</v>
      </c>
      <c r="D29" s="90">
        <v>7</v>
      </c>
      <c r="E29" s="90">
        <v>7</v>
      </c>
      <c r="F29" s="90">
        <v>20</v>
      </c>
      <c r="G29" s="8">
        <f t="shared" si="0"/>
        <v>20.287813185957621</v>
      </c>
      <c r="H29" s="8">
        <f t="shared" si="1"/>
        <v>21.116225456364329</v>
      </c>
      <c r="I29" s="8">
        <f t="shared" si="2"/>
        <v>21.913342765988535</v>
      </c>
      <c r="J29" s="8">
        <f t="shared" si="3"/>
        <v>22.808130285302738</v>
      </c>
      <c r="L29">
        <f>H29+2*H33</f>
        <v>29.811141820749643</v>
      </c>
    </row>
    <row r="30" spans="1:14">
      <c r="A30" s="164" t="s">
        <v>549</v>
      </c>
      <c r="B30" s="164" t="s">
        <v>474</v>
      </c>
      <c r="C30" s="90">
        <v>19</v>
      </c>
      <c r="D30" s="90">
        <v>7</v>
      </c>
      <c r="E30" s="90">
        <v>7</v>
      </c>
      <c r="F30" s="90">
        <v>20</v>
      </c>
      <c r="G30" s="8">
        <f t="shared" si="0"/>
        <v>21.48121396160219</v>
      </c>
      <c r="H30" s="8">
        <f t="shared" si="1"/>
        <v>22.358356365562233</v>
      </c>
      <c r="I30" s="8">
        <f t="shared" si="2"/>
        <v>23.202362928693741</v>
      </c>
      <c r="J30" s="8">
        <f t="shared" si="3"/>
        <v>24.149785007967605</v>
      </c>
      <c r="L30">
        <f>H30+2*H34</f>
        <v>37.263927275937057</v>
      </c>
    </row>
    <row r="31" spans="1:14">
      <c r="A31" s="164" t="s">
        <v>548</v>
      </c>
      <c r="B31" s="164" t="s">
        <v>474</v>
      </c>
      <c r="C31" s="90">
        <v>17.5</v>
      </c>
      <c r="D31" s="90">
        <v>8</v>
      </c>
      <c r="E31" s="90">
        <v>7</v>
      </c>
      <c r="F31" s="90">
        <v>20</v>
      </c>
      <c r="G31" s="8">
        <f t="shared" si="0"/>
        <v>21.268832684635932</v>
      </c>
      <c r="H31" s="8">
        <f t="shared" si="1"/>
        <v>21.268832684635932</v>
      </c>
      <c r="I31" s="8">
        <f t="shared" si="2"/>
        <v>21.268832684635932</v>
      </c>
      <c r="J31" s="8">
        <f t="shared" si="3"/>
        <v>22.9729649311579</v>
      </c>
      <c r="L31">
        <f>H31+2*H35</f>
        <v>19.979812521930725</v>
      </c>
    </row>
    <row r="32" spans="1:14">
      <c r="A32" s="164" t="s">
        <v>551</v>
      </c>
      <c r="B32" s="164" t="s">
        <v>85</v>
      </c>
      <c r="C32" s="90">
        <v>5</v>
      </c>
      <c r="D32" s="90">
        <v>7</v>
      </c>
      <c r="E32" s="90">
        <v>7</v>
      </c>
      <c r="F32" s="90">
        <v>14</v>
      </c>
      <c r="G32" s="8">
        <f t="shared" si="0"/>
        <v>4.5411415364288885</v>
      </c>
      <c r="H32" s="8">
        <f t="shared" si="1"/>
        <v>4.7265699675737061</v>
      </c>
      <c r="I32" s="8">
        <f t="shared" si="2"/>
        <v>4.9049934620608493</v>
      </c>
      <c r="J32" s="8">
        <f t="shared" si="3"/>
        <v>5.1052790587878727</v>
      </c>
    </row>
    <row r="33" spans="1:12">
      <c r="A33" s="164" t="s">
        <v>550</v>
      </c>
      <c r="B33" s="164" t="s">
        <v>85</v>
      </c>
      <c r="C33" s="90">
        <v>4.5</v>
      </c>
      <c r="D33" s="90">
        <v>7</v>
      </c>
      <c r="E33" s="90">
        <v>7</v>
      </c>
      <c r="F33" s="90">
        <v>20</v>
      </c>
      <c r="G33" s="8">
        <f t="shared" si="0"/>
        <v>4.1769027147559816</v>
      </c>
      <c r="H33" s="8">
        <f t="shared" si="1"/>
        <v>4.347458182192657</v>
      </c>
      <c r="I33" s="8">
        <f t="shared" si="2"/>
        <v>4.511570569468228</v>
      </c>
      <c r="J33" s="8">
        <f t="shared" si="3"/>
        <v>4.6957915293270345</v>
      </c>
    </row>
    <row r="34" spans="1:12">
      <c r="A34" s="164" t="s">
        <v>549</v>
      </c>
      <c r="B34" s="164" t="s">
        <v>85</v>
      </c>
      <c r="C34" s="90">
        <v>7</v>
      </c>
      <c r="D34" s="90">
        <v>7</v>
      </c>
      <c r="E34" s="90">
        <v>7</v>
      </c>
      <c r="F34" s="90">
        <v>20</v>
      </c>
      <c r="G34" s="8">
        <f t="shared" si="0"/>
        <v>7.1604046538673964</v>
      </c>
      <c r="H34" s="8">
        <f t="shared" si="1"/>
        <v>7.4527854551874126</v>
      </c>
      <c r="I34" s="8">
        <f t="shared" si="2"/>
        <v>7.7341209762312477</v>
      </c>
      <c r="J34" s="8">
        <f t="shared" si="3"/>
        <v>8.0499283359892022</v>
      </c>
    </row>
    <row r="35" spans="1:12">
      <c r="A35" s="164" t="s">
        <v>548</v>
      </c>
      <c r="B35" s="164" t="s">
        <v>85</v>
      </c>
      <c r="C35" s="90">
        <v>0.5</v>
      </c>
      <c r="D35" s="90">
        <v>8</v>
      </c>
      <c r="E35" s="90">
        <v>7</v>
      </c>
      <c r="F35" s="90">
        <v>20</v>
      </c>
      <c r="G35" s="8">
        <f t="shared" si="0"/>
        <v>-0.64451008135260401</v>
      </c>
      <c r="H35" s="8">
        <f t="shared" si="1"/>
        <v>-0.64451008135260401</v>
      </c>
      <c r="I35" s="8">
        <f t="shared" si="2"/>
        <v>-0.64451008135260401</v>
      </c>
      <c r="J35" s="8">
        <f t="shared" si="3"/>
        <v>-0.69615045245933027</v>
      </c>
    </row>
    <row r="36" spans="1:12">
      <c r="G36" s="8" t="e">
        <f t="shared" ref="G36:G43" si="5">(C36-1)*SQRT(IF((D36-1)&gt;7,7,(D36-1))/7)*SQRT(IF((E36-1)&gt;7,7,(E36-1))/7)*(1+SQRT((F36-1))*9/100)</f>
        <v>#NUM!</v>
      </c>
      <c r="H36" s="8" t="e">
        <f t="shared" ref="H36:H43" si="6">(C36-1)*SQRT(IF((D36-0.5)&gt;7,7,(D36-0.5))/7)*SQRT(IF((E36-1)&gt;7,7,(E36-1))/7)*(1+SQRT((F36-1))*9/100)</f>
        <v>#NUM!</v>
      </c>
      <c r="I36" s="8" t="e">
        <f t="shared" ref="I36:I43" si="7">(C36-1)*SQRT(IF((D36)&gt;7,7,(D36))/7)*SQRT(IF((E36-1)&gt;7,7,(E36-1))/7)*(1+SQRT((F36-1))*9/100)</f>
        <v>#NUM!</v>
      </c>
      <c r="J36" s="8" t="e">
        <f t="shared" ref="J36:J43" si="8">(C36-1)*SQRT(IF((D36-0.5)&gt;7,7,(D36-0.5))/7)*(1+SQRT((F36-1))*9/100)</f>
        <v>#NUM!</v>
      </c>
    </row>
    <row r="37" spans="1:12">
      <c r="A37" s="164" t="s">
        <v>550</v>
      </c>
      <c r="B37" s="164" t="s">
        <v>88</v>
      </c>
      <c r="C37" s="90">
        <v>15</v>
      </c>
      <c r="D37" s="90">
        <v>5</v>
      </c>
      <c r="E37" s="90">
        <v>8</v>
      </c>
      <c r="F37" s="90">
        <v>20</v>
      </c>
      <c r="G37" s="8">
        <f>(C37-1)*SQRT(IF((D37-1)&gt;7,7,(D37-1))/7)*SQRT(IF((E37-1)&gt;7,7,(E37-1))/7)*(1+SQRT((F37-1))*9/100)</f>
        <v>14.734727778339847</v>
      </c>
      <c r="H37" s="8">
        <f t="shared" si="6"/>
        <v>15.628538896502848</v>
      </c>
      <c r="I37" s="8">
        <f>(C37-1)*SQRT(IF((D37)&gt;7,7,(D37))/7)*SQRT(IF((E37-1)&gt;7,7,(E37-1))/7)*(1+SQRT((F37-1))*9/100)</f>
        <v>16.473926471161178</v>
      </c>
      <c r="J37" s="8">
        <f t="shared" si="8"/>
        <v>15.628538896502848</v>
      </c>
      <c r="L37">
        <f>SUM(L28:L31)</f>
        <v>116.59594391595309</v>
      </c>
    </row>
    <row r="38" spans="1:12">
      <c r="A38" s="164" t="s">
        <v>570</v>
      </c>
      <c r="B38" s="164" t="s">
        <v>88</v>
      </c>
      <c r="C38" s="90">
        <v>16.75</v>
      </c>
      <c r="D38" s="90">
        <v>6</v>
      </c>
      <c r="E38" s="90">
        <v>8</v>
      </c>
      <c r="F38" s="90">
        <v>8</v>
      </c>
      <c r="G38" s="8">
        <f t="shared" si="5"/>
        <v>16.480805870080086</v>
      </c>
      <c r="H38" s="8">
        <f>(C38-1)*SQRT(IF((D38-0.5)&gt;7,7,(D38-0.5))/7)*SQRT(IF((E38-1)&gt;7,7,(E38-1))/7)*(1+SQRT((F38-1))*9/100)</f>
        <v>17.285215021514567</v>
      </c>
      <c r="I38" s="8">
        <f>(C38-1)*SQRT(IF((D38)&gt;7,7,(D38))/7)*SQRT(IF((E38-1)&gt;7,7,(E38-1))/7)*(1+SQRT((F38-1))*9/100)</f>
        <v>18.053818281812838</v>
      </c>
      <c r="J38" s="8">
        <f t="shared" si="8"/>
        <v>17.285215021514567</v>
      </c>
    </row>
    <row r="39" spans="1:12">
      <c r="G39" s="8" t="e">
        <f t="shared" si="5"/>
        <v>#NUM!</v>
      </c>
      <c r="H39" s="8" t="e">
        <f t="shared" si="6"/>
        <v>#NUM!</v>
      </c>
      <c r="I39" s="8" t="e">
        <f t="shared" si="7"/>
        <v>#NUM!</v>
      </c>
      <c r="J39" s="8" t="e">
        <f t="shared" si="8"/>
        <v>#NUM!</v>
      </c>
    </row>
    <row r="40" spans="1:12">
      <c r="G40" s="8" t="e">
        <f t="shared" si="5"/>
        <v>#NUM!</v>
      </c>
      <c r="H40" s="8" t="e">
        <f t="shared" si="6"/>
        <v>#NUM!</v>
      </c>
      <c r="I40" s="8" t="e">
        <f t="shared" si="7"/>
        <v>#NUM!</v>
      </c>
      <c r="J40" s="8" t="e">
        <f t="shared" si="8"/>
        <v>#NUM!</v>
      </c>
    </row>
    <row r="41" spans="1:12">
      <c r="G41" s="8" t="e">
        <f t="shared" si="5"/>
        <v>#NUM!</v>
      </c>
      <c r="H41" s="8" t="e">
        <f t="shared" si="6"/>
        <v>#NUM!</v>
      </c>
      <c r="I41" s="8" t="e">
        <f t="shared" si="7"/>
        <v>#NUM!</v>
      </c>
      <c r="J41" s="8" t="e">
        <f t="shared" si="8"/>
        <v>#NUM!</v>
      </c>
    </row>
    <row r="42" spans="1:12">
      <c r="G42" s="8" t="e">
        <f t="shared" si="5"/>
        <v>#NUM!</v>
      </c>
      <c r="H42" s="8" t="e">
        <f t="shared" si="6"/>
        <v>#NUM!</v>
      </c>
      <c r="I42" s="8" t="e">
        <f t="shared" si="7"/>
        <v>#NUM!</v>
      </c>
      <c r="J42" s="8" t="e">
        <f t="shared" si="8"/>
        <v>#NUM!</v>
      </c>
    </row>
    <row r="43" spans="1:12">
      <c r="G43" s="8" t="e">
        <f t="shared" si="5"/>
        <v>#NUM!</v>
      </c>
      <c r="H43" s="8" t="e">
        <f t="shared" si="6"/>
        <v>#NUM!</v>
      </c>
      <c r="I43" s="8" t="e">
        <f t="shared" si="7"/>
        <v>#NUM!</v>
      </c>
      <c r="J43" s="8" t="e">
        <f t="shared" si="8"/>
        <v>#NUM!</v>
      </c>
    </row>
  </sheetData>
  <phoneticPr fontId="7" type="noConversion"/>
  <pageMargins left="0.75" right="0.75" top="1" bottom="1" header="0.5" footer="0.5"/>
  <pageSetup paperSize="9"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>
  <dimension ref="A1:Q40"/>
  <sheetViews>
    <sheetView workbookViewId="0">
      <selection activeCell="K36" sqref="K36"/>
    </sheetView>
  </sheetViews>
  <sheetFormatPr defaultRowHeight="13.2"/>
  <cols>
    <col min="1" max="1" width="14.6640625" customWidth="1"/>
    <col min="16" max="16" width="15.109375" customWidth="1"/>
    <col min="17" max="17" width="19.44140625" bestFit="1" customWidth="1"/>
  </cols>
  <sheetData>
    <row r="1" spans="1:17">
      <c r="A1" s="17" t="s">
        <v>108</v>
      </c>
    </row>
    <row r="2" spans="1:17" s="20" customFormat="1" ht="13.8" thickBot="1"/>
    <row r="4" spans="1:17">
      <c r="A4" s="29" t="s">
        <v>131</v>
      </c>
      <c r="B4" s="4" t="s">
        <v>17</v>
      </c>
      <c r="C4" s="4" t="s">
        <v>18</v>
      </c>
      <c r="D4" s="4" t="s">
        <v>19</v>
      </c>
    </row>
    <row r="5" spans="1:17">
      <c r="A5" s="4" t="s">
        <v>50</v>
      </c>
      <c r="B5" s="9">
        <f>$B$6*(SQRT($B$7-1)/SQRT(7))</f>
        <v>9.8198050606196556</v>
      </c>
      <c r="C5" s="9">
        <f>$B$6*(SQRT($B$7-0.5)/SQRT(7))</f>
        <v>10.606601717798211</v>
      </c>
      <c r="D5" s="9">
        <f>$B$6*(SQRT($B$7)/SQRT(7))</f>
        <v>11.338934190276817</v>
      </c>
      <c r="F5" s="6" t="s">
        <v>46</v>
      </c>
    </row>
    <row r="6" spans="1:17">
      <c r="A6" s="4" t="s">
        <v>51</v>
      </c>
      <c r="B6" s="25">
        <v>15</v>
      </c>
    </row>
    <row r="7" spans="1:17">
      <c r="A7" s="4" t="s">
        <v>1</v>
      </c>
      <c r="B7" s="25">
        <v>4</v>
      </c>
    </row>
    <row r="9" spans="1:17">
      <c r="A9" s="29" t="s">
        <v>132</v>
      </c>
      <c r="B9" s="4" t="s">
        <v>17</v>
      </c>
      <c r="C9" s="4" t="s">
        <v>18</v>
      </c>
      <c r="D9" s="4" t="s">
        <v>19</v>
      </c>
      <c r="M9" t="s">
        <v>1</v>
      </c>
      <c r="P9" t="s">
        <v>415</v>
      </c>
      <c r="Q9" t="s">
        <v>416</v>
      </c>
    </row>
    <row r="10" spans="1:17">
      <c r="A10" s="4" t="s">
        <v>50</v>
      </c>
      <c r="B10" s="9">
        <f>$B11*(SQRT($B12-1)/SQRT(7))</f>
        <v>8.4515425472851664</v>
      </c>
      <c r="C10" s="9">
        <f>$B$11*(SQRT($B$12-0.5)/SQRT(7))</f>
        <v>8.8640526042791841</v>
      </c>
      <c r="D10" s="9">
        <f>$B11*(SQRT($B12)/SQRT(7))</f>
        <v>9.2582009977255133</v>
      </c>
      <c r="M10">
        <v>1</v>
      </c>
      <c r="N10" s="9">
        <f>(SQRT(M10-1)/SQRT(7))</f>
        <v>0</v>
      </c>
      <c r="P10" t="str">
        <f>VLOOKUP(M10,Parser!M5:N44,2,FALSE)</f>
        <v>katastrofal</v>
      </c>
      <c r="Q10" t="str">
        <f>CONCATENATE(TEXT(N10,"0%")," - ",TEXT(N11,"0%"))</f>
        <v>0% - 38%</v>
      </c>
    </row>
    <row r="11" spans="1:17">
      <c r="A11" s="4" t="s">
        <v>51</v>
      </c>
      <c r="B11" s="25">
        <v>10</v>
      </c>
      <c r="M11">
        <v>2</v>
      </c>
      <c r="N11" s="9">
        <f t="shared" ref="N11:N17" si="0">(SQRT(M11-1)/SQRT(7))</f>
        <v>0.3779644730092272</v>
      </c>
      <c r="P11" t="str">
        <f>VLOOKUP(M11,Parser!M6:N45,2,FALSE)</f>
        <v>usel</v>
      </c>
      <c r="Q11" t="str">
        <f t="shared" ref="Q11:Q17" si="1">CONCATENATE(TEXT(N11,"0%")," - ",TEXT(N12,"0%"))</f>
        <v>38% - 53%</v>
      </c>
    </row>
    <row r="12" spans="1:17">
      <c r="A12" s="4" t="s">
        <v>1</v>
      </c>
      <c r="B12" s="25">
        <v>6</v>
      </c>
      <c r="M12">
        <v>3</v>
      </c>
      <c r="N12" s="9">
        <f t="shared" si="0"/>
        <v>0.53452248382484879</v>
      </c>
      <c r="P12" t="str">
        <f>VLOOKUP(M12,Parser!M7:N46,2,FALSE)</f>
        <v>dålig</v>
      </c>
      <c r="Q12" t="str">
        <f t="shared" si="1"/>
        <v>53% - 65%</v>
      </c>
    </row>
    <row r="13" spans="1:17">
      <c r="K13">
        <f>(2/3)*C5+(1/3)*15</f>
        <v>12.071067811865474</v>
      </c>
      <c r="M13">
        <v>4</v>
      </c>
      <c r="N13" s="9">
        <f t="shared" si="0"/>
        <v>0.65465367070797709</v>
      </c>
      <c r="P13" t="str">
        <f>VLOOKUP(M13,Parser!M8:N47,2,FALSE)</f>
        <v>hyfsad</v>
      </c>
      <c r="Q13" t="str">
        <f t="shared" si="1"/>
        <v>65% - 76%</v>
      </c>
    </row>
    <row r="14" spans="1:17">
      <c r="A14" s="29" t="s">
        <v>133</v>
      </c>
      <c r="B14" s="4" t="s">
        <v>17</v>
      </c>
      <c r="C14" s="4" t="s">
        <v>18</v>
      </c>
      <c r="D14" s="4" t="s">
        <v>19</v>
      </c>
      <c r="M14">
        <v>5</v>
      </c>
      <c r="N14" s="9">
        <f t="shared" si="0"/>
        <v>0.7559289460184544</v>
      </c>
      <c r="P14" t="str">
        <f>VLOOKUP(M14,Parser!M9:N48,2,FALSE)</f>
        <v>bra</v>
      </c>
      <c r="Q14" t="str">
        <f t="shared" si="1"/>
        <v>76% - 85%</v>
      </c>
    </row>
    <row r="15" spans="1:17">
      <c r="A15" s="4" t="s">
        <v>50</v>
      </c>
      <c r="B15" s="9">
        <f>$B16*(SQRT($B17-1)/SQRT(7))</f>
        <v>11</v>
      </c>
      <c r="C15" s="9">
        <f>$B16*(SQRT($B17-0.5)/SQRT(7))</f>
        <v>11.386081729148845</v>
      </c>
      <c r="D15" s="9">
        <f>$B16*(SQRT($B17)/SQRT(7))</f>
        <v>11.759494644146674</v>
      </c>
      <c r="M15">
        <v>6</v>
      </c>
      <c r="N15" s="9">
        <f t="shared" si="0"/>
        <v>0.84515425472851657</v>
      </c>
      <c r="P15" t="str">
        <f>VLOOKUP(M15,Parser!M10:N49,2,FALSE)</f>
        <v>ypperlig</v>
      </c>
      <c r="Q15" t="str">
        <f t="shared" si="1"/>
        <v>85% - 93%</v>
      </c>
    </row>
    <row r="16" spans="1:17">
      <c r="A16" s="4" t="s">
        <v>51</v>
      </c>
      <c r="B16" s="25">
        <v>11</v>
      </c>
      <c r="M16">
        <v>7</v>
      </c>
      <c r="N16" s="9">
        <f t="shared" si="0"/>
        <v>0.92582009977255131</v>
      </c>
      <c r="P16" t="str">
        <f>VLOOKUP(M16,Parser!M11:N50,2,FALSE)</f>
        <v>enastående</v>
      </c>
      <c r="Q16" t="str">
        <f t="shared" si="1"/>
        <v>93% - 100%</v>
      </c>
    </row>
    <row r="17" spans="1:17">
      <c r="A17" s="4" t="s">
        <v>1</v>
      </c>
      <c r="B17" s="25">
        <v>8</v>
      </c>
      <c r="M17">
        <v>8</v>
      </c>
      <c r="N17" s="9">
        <f t="shared" si="0"/>
        <v>1</v>
      </c>
      <c r="P17" t="str">
        <f>VLOOKUP(M17,Parser!M12:N51,2,FALSE)</f>
        <v>fenomenal</v>
      </c>
      <c r="Q17" t="str">
        <f t="shared" si="1"/>
        <v>100% - 0%</v>
      </c>
    </row>
    <row r="19" spans="1:17">
      <c r="A19" s="29" t="s">
        <v>134</v>
      </c>
      <c r="B19" s="4" t="s">
        <v>17</v>
      </c>
      <c r="C19" s="4" t="s">
        <v>18</v>
      </c>
      <c r="D19" s="4" t="s">
        <v>19</v>
      </c>
    </row>
    <row r="20" spans="1:17">
      <c r="A20" s="4" t="s">
        <v>50</v>
      </c>
      <c r="B20" s="9">
        <f>$B21*(SQRT($B22-1)/SQRT(7))</f>
        <v>9.8270762982399074</v>
      </c>
      <c r="C20" s="9">
        <f>$B21*(SQRT($B22-0.5)/SQRT(7))</f>
        <v>10.423188434584549</v>
      </c>
      <c r="D20" s="9">
        <f>$B21*(SQRT($B22)/SQRT(7))</f>
        <v>10.987005311470716</v>
      </c>
    </row>
    <row r="21" spans="1:17">
      <c r="A21" s="4" t="s">
        <v>51</v>
      </c>
      <c r="B21" s="25">
        <v>13</v>
      </c>
    </row>
    <row r="22" spans="1:17">
      <c r="A22" s="4" t="s">
        <v>1</v>
      </c>
      <c r="B22" s="25">
        <v>5</v>
      </c>
    </row>
    <row r="24" spans="1:17">
      <c r="A24" s="29" t="s">
        <v>135</v>
      </c>
      <c r="B24" s="4" t="s">
        <v>17</v>
      </c>
      <c r="C24" s="4" t="s">
        <v>18</v>
      </c>
      <c r="D24" s="4" t="s">
        <v>19</v>
      </c>
      <c r="G24" s="4" t="s">
        <v>427</v>
      </c>
    </row>
    <row r="25" spans="1:17">
      <c r="A25" s="4" t="s">
        <v>50</v>
      </c>
      <c r="B25" s="9">
        <f>$B26*(SQRT($B27-1)/SQRT(7))</f>
        <v>12.677313820927749</v>
      </c>
      <c r="C25" s="9">
        <f>$B26*(SQRT($B27-0.5)/SQRT(7))</f>
        <v>13.296078906418774</v>
      </c>
      <c r="D25" s="9">
        <f>$B26*(SQRT($B27)/SQRT(7))</f>
        <v>13.88730149658827</v>
      </c>
      <c r="H25" s="4" t="s">
        <v>419</v>
      </c>
      <c r="I25" s="4" t="s">
        <v>420</v>
      </c>
      <c r="J25" s="4" t="s">
        <v>243</v>
      </c>
      <c r="K25" s="4" t="s">
        <v>86</v>
      </c>
      <c r="L25" s="4" t="s">
        <v>1</v>
      </c>
      <c r="M25" s="4" t="s">
        <v>421</v>
      </c>
      <c r="N25" s="4" t="s">
        <v>180</v>
      </c>
      <c r="O25" s="4" t="s">
        <v>417</v>
      </c>
      <c r="P25" s="4" t="s">
        <v>418</v>
      </c>
      <c r="Q25" s="4" t="s">
        <v>428</v>
      </c>
    </row>
    <row r="26" spans="1:17">
      <c r="A26" s="4" t="s">
        <v>51</v>
      </c>
      <c r="B26" s="25">
        <v>15</v>
      </c>
      <c r="H26" t="s">
        <v>422</v>
      </c>
      <c r="I26" s="1">
        <v>14</v>
      </c>
      <c r="J26" s="1">
        <v>14</v>
      </c>
      <c r="K26" s="1">
        <v>3</v>
      </c>
      <c r="L26" s="1">
        <v>7</v>
      </c>
      <c r="M26" s="1">
        <v>7</v>
      </c>
      <c r="N26" s="1">
        <v>11</v>
      </c>
      <c r="O26" s="1"/>
      <c r="P26" s="1"/>
      <c r="Q26" s="1"/>
    </row>
    <row r="27" spans="1:17">
      <c r="A27" s="4" t="s">
        <v>1</v>
      </c>
      <c r="B27" s="25">
        <v>6</v>
      </c>
      <c r="H27" t="s">
        <v>423</v>
      </c>
      <c r="I27" s="1">
        <v>19</v>
      </c>
      <c r="J27" s="1">
        <v>8</v>
      </c>
      <c r="K27" s="1">
        <v>8</v>
      </c>
      <c r="L27" s="1">
        <v>5</v>
      </c>
      <c r="M27" s="1">
        <v>7</v>
      </c>
      <c r="N27" s="1">
        <v>14</v>
      </c>
      <c r="O27" s="1"/>
      <c r="P27" s="1"/>
      <c r="Q27" s="1"/>
    </row>
    <row r="28" spans="1:17">
      <c r="H28" t="s">
        <v>425</v>
      </c>
      <c r="I28" s="90">
        <v>19</v>
      </c>
      <c r="J28" s="90">
        <v>11</v>
      </c>
      <c r="K28" s="90">
        <v>9</v>
      </c>
      <c r="L28" s="90">
        <v>5</v>
      </c>
      <c r="M28" s="90">
        <v>7</v>
      </c>
      <c r="N28" s="90">
        <v>15</v>
      </c>
      <c r="O28" s="90"/>
      <c r="P28" s="90"/>
      <c r="Q28" s="90"/>
    </row>
    <row r="29" spans="1:17">
      <c r="A29" s="29" t="s">
        <v>136</v>
      </c>
      <c r="B29" s="4" t="s">
        <v>17</v>
      </c>
      <c r="C29" s="4" t="s">
        <v>18</v>
      </c>
      <c r="D29" s="4" t="s">
        <v>19</v>
      </c>
      <c r="H29" t="s">
        <v>424</v>
      </c>
      <c r="I29" s="90">
        <v>18</v>
      </c>
      <c r="J29" s="90">
        <v>14</v>
      </c>
      <c r="K29" s="90">
        <v>3</v>
      </c>
      <c r="L29" s="90">
        <v>7</v>
      </c>
      <c r="M29" s="90">
        <v>8</v>
      </c>
      <c r="N29" s="90">
        <v>17</v>
      </c>
      <c r="O29" s="90"/>
      <c r="P29" s="90"/>
      <c r="Q29" s="90"/>
    </row>
    <row r="30" spans="1:17">
      <c r="A30" s="4" t="s">
        <v>50</v>
      </c>
      <c r="B30" s="9">
        <f>$B31*(SQRT($B32-1)/SQRT(7))</f>
        <v>14.362649974350633</v>
      </c>
      <c r="C30" s="9">
        <f>$B31*(SQRT($B32-0.5)/SQRT(7))</f>
        <v>15.233890789008189</v>
      </c>
      <c r="D30" s="9">
        <f>$B31*(SQRT($B32)/SQRT(7))</f>
        <v>16.057930839841816</v>
      </c>
      <c r="H30" t="s">
        <v>426</v>
      </c>
      <c r="I30">
        <v>20</v>
      </c>
      <c r="J30">
        <v>7</v>
      </c>
      <c r="K30">
        <v>6</v>
      </c>
      <c r="L30">
        <v>8</v>
      </c>
      <c r="M30">
        <v>7</v>
      </c>
      <c r="N30">
        <v>11</v>
      </c>
    </row>
    <row r="31" spans="1:17">
      <c r="A31" s="4" t="s">
        <v>51</v>
      </c>
      <c r="B31" s="25">
        <v>19</v>
      </c>
    </row>
    <row r="32" spans="1:17">
      <c r="A32" s="4" t="s">
        <v>1</v>
      </c>
      <c r="B32" s="25">
        <v>5</v>
      </c>
      <c r="H32" t="str">
        <f>H26</f>
        <v>Paulsson</v>
      </c>
      <c r="I32">
        <f t="shared" ref="I32:K33" si="2">I26*(SQRT($L26-0.5)/SQRT(7))*(SQRT($M26-0.5)/SQRT(7))*(1+SQRT($N26)*7/100)</f>
        <v>16.01812855922341</v>
      </c>
      <c r="J32">
        <f t="shared" si="2"/>
        <v>16.01812855922341</v>
      </c>
      <c r="K32">
        <f t="shared" si="2"/>
        <v>3.4324561198335881</v>
      </c>
      <c r="O32">
        <f>I32*0.23+0.12*J32+0.18*K32</f>
        <v>6.2241870972982394</v>
      </c>
      <c r="P32">
        <f>I32+0.36*J32</f>
        <v>21.784654840543837</v>
      </c>
      <c r="Q32">
        <f>O32*2+P32</f>
        <v>34.233029035140319</v>
      </c>
    </row>
    <row r="33" spans="1:17">
      <c r="H33" t="str">
        <f>H27</f>
        <v>Höklind</v>
      </c>
      <c r="I33">
        <f t="shared" si="2"/>
        <v>18.524604684195943</v>
      </c>
      <c r="J33">
        <f t="shared" si="2"/>
        <v>7.799833551240396</v>
      </c>
      <c r="K33">
        <f t="shared" si="2"/>
        <v>7.799833551240396</v>
      </c>
      <c r="O33">
        <f>I33*0.23+0.12*J33+0.18*K33</f>
        <v>6.6006091427371851</v>
      </c>
      <c r="P33">
        <f>I33+0.36*J33</f>
        <v>21.332544762642485</v>
      </c>
      <c r="Q33">
        <f>O33*2+P33</f>
        <v>34.533763048116853</v>
      </c>
    </row>
    <row r="34" spans="1:17">
      <c r="A34" s="29" t="s">
        <v>137</v>
      </c>
      <c r="B34" s="4" t="s">
        <v>17</v>
      </c>
      <c r="C34" s="4" t="s">
        <v>18</v>
      </c>
      <c r="D34" s="4" t="s">
        <v>19</v>
      </c>
      <c r="H34" t="str">
        <f>H28</f>
        <v>Ulfsson</v>
      </c>
      <c r="I34">
        <f>I28*(SQRT($L28-0.5)/SQRT(7))*(SQRT($M28-0.5)/SQRT(7))*(1+SQRT($N28)*7/100)</f>
        <v>18.659552891148959</v>
      </c>
      <c r="J34">
        <f>J28*(SQRT($L28-0.5)/SQRT(7))*(SQRT($M28-0.5)/SQRT(7))*(1+SQRT($N28)*7/100)</f>
        <v>10.802899042244135</v>
      </c>
      <c r="K34">
        <f>K28*(SQRT($L28-0.5)/SQRT(7))*(SQRT($M28-0.5)/SQRT(7))*(1+SQRT($N28)*7/100)</f>
        <v>8.8387355800179268</v>
      </c>
      <c r="O34">
        <f>I34*0.23+0.12*J34+0.18*K34</f>
        <v>7.1790174544367833</v>
      </c>
      <c r="P34">
        <f>I34+0.36*J34</f>
        <v>22.548596546356848</v>
      </c>
      <c r="Q34">
        <f>O34*2+P34</f>
        <v>36.906631455230411</v>
      </c>
    </row>
    <row r="35" spans="1:17">
      <c r="A35" s="4" t="s">
        <v>50</v>
      </c>
      <c r="B35" s="9">
        <f>$B36*(SQRT($B37-1)/SQRT(7))</f>
        <v>14.402380755575496</v>
      </c>
      <c r="C35" s="9">
        <f>$B36*(SQRT($B37-0.5)/SQRT(7))</f>
        <v>15.556349186104043</v>
      </c>
      <c r="D35" s="9">
        <f>$B36*(SQRT($B37)/SQRT(7))</f>
        <v>16.630436812405996</v>
      </c>
      <c r="H35" t="str">
        <f>H29</f>
        <v>Grönstedt</v>
      </c>
      <c r="I35">
        <f t="shared" ref="I35:K36" si="3">I29*(SQRT($L29-0.5)/SQRT(7))*(SQRT($M29-0.5)/SQRT(7))*(1+SQRT($N29)*7/100)</f>
        <v>23.135866214791729</v>
      </c>
      <c r="J35">
        <f t="shared" si="3"/>
        <v>17.994562611504676</v>
      </c>
      <c r="K35">
        <f t="shared" si="3"/>
        <v>3.8559777024652879</v>
      </c>
      <c r="O35">
        <f>I35*0.23+0.12*J35+0.18*K35</f>
        <v>8.1746727292264101</v>
      </c>
      <c r="P35">
        <f>I35+0.36*J35</f>
        <v>29.613908754933412</v>
      </c>
      <c r="Q35">
        <f>O35*2+P35</f>
        <v>45.963254213386236</v>
      </c>
    </row>
    <row r="36" spans="1:17">
      <c r="A36" s="4" t="s">
        <v>51</v>
      </c>
      <c r="B36" s="25">
        <v>22</v>
      </c>
      <c r="H36" t="str">
        <f>H30</f>
        <v>Knutsson</v>
      </c>
      <c r="I36">
        <f>I30*(SQRT($L30-0.5)/SQRT(7))*(SQRT($M30-0.5)/SQRT(7))*(1+SQRT($N30)*7/100)</f>
        <v>24.580328819005107</v>
      </c>
      <c r="J36">
        <f t="shared" si="3"/>
        <v>8.6031150866517869</v>
      </c>
      <c r="K36">
        <f t="shared" si="3"/>
        <v>7.3740986457015314</v>
      </c>
      <c r="O36">
        <f>I36*0.23+0.12*J36+0.18*K36</f>
        <v>8.0131871949956643</v>
      </c>
      <c r="P36">
        <f>I36+0.36*J36</f>
        <v>27.677450250199751</v>
      </c>
      <c r="Q36">
        <f>O36*2+P36</f>
        <v>43.70382464019108</v>
      </c>
    </row>
    <row r="37" spans="1:17">
      <c r="A37" s="4" t="s">
        <v>1</v>
      </c>
      <c r="B37" s="25">
        <v>4</v>
      </c>
    </row>
    <row r="40" spans="1:17">
      <c r="A40" s="4"/>
    </row>
  </sheetData>
  <phoneticPr fontId="7" type="noConversion"/>
  <pageMargins left="0.75" right="0.75" top="1" bottom="1" header="0.5" footer="0.5"/>
  <pageSetup paperSize="9"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>
  <dimension ref="A2:A30"/>
  <sheetViews>
    <sheetView workbookViewId="0">
      <selection activeCell="A30" sqref="A30"/>
    </sheetView>
  </sheetViews>
  <sheetFormatPr defaultRowHeight="13.2"/>
  <cols>
    <col min="1" max="1" width="40" customWidth="1"/>
  </cols>
  <sheetData>
    <row r="2" spans="1:1" ht="31.2">
      <c r="A2" s="27" t="s">
        <v>115</v>
      </c>
    </row>
    <row r="3" spans="1:1" s="28" customFormat="1"/>
    <row r="4" spans="1:1" s="22" customFormat="1"/>
    <row r="5" spans="1:1">
      <c r="A5" t="s">
        <v>116</v>
      </c>
    </row>
    <row r="7" spans="1:1">
      <c r="A7" t="s">
        <v>117</v>
      </c>
    </row>
    <row r="8" spans="1:1">
      <c r="A8" t="s">
        <v>118</v>
      </c>
    </row>
    <row r="10" spans="1:1">
      <c r="A10" t="s">
        <v>119</v>
      </c>
    </row>
    <row r="12" spans="1:1">
      <c r="A12" t="s">
        <v>120</v>
      </c>
    </row>
    <row r="13" spans="1:1">
      <c r="A13" t="s">
        <v>121</v>
      </c>
    </row>
    <row r="15" spans="1:1">
      <c r="A15" t="s">
        <v>122</v>
      </c>
    </row>
    <row r="17" spans="1:1">
      <c r="A17" t="s">
        <v>123</v>
      </c>
    </row>
    <row r="18" spans="1:1">
      <c r="A18" t="s">
        <v>124</v>
      </c>
    </row>
    <row r="20" spans="1:1">
      <c r="A20" t="s">
        <v>125</v>
      </c>
    </row>
    <row r="22" spans="1:1">
      <c r="A22" t="s">
        <v>126</v>
      </c>
    </row>
    <row r="23" spans="1:1">
      <c r="A23" t="s">
        <v>127</v>
      </c>
    </row>
    <row r="25" spans="1:1">
      <c r="A25" t="s">
        <v>128</v>
      </c>
    </row>
    <row r="27" spans="1:1">
      <c r="A27" t="s">
        <v>129</v>
      </c>
    </row>
    <row r="28" spans="1:1">
      <c r="A28" t="s">
        <v>130</v>
      </c>
    </row>
    <row r="30" spans="1:1" s="28" customFormat="1"/>
  </sheetData>
  <phoneticPr fontId="7" type="noConversion"/>
  <pageMargins left="0.75" right="0.75" top="1" bottom="1" header="0.5" footer="0.5"/>
  <pageSetup paperSize="9" orientation="portrait" horizontalDpi="0" verticalDpi="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>
  <dimension ref="A1:AB85"/>
  <sheetViews>
    <sheetView workbookViewId="0">
      <selection activeCell="D26" sqref="D26"/>
    </sheetView>
  </sheetViews>
  <sheetFormatPr defaultRowHeight="13.2"/>
  <cols>
    <col min="1" max="1" width="12" customWidth="1"/>
    <col min="2" max="2" width="10.6640625" customWidth="1"/>
    <col min="3" max="3" width="11.109375" customWidth="1"/>
    <col min="4" max="4" width="11.109375" style="44" customWidth="1"/>
    <col min="5" max="5" width="12" bestFit="1" customWidth="1"/>
    <col min="7" max="7" width="11" customWidth="1"/>
    <col min="8" max="8" width="12" customWidth="1"/>
    <col min="9" max="9" width="10.88671875" customWidth="1"/>
    <col min="10" max="10" width="12.33203125" customWidth="1"/>
    <col min="12" max="12" width="16.6640625" customWidth="1"/>
    <col min="13" max="14" width="11.33203125" customWidth="1"/>
    <col min="16" max="16" width="12.5546875" customWidth="1"/>
    <col min="17" max="17" width="11.88671875" bestFit="1" customWidth="1"/>
    <col min="23" max="23" width="17" bestFit="1" customWidth="1"/>
    <col min="24" max="24" width="12.88671875" customWidth="1"/>
  </cols>
  <sheetData>
    <row r="1" spans="1:27">
      <c r="A1" s="4" t="s">
        <v>93</v>
      </c>
      <c r="B1" t="s">
        <v>180</v>
      </c>
      <c r="C1" s="1" t="s">
        <v>64</v>
      </c>
      <c r="D1" s="1" t="s">
        <v>98</v>
      </c>
    </row>
    <row r="2" spans="1:27">
      <c r="B2" t="s">
        <v>1</v>
      </c>
      <c r="C2" s="1" t="s">
        <v>65</v>
      </c>
      <c r="D2" s="1" t="s">
        <v>97</v>
      </c>
      <c r="L2" t="s">
        <v>81</v>
      </c>
    </row>
    <row r="3" spans="1:27">
      <c r="B3" t="s">
        <v>189</v>
      </c>
      <c r="C3" s="1">
        <v>0</v>
      </c>
    </row>
    <row r="4" spans="1:27">
      <c r="L4" t="s">
        <v>0</v>
      </c>
      <c r="M4" t="s">
        <v>82</v>
      </c>
      <c r="O4" t="s">
        <v>83</v>
      </c>
      <c r="Q4" t="s">
        <v>96</v>
      </c>
      <c r="R4" t="s">
        <v>82</v>
      </c>
      <c r="W4" t="s">
        <v>292</v>
      </c>
      <c r="Z4" t="s">
        <v>304</v>
      </c>
      <c r="AA4" t="s">
        <v>305</v>
      </c>
    </row>
    <row r="5" spans="1:27">
      <c r="A5" s="4" t="s">
        <v>192</v>
      </c>
      <c r="B5" s="45" t="s">
        <v>181</v>
      </c>
      <c r="C5" s="46" t="s">
        <v>61</v>
      </c>
      <c r="D5" s="45" t="s">
        <v>182</v>
      </c>
      <c r="E5" s="46" t="s">
        <v>63</v>
      </c>
      <c r="L5" t="s">
        <v>63</v>
      </c>
      <c r="M5">
        <v>1</v>
      </c>
      <c r="N5" t="s">
        <v>63</v>
      </c>
      <c r="O5">
        <v>1</v>
      </c>
      <c r="P5" t="s">
        <v>63</v>
      </c>
      <c r="Q5" t="s">
        <v>95</v>
      </c>
      <c r="R5">
        <v>1</v>
      </c>
      <c r="T5">
        <v>1</v>
      </c>
      <c r="U5" t="s">
        <v>63</v>
      </c>
      <c r="W5" t="s">
        <v>293</v>
      </c>
      <c r="X5">
        <v>0</v>
      </c>
      <c r="Z5">
        <v>17</v>
      </c>
      <c r="AA5">
        <v>1</v>
      </c>
    </row>
    <row r="6" spans="1:27">
      <c r="B6" s="45" t="s">
        <v>183</v>
      </c>
      <c r="C6" s="46" t="s">
        <v>65</v>
      </c>
      <c r="D6" s="45" t="s">
        <v>184</v>
      </c>
      <c r="E6" s="46" t="s">
        <v>65</v>
      </c>
      <c r="L6" t="s">
        <v>69</v>
      </c>
      <c r="M6">
        <v>2</v>
      </c>
      <c r="N6" t="s">
        <v>69</v>
      </c>
      <c r="O6">
        <v>2</v>
      </c>
      <c r="P6" t="s">
        <v>69</v>
      </c>
      <c r="Q6" t="s">
        <v>97</v>
      </c>
      <c r="R6">
        <v>0.5</v>
      </c>
      <c r="T6">
        <v>2</v>
      </c>
      <c r="U6" t="s">
        <v>69</v>
      </c>
      <c r="X6">
        <v>0.25</v>
      </c>
      <c r="Z6">
        <v>18</v>
      </c>
      <c r="AA6">
        <v>1</v>
      </c>
    </row>
    <row r="7" spans="1:27">
      <c r="B7" s="45" t="s">
        <v>185</v>
      </c>
      <c r="C7" s="46" t="s">
        <v>62</v>
      </c>
      <c r="D7" s="45" t="s">
        <v>186</v>
      </c>
      <c r="E7" s="46" t="s">
        <v>72</v>
      </c>
      <c r="L7" t="s">
        <v>68</v>
      </c>
      <c r="M7">
        <v>3</v>
      </c>
      <c r="N7" t="s">
        <v>68</v>
      </c>
      <c r="O7">
        <v>3</v>
      </c>
      <c r="P7" t="s">
        <v>68</v>
      </c>
      <c r="Q7" t="s">
        <v>98</v>
      </c>
      <c r="R7">
        <v>0</v>
      </c>
      <c r="T7">
        <v>3</v>
      </c>
      <c r="U7" t="s">
        <v>68</v>
      </c>
      <c r="X7">
        <v>0.5</v>
      </c>
      <c r="Z7">
        <v>19</v>
      </c>
      <c r="AA7">
        <v>1</v>
      </c>
    </row>
    <row r="8" spans="1:27">
      <c r="B8" s="45" t="s">
        <v>187</v>
      </c>
      <c r="C8" s="46" t="s">
        <v>65</v>
      </c>
      <c r="D8" s="45" t="s">
        <v>188</v>
      </c>
      <c r="E8" s="46" t="s">
        <v>64</v>
      </c>
      <c r="L8" t="s">
        <v>67</v>
      </c>
      <c r="M8">
        <v>4</v>
      </c>
      <c r="N8" t="s">
        <v>67</v>
      </c>
      <c r="O8">
        <v>4</v>
      </c>
      <c r="P8" t="s">
        <v>67</v>
      </c>
      <c r="T8">
        <v>4</v>
      </c>
      <c r="U8" t="s">
        <v>67</v>
      </c>
      <c r="X8">
        <v>0.75</v>
      </c>
      <c r="Z8">
        <v>20</v>
      </c>
      <c r="AA8">
        <v>1</v>
      </c>
    </row>
    <row r="9" spans="1:27">
      <c r="L9" t="s">
        <v>65</v>
      </c>
      <c r="M9">
        <v>5</v>
      </c>
      <c r="N9" t="s">
        <v>65</v>
      </c>
      <c r="O9">
        <v>5</v>
      </c>
      <c r="P9" t="s">
        <v>65</v>
      </c>
      <c r="Q9">
        <v>0</v>
      </c>
      <c r="R9" t="s">
        <v>154</v>
      </c>
      <c r="T9">
        <v>5</v>
      </c>
      <c r="U9" t="s">
        <v>65</v>
      </c>
      <c r="X9">
        <v>1</v>
      </c>
      <c r="Z9">
        <v>21</v>
      </c>
      <c r="AA9">
        <v>1</v>
      </c>
    </row>
    <row r="10" spans="1:27">
      <c r="L10" t="s">
        <v>64</v>
      </c>
      <c r="M10">
        <v>6</v>
      </c>
      <c r="N10" t="s">
        <v>64</v>
      </c>
      <c r="O10">
        <v>6</v>
      </c>
      <c r="P10" t="s">
        <v>64</v>
      </c>
      <c r="Q10">
        <v>1</v>
      </c>
      <c r="R10" t="s">
        <v>98</v>
      </c>
      <c r="T10">
        <v>6</v>
      </c>
      <c r="U10" t="s">
        <v>64</v>
      </c>
      <c r="X10">
        <v>1.25</v>
      </c>
      <c r="Z10">
        <v>22</v>
      </c>
      <c r="AA10">
        <v>1</v>
      </c>
    </row>
    <row r="11" spans="1:27">
      <c r="L11" t="s">
        <v>70</v>
      </c>
      <c r="M11">
        <v>7</v>
      </c>
      <c r="N11" t="s">
        <v>70</v>
      </c>
      <c r="O11">
        <v>7</v>
      </c>
      <c r="P11" t="s">
        <v>70</v>
      </c>
      <c r="Q11">
        <v>2</v>
      </c>
      <c r="R11" t="s">
        <v>95</v>
      </c>
      <c r="T11">
        <v>7</v>
      </c>
      <c r="U11" t="s">
        <v>70</v>
      </c>
      <c r="X11">
        <v>1.5</v>
      </c>
      <c r="Z11">
        <v>23</v>
      </c>
      <c r="AA11">
        <v>1</v>
      </c>
    </row>
    <row r="12" spans="1:27">
      <c r="L12" t="s">
        <v>61</v>
      </c>
      <c r="M12">
        <v>8</v>
      </c>
      <c r="N12" t="s">
        <v>61</v>
      </c>
      <c r="O12">
        <v>8</v>
      </c>
      <c r="P12" t="s">
        <v>61</v>
      </c>
      <c r="Q12">
        <v>3</v>
      </c>
      <c r="R12" t="s">
        <v>155</v>
      </c>
      <c r="T12">
        <v>8</v>
      </c>
      <c r="U12" t="s">
        <v>61</v>
      </c>
      <c r="X12">
        <v>1.75</v>
      </c>
      <c r="Z12">
        <v>24</v>
      </c>
      <c r="AA12">
        <v>1</v>
      </c>
    </row>
    <row r="13" spans="1:27">
      <c r="A13" s="4" t="s">
        <v>94</v>
      </c>
      <c r="F13" t="s">
        <v>191</v>
      </c>
      <c r="L13" t="s">
        <v>71</v>
      </c>
      <c r="M13">
        <v>9</v>
      </c>
      <c r="N13" t="s">
        <v>71</v>
      </c>
      <c r="O13">
        <v>9</v>
      </c>
      <c r="P13" t="s">
        <v>71</v>
      </c>
      <c r="T13">
        <v>9</v>
      </c>
      <c r="U13" t="s">
        <v>71</v>
      </c>
      <c r="X13">
        <v>2</v>
      </c>
      <c r="Z13">
        <v>25</v>
      </c>
      <c r="AA13">
        <v>1</v>
      </c>
    </row>
    <row r="14" spans="1:27">
      <c r="A14" s="4"/>
      <c r="B14" t="s">
        <v>180</v>
      </c>
      <c r="C14" s="1">
        <v>19</v>
      </c>
      <c r="D14" s="44" t="s">
        <v>190</v>
      </c>
      <c r="E14" s="1">
        <f>VLOOKUP(D1, $Q$5:$R$7, 2, FALSE)</f>
        <v>0</v>
      </c>
      <c r="F14">
        <f>1+SQRT(C14+E14)*7/100</f>
        <v>1.3051229260478472</v>
      </c>
      <c r="L14" t="s">
        <v>62</v>
      </c>
      <c r="M14">
        <v>10</v>
      </c>
      <c r="N14" t="s">
        <v>62</v>
      </c>
      <c r="O14">
        <v>10</v>
      </c>
      <c r="P14" t="s">
        <v>62</v>
      </c>
      <c r="Q14">
        <v>0</v>
      </c>
      <c r="R14" t="s">
        <v>154</v>
      </c>
      <c r="S14">
        <v>0</v>
      </c>
      <c r="T14">
        <v>10</v>
      </c>
      <c r="U14" t="s">
        <v>62</v>
      </c>
      <c r="X14">
        <v>2.25</v>
      </c>
      <c r="Z14">
        <v>26</v>
      </c>
      <c r="AA14">
        <v>1</v>
      </c>
    </row>
    <row r="15" spans="1:27">
      <c r="B15" t="s">
        <v>1</v>
      </c>
      <c r="C15" s="1">
        <f>VLOOKUP(C2, $N$5:$O$24, 2, FALSE)</f>
        <v>5</v>
      </c>
      <c r="D15" s="44" t="s">
        <v>99</v>
      </c>
      <c r="E15" s="1">
        <f>VLOOKUP(D2, $Q$5:$R$7, 2, FALSE)</f>
        <v>0.5</v>
      </c>
      <c r="F15">
        <f>SQRT(C15+E15)/SQRT(7)</f>
        <v>0.88640526042791834</v>
      </c>
      <c r="L15" t="s">
        <v>66</v>
      </c>
      <c r="M15">
        <v>11</v>
      </c>
      <c r="N15" t="s">
        <v>66</v>
      </c>
      <c r="O15">
        <v>11</v>
      </c>
      <c r="P15" t="s">
        <v>66</v>
      </c>
      <c r="Q15">
        <v>0.25</v>
      </c>
      <c r="R15" t="s">
        <v>98</v>
      </c>
      <c r="S15">
        <v>0.25</v>
      </c>
      <c r="T15">
        <v>11</v>
      </c>
      <c r="U15" t="s">
        <v>66</v>
      </c>
      <c r="X15">
        <v>2.5</v>
      </c>
      <c r="Z15">
        <v>27</v>
      </c>
      <c r="AA15">
        <v>1</v>
      </c>
    </row>
    <row r="16" spans="1:27">
      <c r="B16" t="s">
        <v>189</v>
      </c>
      <c r="C16" s="1">
        <f>C3</f>
        <v>0</v>
      </c>
      <c r="E16" s="1"/>
      <c r="F16">
        <f>SQRT(C18+C16)/SQRT(7)</f>
        <v>1.0690449676496976</v>
      </c>
      <c r="L16" t="s">
        <v>72</v>
      </c>
      <c r="M16">
        <v>12</v>
      </c>
      <c r="N16" t="s">
        <v>72</v>
      </c>
      <c r="O16">
        <v>12</v>
      </c>
      <c r="P16" t="s">
        <v>72</v>
      </c>
      <c r="Q16">
        <v>0.5</v>
      </c>
      <c r="R16" t="s">
        <v>95</v>
      </c>
      <c r="S16">
        <v>0.5</v>
      </c>
      <c r="T16">
        <v>12</v>
      </c>
      <c r="U16" t="s">
        <v>72</v>
      </c>
      <c r="X16">
        <v>2.75</v>
      </c>
      <c r="Z16">
        <v>28</v>
      </c>
      <c r="AA16">
        <v>1</v>
      </c>
    </row>
    <row r="17" spans="1:28">
      <c r="L17" t="s">
        <v>73</v>
      </c>
      <c r="M17">
        <v>13</v>
      </c>
      <c r="N17" t="s">
        <v>73</v>
      </c>
      <c r="O17">
        <v>13</v>
      </c>
      <c r="P17" t="s">
        <v>73</v>
      </c>
      <c r="Q17">
        <v>0.75</v>
      </c>
      <c r="R17" t="s">
        <v>155</v>
      </c>
      <c r="S17">
        <v>0.75</v>
      </c>
      <c r="T17">
        <v>13</v>
      </c>
      <c r="U17" t="s">
        <v>73</v>
      </c>
      <c r="X17">
        <v>3</v>
      </c>
      <c r="Z17">
        <v>29</v>
      </c>
      <c r="AA17">
        <f>8/7</f>
        <v>1.1428571428571428</v>
      </c>
    </row>
    <row r="18" spans="1:28">
      <c r="B18" t="s">
        <v>84</v>
      </c>
      <c r="C18" s="1">
        <f>VLOOKUP(C5, $N$5:$O$24, 2, FALSE)</f>
        <v>8</v>
      </c>
      <c r="D18" s="44" t="s">
        <v>89</v>
      </c>
      <c r="E18" s="1">
        <f>VLOOKUP(E5, $N$5:$O$24, 2, FALSE)</f>
        <v>1</v>
      </c>
      <c r="H18" s="1"/>
      <c r="L18" t="s">
        <v>74</v>
      </c>
      <c r="M18">
        <v>14</v>
      </c>
      <c r="N18" t="s">
        <v>74</v>
      </c>
      <c r="O18">
        <v>14</v>
      </c>
      <c r="P18" t="s">
        <v>74</v>
      </c>
      <c r="T18">
        <v>14</v>
      </c>
      <c r="U18" t="s">
        <v>74</v>
      </c>
      <c r="X18">
        <v>3.25</v>
      </c>
      <c r="Z18">
        <v>30</v>
      </c>
      <c r="AA18">
        <f>AA17*7/6</f>
        <v>1.3333333333333333</v>
      </c>
    </row>
    <row r="19" spans="1:28">
      <c r="B19" t="s">
        <v>85</v>
      </c>
      <c r="C19" s="1">
        <f>VLOOKUP(C6, $N$5:$O$24, 2, FALSE)</f>
        <v>5</v>
      </c>
      <c r="D19" s="44" t="s">
        <v>90</v>
      </c>
      <c r="E19" s="1">
        <f>VLOOKUP(E6, $N$5:$O$24, 2, FALSE)</f>
        <v>5</v>
      </c>
      <c r="L19" t="s">
        <v>75</v>
      </c>
      <c r="M19">
        <v>15</v>
      </c>
      <c r="N19" t="s">
        <v>75</v>
      </c>
      <c r="O19">
        <v>15</v>
      </c>
      <c r="P19" t="s">
        <v>75</v>
      </c>
      <c r="T19">
        <v>15</v>
      </c>
      <c r="U19" t="s">
        <v>75</v>
      </c>
      <c r="X19">
        <v>3.5</v>
      </c>
      <c r="Z19">
        <v>31</v>
      </c>
      <c r="AA19">
        <f>AA18*6/5</f>
        <v>1.6</v>
      </c>
      <c r="AB19" t="s">
        <v>431</v>
      </c>
    </row>
    <row r="20" spans="1:28">
      <c r="B20" t="s">
        <v>86</v>
      </c>
      <c r="C20" s="1">
        <f>VLOOKUP(C7, $N$5:$O$24, 2, FALSE)</f>
        <v>10</v>
      </c>
      <c r="D20" s="44" t="s">
        <v>91</v>
      </c>
      <c r="E20" s="1">
        <f>VLOOKUP(E7, $N$5:$O$24, 2, FALSE)</f>
        <v>12</v>
      </c>
      <c r="L20" t="s">
        <v>76</v>
      </c>
      <c r="M20">
        <v>16</v>
      </c>
      <c r="N20" t="s">
        <v>76</v>
      </c>
      <c r="O20">
        <v>16</v>
      </c>
      <c r="P20" t="s">
        <v>76</v>
      </c>
      <c r="T20">
        <v>16</v>
      </c>
      <c r="U20" t="s">
        <v>76</v>
      </c>
      <c r="X20">
        <v>3.75</v>
      </c>
      <c r="Z20">
        <v>32</v>
      </c>
      <c r="AA20">
        <f>AA19*5/4</f>
        <v>2</v>
      </c>
    </row>
    <row r="21" spans="1:28">
      <c r="B21" t="s">
        <v>87</v>
      </c>
      <c r="C21" s="1">
        <f>VLOOKUP(C8, $N$5:$O$24, 2, FALSE)</f>
        <v>5</v>
      </c>
      <c r="D21" s="44" t="s">
        <v>88</v>
      </c>
      <c r="E21" s="1">
        <f>VLOOKUP(E8, $N$5:$O$24, 2, FALSE)</f>
        <v>6</v>
      </c>
      <c r="L21" t="s">
        <v>77</v>
      </c>
      <c r="M21">
        <v>17</v>
      </c>
      <c r="N21" t="s">
        <v>77</v>
      </c>
      <c r="O21">
        <v>17</v>
      </c>
      <c r="P21" t="s">
        <v>77</v>
      </c>
      <c r="T21">
        <v>17</v>
      </c>
      <c r="U21" t="s">
        <v>77</v>
      </c>
      <c r="X21">
        <v>4</v>
      </c>
      <c r="Z21">
        <v>33</v>
      </c>
      <c r="AA21">
        <f>AA20*4/3</f>
        <v>2.6666666666666665</v>
      </c>
    </row>
    <row r="22" spans="1:28">
      <c r="L22" t="s">
        <v>78</v>
      </c>
      <c r="M22">
        <v>18</v>
      </c>
      <c r="N22" t="s">
        <v>78</v>
      </c>
      <c r="O22">
        <v>18</v>
      </c>
      <c r="P22" t="s">
        <v>78</v>
      </c>
      <c r="T22">
        <v>18</v>
      </c>
      <c r="U22" t="s">
        <v>78</v>
      </c>
      <c r="X22">
        <v>4.25</v>
      </c>
      <c r="Z22">
        <v>34</v>
      </c>
      <c r="AA22">
        <f>AA21*3/2</f>
        <v>4</v>
      </c>
    </row>
    <row r="23" spans="1:28" ht="13.8" thickBot="1">
      <c r="A23" s="4" t="s">
        <v>92</v>
      </c>
      <c r="L23" t="s">
        <v>79</v>
      </c>
      <c r="M23">
        <v>19</v>
      </c>
      <c r="N23" t="s">
        <v>79</v>
      </c>
      <c r="O23">
        <v>19</v>
      </c>
      <c r="P23" t="s">
        <v>79</v>
      </c>
      <c r="T23">
        <v>19</v>
      </c>
      <c r="U23" t="s">
        <v>79</v>
      </c>
      <c r="X23">
        <v>4.5</v>
      </c>
      <c r="Z23">
        <v>35</v>
      </c>
      <c r="AA23">
        <f>AA22*2/1</f>
        <v>8</v>
      </c>
    </row>
    <row r="24" spans="1:28">
      <c r="B24" t="s">
        <v>84</v>
      </c>
      <c r="C24" s="8">
        <f>C18</f>
        <v>8</v>
      </c>
      <c r="D24" s="44" t="s">
        <v>89</v>
      </c>
      <c r="E24" s="8">
        <f>E18*$F$14*$F$15*$F$16</f>
        <v>1.236743728854705</v>
      </c>
      <c r="G24" s="53" t="s">
        <v>84</v>
      </c>
      <c r="H24" s="48" t="str">
        <f>VLOOKUP(FLOOR(C24,1), $O$5:$P$24,2, FALSE)</f>
        <v>fenomenal</v>
      </c>
      <c r="I24" s="56" t="s">
        <v>89</v>
      </c>
      <c r="J24" s="49" t="str">
        <f>VLOOKUP(FLOOR(E24,1), $O$5:$P$24,2, FALSE)</f>
        <v>katastrofal</v>
      </c>
      <c r="L24" t="s">
        <v>80</v>
      </c>
      <c r="M24">
        <v>20</v>
      </c>
      <c r="N24" t="s">
        <v>80</v>
      </c>
      <c r="O24">
        <v>20</v>
      </c>
      <c r="P24" t="s">
        <v>80</v>
      </c>
      <c r="T24">
        <v>20</v>
      </c>
      <c r="U24" t="s">
        <v>80</v>
      </c>
      <c r="X24">
        <v>4.75</v>
      </c>
      <c r="Z24">
        <v>36</v>
      </c>
      <c r="AA24">
        <f>AA23</f>
        <v>8</v>
      </c>
    </row>
    <row r="25" spans="1:28">
      <c r="B25" t="s">
        <v>85</v>
      </c>
      <c r="C25" s="8">
        <f>C19*$F$14*$F$15*$F$16</f>
        <v>6.183718644273525</v>
      </c>
      <c r="D25" s="44" t="s">
        <v>90</v>
      </c>
      <c r="E25" s="8">
        <f>E19*$F$14*$F$15*$F$16</f>
        <v>6.183718644273525</v>
      </c>
      <c r="G25" s="54" t="s">
        <v>85</v>
      </c>
      <c r="H25" s="47" t="str">
        <f>VLOOKUP(FLOOR(C25,1), $O$5:$P$24,2, FALSE)</f>
        <v>ypperlig</v>
      </c>
      <c r="I25" s="57" t="s">
        <v>90</v>
      </c>
      <c r="J25" s="50" t="str">
        <f>VLOOKUP(FLOOR(E25,1), $O$5:$P$24,2, FALSE)</f>
        <v>ypperlig</v>
      </c>
      <c r="L25" t="s">
        <v>156</v>
      </c>
      <c r="M25">
        <v>21</v>
      </c>
      <c r="N25" t="s">
        <v>156</v>
      </c>
      <c r="O25">
        <v>21</v>
      </c>
      <c r="P25" t="s">
        <v>156</v>
      </c>
      <c r="T25">
        <v>21</v>
      </c>
      <c r="U25" t="s">
        <v>156</v>
      </c>
      <c r="X25">
        <v>5</v>
      </c>
      <c r="Z25">
        <v>37</v>
      </c>
      <c r="AA25">
        <f t="shared" ref="AA25:AA33" si="0">AA24</f>
        <v>8</v>
      </c>
    </row>
    <row r="26" spans="1:28">
      <c r="B26" t="s">
        <v>86</v>
      </c>
      <c r="C26" s="8">
        <f>C20*$F$14*$F$15*$F$16</f>
        <v>12.36743728854705</v>
      </c>
      <c r="D26" s="44" t="s">
        <v>91</v>
      </c>
      <c r="E26" s="8">
        <f>E20*$F$14*$F$15*$F$16</f>
        <v>14.840924746256459</v>
      </c>
      <c r="G26" s="54" t="s">
        <v>86</v>
      </c>
      <c r="H26" s="47" t="str">
        <f>VLOOKUP(FLOOR(C26,1), $O$5:$P$24,2, FALSE)</f>
        <v>övernaturlig</v>
      </c>
      <c r="I26" s="57" t="s">
        <v>91</v>
      </c>
      <c r="J26" s="50" t="str">
        <f>VLOOKUP(FLOOR(E26,1), $O$5:$P$24,2, FALSE)</f>
        <v>himmelsk</v>
      </c>
      <c r="L26" t="s">
        <v>157</v>
      </c>
      <c r="M26">
        <v>22</v>
      </c>
      <c r="N26" t="s">
        <v>157</v>
      </c>
      <c r="O26">
        <v>22</v>
      </c>
      <c r="P26" t="s">
        <v>157</v>
      </c>
      <c r="T26">
        <v>22</v>
      </c>
      <c r="U26" t="s">
        <v>157</v>
      </c>
      <c r="X26">
        <v>5.25</v>
      </c>
      <c r="Z26">
        <v>38</v>
      </c>
      <c r="AA26">
        <f t="shared" si="0"/>
        <v>8</v>
      </c>
    </row>
    <row r="27" spans="1:28" ht="13.8" thickBot="1">
      <c r="B27" t="s">
        <v>87</v>
      </c>
      <c r="C27" s="8">
        <f>C21*$F$14*$F$15*$F$16</f>
        <v>6.183718644273525</v>
      </c>
      <c r="D27" s="44" t="s">
        <v>88</v>
      </c>
      <c r="E27" s="8">
        <f>E21*$F$14*$F$15*$F$16</f>
        <v>7.4204623731282293</v>
      </c>
      <c r="G27" s="55" t="s">
        <v>87</v>
      </c>
      <c r="H27" s="51" t="str">
        <f>VLOOKUP(FLOOR(C27,1), $O$5:$P$24,2, FALSE)</f>
        <v>ypperlig</v>
      </c>
      <c r="I27" s="58" t="s">
        <v>88</v>
      </c>
      <c r="J27" s="52" t="str">
        <f>VLOOKUP(FLOOR(E27,1), $O$5:$P$24,2, FALSE)</f>
        <v>enastående</v>
      </c>
      <c r="L27" t="s">
        <v>158</v>
      </c>
      <c r="M27">
        <v>23</v>
      </c>
      <c r="N27" t="s">
        <v>158</v>
      </c>
      <c r="O27">
        <v>23</v>
      </c>
      <c r="P27" t="s">
        <v>158</v>
      </c>
      <c r="T27">
        <v>23</v>
      </c>
      <c r="U27" t="s">
        <v>158</v>
      </c>
      <c r="X27">
        <v>5.5</v>
      </c>
      <c r="Z27">
        <v>39</v>
      </c>
      <c r="AA27">
        <f t="shared" si="0"/>
        <v>8</v>
      </c>
    </row>
    <row r="28" spans="1:28">
      <c r="A28" s="4"/>
      <c r="L28" t="s">
        <v>159</v>
      </c>
      <c r="M28">
        <v>24</v>
      </c>
      <c r="N28" t="s">
        <v>159</v>
      </c>
      <c r="O28">
        <v>24</v>
      </c>
      <c r="P28" t="s">
        <v>159</v>
      </c>
      <c r="T28">
        <v>24</v>
      </c>
      <c r="U28" t="s">
        <v>159</v>
      </c>
      <c r="X28">
        <v>5.75</v>
      </c>
      <c r="Z28">
        <v>40</v>
      </c>
      <c r="AA28">
        <f t="shared" si="0"/>
        <v>8</v>
      </c>
    </row>
    <row r="29" spans="1:28">
      <c r="E29" s="7"/>
      <c r="L29" t="s">
        <v>160</v>
      </c>
      <c r="M29">
        <v>25</v>
      </c>
      <c r="N29" t="s">
        <v>160</v>
      </c>
      <c r="O29">
        <v>25</v>
      </c>
      <c r="P29" t="s">
        <v>160</v>
      </c>
      <c r="T29">
        <v>25</v>
      </c>
      <c r="U29" t="s">
        <v>160</v>
      </c>
      <c r="X29">
        <v>6</v>
      </c>
      <c r="Z29">
        <v>41</v>
      </c>
      <c r="AA29">
        <f t="shared" si="0"/>
        <v>8</v>
      </c>
    </row>
    <row r="30" spans="1:28">
      <c r="C30" s="7"/>
      <c r="E30" s="7"/>
      <c r="L30" t="s">
        <v>161</v>
      </c>
      <c r="M30">
        <v>26</v>
      </c>
      <c r="N30" t="s">
        <v>161</v>
      </c>
      <c r="O30">
        <v>26</v>
      </c>
      <c r="P30" t="s">
        <v>161</v>
      </c>
      <c r="T30">
        <v>26</v>
      </c>
      <c r="U30" t="s">
        <v>161</v>
      </c>
      <c r="X30">
        <v>6.25</v>
      </c>
      <c r="Z30">
        <v>42</v>
      </c>
      <c r="AA30">
        <f t="shared" si="0"/>
        <v>8</v>
      </c>
    </row>
    <row r="31" spans="1:28">
      <c r="L31" t="s">
        <v>162</v>
      </c>
      <c r="M31">
        <v>27</v>
      </c>
      <c r="N31" t="s">
        <v>162</v>
      </c>
      <c r="O31">
        <v>27</v>
      </c>
      <c r="P31" t="s">
        <v>162</v>
      </c>
      <c r="T31">
        <v>27</v>
      </c>
      <c r="U31" t="s">
        <v>162</v>
      </c>
      <c r="X31">
        <v>6.5</v>
      </c>
      <c r="Z31">
        <v>43</v>
      </c>
      <c r="AA31">
        <f t="shared" si="0"/>
        <v>8</v>
      </c>
    </row>
    <row r="32" spans="1:28">
      <c r="C32" s="1"/>
      <c r="E32" s="1"/>
      <c r="L32" t="s">
        <v>163</v>
      </c>
      <c r="M32">
        <v>28</v>
      </c>
      <c r="N32" t="s">
        <v>163</v>
      </c>
      <c r="O32">
        <v>28</v>
      </c>
      <c r="P32" t="s">
        <v>163</v>
      </c>
      <c r="T32">
        <v>28</v>
      </c>
      <c r="U32" t="s">
        <v>163</v>
      </c>
      <c r="X32">
        <v>6.75</v>
      </c>
      <c r="Z32">
        <v>44</v>
      </c>
      <c r="AA32">
        <f t="shared" si="0"/>
        <v>8</v>
      </c>
    </row>
    <row r="33" spans="12:27">
      <c r="L33" t="s">
        <v>164</v>
      </c>
      <c r="M33">
        <v>29</v>
      </c>
      <c r="N33" t="s">
        <v>164</v>
      </c>
      <c r="O33">
        <v>29</v>
      </c>
      <c r="P33" t="s">
        <v>164</v>
      </c>
      <c r="T33">
        <v>29</v>
      </c>
      <c r="U33" t="s">
        <v>164</v>
      </c>
      <c r="X33">
        <v>7</v>
      </c>
      <c r="Z33">
        <v>45</v>
      </c>
      <c r="AA33">
        <f t="shared" si="0"/>
        <v>8</v>
      </c>
    </row>
    <row r="34" spans="12:27">
      <c r="L34" t="s">
        <v>165</v>
      </c>
      <c r="M34">
        <v>30</v>
      </c>
      <c r="N34" t="s">
        <v>165</v>
      </c>
      <c r="O34">
        <v>30</v>
      </c>
      <c r="P34" t="s">
        <v>165</v>
      </c>
      <c r="T34">
        <v>30</v>
      </c>
      <c r="U34" t="s">
        <v>165</v>
      </c>
      <c r="X34">
        <v>7.25</v>
      </c>
    </row>
    <row r="35" spans="12:27">
      <c r="L35" t="s">
        <v>166</v>
      </c>
      <c r="M35">
        <v>31</v>
      </c>
      <c r="N35" t="s">
        <v>166</v>
      </c>
      <c r="O35">
        <v>31</v>
      </c>
      <c r="P35" t="s">
        <v>166</v>
      </c>
      <c r="T35">
        <v>31</v>
      </c>
      <c r="U35" t="s">
        <v>166</v>
      </c>
      <c r="X35">
        <v>7.5</v>
      </c>
    </row>
    <row r="36" spans="12:27">
      <c r="L36" t="s">
        <v>167</v>
      </c>
      <c r="M36">
        <v>32</v>
      </c>
      <c r="N36" t="s">
        <v>167</v>
      </c>
      <c r="O36">
        <v>32</v>
      </c>
      <c r="P36" t="s">
        <v>167</v>
      </c>
      <c r="T36">
        <v>32</v>
      </c>
      <c r="U36" t="s">
        <v>167</v>
      </c>
      <c r="X36">
        <v>7.75</v>
      </c>
    </row>
    <row r="37" spans="12:27">
      <c r="L37" t="s">
        <v>168</v>
      </c>
      <c r="M37">
        <v>33</v>
      </c>
      <c r="N37" t="s">
        <v>168</v>
      </c>
      <c r="O37">
        <v>33</v>
      </c>
      <c r="P37" t="s">
        <v>168</v>
      </c>
      <c r="T37">
        <v>33</v>
      </c>
      <c r="U37" t="s">
        <v>168</v>
      </c>
      <c r="X37">
        <v>8</v>
      </c>
    </row>
    <row r="38" spans="12:27">
      <c r="L38" t="s">
        <v>169</v>
      </c>
      <c r="M38">
        <v>34</v>
      </c>
      <c r="N38" t="s">
        <v>169</v>
      </c>
      <c r="O38">
        <v>34</v>
      </c>
      <c r="P38" t="s">
        <v>169</v>
      </c>
      <c r="T38">
        <v>34</v>
      </c>
      <c r="U38" t="s">
        <v>169</v>
      </c>
      <c r="X38">
        <v>8.25</v>
      </c>
    </row>
    <row r="39" spans="12:27">
      <c r="L39" t="s">
        <v>170</v>
      </c>
      <c r="M39">
        <v>35</v>
      </c>
      <c r="N39" t="s">
        <v>170</v>
      </c>
      <c r="O39">
        <v>35</v>
      </c>
      <c r="P39" t="s">
        <v>170</v>
      </c>
      <c r="T39">
        <v>35</v>
      </c>
      <c r="U39" t="s">
        <v>170</v>
      </c>
      <c r="X39">
        <v>8.5</v>
      </c>
    </row>
    <row r="40" spans="12:27">
      <c r="L40" t="s">
        <v>171</v>
      </c>
      <c r="M40">
        <v>36</v>
      </c>
      <c r="N40" t="s">
        <v>171</v>
      </c>
      <c r="O40">
        <v>36</v>
      </c>
      <c r="P40" t="s">
        <v>171</v>
      </c>
      <c r="T40">
        <v>36</v>
      </c>
      <c r="U40" t="s">
        <v>171</v>
      </c>
      <c r="X40">
        <v>8.75</v>
      </c>
    </row>
    <row r="41" spans="12:27">
      <c r="L41" t="s">
        <v>172</v>
      </c>
      <c r="M41">
        <v>37</v>
      </c>
      <c r="N41" t="s">
        <v>172</v>
      </c>
      <c r="O41">
        <v>37</v>
      </c>
      <c r="P41" t="s">
        <v>172</v>
      </c>
      <c r="T41">
        <v>37</v>
      </c>
      <c r="U41" t="s">
        <v>172</v>
      </c>
      <c r="X41">
        <v>9</v>
      </c>
    </row>
    <row r="42" spans="12:27">
      <c r="L42" t="s">
        <v>173</v>
      </c>
      <c r="M42">
        <v>38</v>
      </c>
      <c r="N42" t="s">
        <v>173</v>
      </c>
      <c r="O42">
        <v>38</v>
      </c>
      <c r="P42" t="s">
        <v>173</v>
      </c>
      <c r="T42">
        <v>38</v>
      </c>
      <c r="U42" t="s">
        <v>173</v>
      </c>
      <c r="X42">
        <v>9.25</v>
      </c>
    </row>
    <row r="43" spans="12:27">
      <c r="L43" t="s">
        <v>174</v>
      </c>
      <c r="M43">
        <v>39</v>
      </c>
      <c r="N43" t="s">
        <v>174</v>
      </c>
      <c r="O43">
        <v>39</v>
      </c>
      <c r="P43" t="s">
        <v>174</v>
      </c>
      <c r="T43">
        <v>39</v>
      </c>
      <c r="U43" t="s">
        <v>174</v>
      </c>
      <c r="X43">
        <v>9.5</v>
      </c>
    </row>
    <row r="44" spans="12:27">
      <c r="L44" t="s">
        <v>175</v>
      </c>
      <c r="M44">
        <v>40</v>
      </c>
      <c r="N44" t="s">
        <v>175</v>
      </c>
      <c r="O44">
        <v>40</v>
      </c>
      <c r="P44" t="s">
        <v>175</v>
      </c>
      <c r="T44">
        <v>40</v>
      </c>
      <c r="U44" t="s">
        <v>175</v>
      </c>
      <c r="X44">
        <v>9.75</v>
      </c>
    </row>
    <row r="45" spans="12:27">
      <c r="X45">
        <v>10</v>
      </c>
    </row>
    <row r="46" spans="12:27">
      <c r="X46">
        <v>10.25</v>
      </c>
    </row>
    <row r="47" spans="12:27">
      <c r="X47">
        <v>10.5</v>
      </c>
    </row>
    <row r="48" spans="12:27">
      <c r="X48">
        <v>10.75</v>
      </c>
    </row>
    <row r="49" spans="24:24">
      <c r="X49">
        <v>11</v>
      </c>
    </row>
    <row r="50" spans="24:24">
      <c r="X50">
        <v>11.25</v>
      </c>
    </row>
    <row r="51" spans="24:24">
      <c r="X51">
        <v>11.5</v>
      </c>
    </row>
    <row r="52" spans="24:24">
      <c r="X52">
        <v>11.75</v>
      </c>
    </row>
    <row r="53" spans="24:24">
      <c r="X53">
        <v>12</v>
      </c>
    </row>
    <row r="54" spans="24:24">
      <c r="X54">
        <v>12.25</v>
      </c>
    </row>
    <row r="55" spans="24:24">
      <c r="X55">
        <v>12.5</v>
      </c>
    </row>
    <row r="56" spans="24:24">
      <c r="X56">
        <v>12.75</v>
      </c>
    </row>
    <row r="57" spans="24:24">
      <c r="X57">
        <v>13</v>
      </c>
    </row>
    <row r="58" spans="24:24">
      <c r="X58">
        <v>13.25</v>
      </c>
    </row>
    <row r="59" spans="24:24">
      <c r="X59">
        <v>13.5</v>
      </c>
    </row>
    <row r="60" spans="24:24">
      <c r="X60">
        <v>13.75</v>
      </c>
    </row>
    <row r="61" spans="24:24">
      <c r="X61">
        <v>14</v>
      </c>
    </row>
    <row r="62" spans="24:24">
      <c r="X62">
        <v>14.25</v>
      </c>
    </row>
    <row r="63" spans="24:24">
      <c r="X63">
        <v>14.5</v>
      </c>
    </row>
    <row r="64" spans="24:24">
      <c r="X64">
        <v>14.75</v>
      </c>
    </row>
    <row r="65" spans="24:24">
      <c r="X65">
        <v>15</v>
      </c>
    </row>
    <row r="66" spans="24:24">
      <c r="X66">
        <v>15.25</v>
      </c>
    </row>
    <row r="67" spans="24:24">
      <c r="X67">
        <v>15.5</v>
      </c>
    </row>
    <row r="68" spans="24:24">
      <c r="X68">
        <v>15.75</v>
      </c>
    </row>
    <row r="69" spans="24:24">
      <c r="X69">
        <v>16</v>
      </c>
    </row>
    <row r="70" spans="24:24">
      <c r="X70">
        <v>16.25</v>
      </c>
    </row>
    <row r="71" spans="24:24">
      <c r="X71">
        <v>16.5</v>
      </c>
    </row>
    <row r="72" spans="24:24">
      <c r="X72">
        <v>16.75</v>
      </c>
    </row>
    <row r="73" spans="24:24">
      <c r="X73">
        <v>17</v>
      </c>
    </row>
    <row r="74" spans="24:24">
      <c r="X74">
        <v>17.25</v>
      </c>
    </row>
    <row r="75" spans="24:24">
      <c r="X75">
        <v>17.5</v>
      </c>
    </row>
    <row r="76" spans="24:24">
      <c r="X76">
        <v>17.75</v>
      </c>
    </row>
    <row r="77" spans="24:24">
      <c r="X77">
        <v>18</v>
      </c>
    </row>
    <row r="78" spans="24:24">
      <c r="X78">
        <v>18.25</v>
      </c>
    </row>
    <row r="79" spans="24:24">
      <c r="X79">
        <v>18.5</v>
      </c>
    </row>
    <row r="80" spans="24:24">
      <c r="X80">
        <v>18.75</v>
      </c>
    </row>
    <row r="81" spans="24:24">
      <c r="X81">
        <v>19</v>
      </c>
    </row>
    <row r="82" spans="24:24">
      <c r="X82">
        <v>19.25</v>
      </c>
    </row>
    <row r="83" spans="24:24">
      <c r="X83">
        <v>19.5</v>
      </c>
    </row>
    <row r="84" spans="24:24">
      <c r="X84">
        <v>19.75</v>
      </c>
    </row>
    <row r="85" spans="24:24">
      <c r="X85">
        <v>20</v>
      </c>
    </row>
  </sheetData>
  <phoneticPr fontId="7" type="noConversion"/>
  <hyperlinks>
    <hyperlink ref="C5" r:id="rId1" location="skill" display="http://www99.hattrick.org/Help/Rules/AppDenominations.aspx?lt=skill&amp;ll=8 - skill"/>
    <hyperlink ref="E5" r:id="rId2" location="skill" display="http://www99.hattrick.org/Help/Rules/AppDenominations.aspx?lt=skill&amp;ll=1 - skill"/>
    <hyperlink ref="C6" r:id="rId3" location="skill" display="http://www99.hattrick.org/Help/Rules/AppDenominations.aspx?lt=skill&amp;ll=5 - skill"/>
    <hyperlink ref="E6" r:id="rId4" location="skill" display="http://www99.hattrick.org/Help/Rules/AppDenominations.aspx?lt=skill&amp;ll=5 - skill"/>
    <hyperlink ref="C7" r:id="rId5" location="skill" display="http://www99.hattrick.org/Help/Rules/AppDenominations.aspx?lt=skill&amp;ll=10 - skill"/>
    <hyperlink ref="E7" r:id="rId6" location="skill" display="http://www99.hattrick.org/Help/Rules/AppDenominations.aspx?lt=skill&amp;ll=12 - skill"/>
    <hyperlink ref="C8" r:id="rId7" location="skill" display="http://www99.hattrick.org/Help/Rules/AppDenominations.aspx?lt=skill&amp;ll=5 - skill"/>
    <hyperlink ref="E8" r:id="rId8" location="skill" display="http://www99.hattrick.org/Help/Rules/AppDenominations.aspx?lt=skill&amp;ll=6 - skill"/>
  </hyperlinks>
  <pageMargins left="0.75" right="0.75" top="1" bottom="1" header="0.5" footer="0.5"/>
  <pageSetup paperSize="9" orientation="portrait" r:id="rId9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>
  <dimension ref="A1:V122"/>
  <sheetViews>
    <sheetView zoomScale="70" workbookViewId="0">
      <selection activeCell="D41" sqref="D41"/>
    </sheetView>
  </sheetViews>
  <sheetFormatPr defaultRowHeight="13.2"/>
  <cols>
    <col min="1" max="1" width="13.88671875" bestFit="1" customWidth="1"/>
    <col min="4" max="4" width="9.33203125" customWidth="1"/>
    <col min="12" max="12" width="9.109375" style="1" customWidth="1"/>
    <col min="13" max="13" width="9.109375" style="152" customWidth="1"/>
    <col min="14" max="14" width="10.33203125" style="1" customWidth="1"/>
    <col min="19" max="19" width="14.21875" bestFit="1" customWidth="1"/>
    <col min="21" max="21" width="6" bestFit="1" customWidth="1"/>
    <col min="22" max="22" width="22.44140625" bestFit="1" customWidth="1"/>
  </cols>
  <sheetData>
    <row r="1" spans="1:22">
      <c r="A1" t="s">
        <v>0</v>
      </c>
      <c r="B1" t="s">
        <v>82</v>
      </c>
      <c r="D1" t="s">
        <v>83</v>
      </c>
      <c r="F1" t="s">
        <v>96</v>
      </c>
      <c r="G1" t="s">
        <v>82</v>
      </c>
      <c r="L1" s="1" t="s">
        <v>453</v>
      </c>
      <c r="M1" s="152" t="s">
        <v>454</v>
      </c>
      <c r="N1" s="90" t="s">
        <v>455</v>
      </c>
      <c r="P1" t="s">
        <v>304</v>
      </c>
      <c r="Q1" t="s">
        <v>305</v>
      </c>
      <c r="V1" s="4" t="s">
        <v>559</v>
      </c>
    </row>
    <row r="2" spans="1:22">
      <c r="A2" t="s">
        <v>456</v>
      </c>
      <c r="B2">
        <v>0</v>
      </c>
      <c r="C2" t="s">
        <v>456</v>
      </c>
      <c r="D2">
        <v>1</v>
      </c>
      <c r="E2" t="s">
        <v>63</v>
      </c>
      <c r="F2" t="s">
        <v>95</v>
      </c>
      <c r="G2">
        <v>1</v>
      </c>
      <c r="I2">
        <v>1</v>
      </c>
      <c r="J2" t="s">
        <v>63</v>
      </c>
      <c r="L2" s="1">
        <v>12</v>
      </c>
      <c r="M2" s="152">
        <f>1/N2</f>
        <v>-2</v>
      </c>
      <c r="N2" s="1">
        <v>-0.5</v>
      </c>
      <c r="P2">
        <v>17</v>
      </c>
      <c r="Q2">
        <v>1</v>
      </c>
      <c r="U2">
        <v>0</v>
      </c>
      <c r="V2" t="s">
        <v>456</v>
      </c>
    </row>
    <row r="3" spans="1:22">
      <c r="A3" t="s">
        <v>63</v>
      </c>
      <c r="B3">
        <v>1</v>
      </c>
      <c r="C3" t="s">
        <v>63</v>
      </c>
      <c r="D3">
        <v>2</v>
      </c>
      <c r="E3" t="s">
        <v>69</v>
      </c>
      <c r="F3" t="s">
        <v>97</v>
      </c>
      <c r="G3">
        <v>0.5</v>
      </c>
      <c r="I3">
        <v>2</v>
      </c>
      <c r="J3" t="s">
        <v>69</v>
      </c>
      <c r="L3" s="1">
        <v>11</v>
      </c>
      <c r="M3" s="152">
        <f>1/N3</f>
        <v>-1</v>
      </c>
      <c r="N3" s="1">
        <v>-1</v>
      </c>
      <c r="P3">
        <v>18</v>
      </c>
      <c r="Q3">
        <v>1</v>
      </c>
      <c r="S3" t="str">
        <f>A3</f>
        <v>katastrofal</v>
      </c>
      <c r="T3" t="s">
        <v>154</v>
      </c>
      <c r="U3">
        <v>1</v>
      </c>
      <c r="V3" t="str">
        <f>CONCATENATE(S3," (",T3,")")</f>
        <v>katastrofal (mkt låg)</v>
      </c>
    </row>
    <row r="4" spans="1:22">
      <c r="A4" t="s">
        <v>69</v>
      </c>
      <c r="B4">
        <v>2</v>
      </c>
      <c r="C4" t="s">
        <v>69</v>
      </c>
      <c r="D4">
        <v>3</v>
      </c>
      <c r="E4" t="s">
        <v>68</v>
      </c>
      <c r="F4" t="s">
        <v>98</v>
      </c>
      <c r="G4">
        <v>0</v>
      </c>
      <c r="I4">
        <v>3</v>
      </c>
      <c r="J4" t="s">
        <v>68</v>
      </c>
      <c r="L4" s="1">
        <v>10</v>
      </c>
      <c r="M4" s="152">
        <f>1/N4</f>
        <v>-0.33333333333333331</v>
      </c>
      <c r="N4" s="1">
        <v>-3</v>
      </c>
      <c r="P4">
        <v>19</v>
      </c>
      <c r="Q4">
        <v>1</v>
      </c>
      <c r="S4" t="str">
        <f>S3</f>
        <v>katastrofal</v>
      </c>
      <c r="T4" t="s">
        <v>98</v>
      </c>
      <c r="U4">
        <f t="shared" ref="U4:U67" si="0">U3+0.25</f>
        <v>1.25</v>
      </c>
      <c r="V4" t="str">
        <f t="shared" ref="V4:V67" si="1">CONCATENATE(S4," (",T4,")")</f>
        <v>katastrofal (låg)</v>
      </c>
    </row>
    <row r="5" spans="1:22">
      <c r="A5" t="s">
        <v>68</v>
      </c>
      <c r="B5">
        <v>3</v>
      </c>
      <c r="C5" t="s">
        <v>68</v>
      </c>
      <c r="D5">
        <v>4</v>
      </c>
      <c r="E5" t="s">
        <v>67</v>
      </c>
      <c r="I5">
        <v>4</v>
      </c>
      <c r="J5" t="s">
        <v>67</v>
      </c>
      <c r="L5" s="1">
        <v>9</v>
      </c>
      <c r="M5" s="152">
        <f>1/N5</f>
        <v>-0.2</v>
      </c>
      <c r="N5" s="1">
        <v>-5</v>
      </c>
      <c r="P5">
        <v>20</v>
      </c>
      <c r="Q5">
        <v>1</v>
      </c>
      <c r="S5" t="str">
        <f>S4</f>
        <v>katastrofal</v>
      </c>
      <c r="T5" t="s">
        <v>95</v>
      </c>
      <c r="U5">
        <f t="shared" si="0"/>
        <v>1.5</v>
      </c>
      <c r="V5" t="str">
        <f t="shared" si="1"/>
        <v>katastrofal (hög)</v>
      </c>
    </row>
    <row r="6" spans="1:22">
      <c r="A6" t="s">
        <v>67</v>
      </c>
      <c r="B6">
        <v>4</v>
      </c>
      <c r="C6" t="s">
        <v>67</v>
      </c>
      <c r="D6">
        <v>5</v>
      </c>
      <c r="E6" t="s">
        <v>65</v>
      </c>
      <c r="F6">
        <v>0</v>
      </c>
      <c r="G6" t="s">
        <v>154</v>
      </c>
      <c r="I6">
        <v>5</v>
      </c>
      <c r="J6" t="s">
        <v>65</v>
      </c>
      <c r="L6" s="1">
        <v>8</v>
      </c>
      <c r="M6" s="152">
        <f t="shared" ref="M6:M13" si="2">1/N6</f>
        <v>-0.14285714285714285</v>
      </c>
      <c r="N6" s="1">
        <v>-7</v>
      </c>
      <c r="P6">
        <v>21</v>
      </c>
      <c r="Q6">
        <v>1</v>
      </c>
      <c r="S6" t="str">
        <f>S5</f>
        <v>katastrofal</v>
      </c>
      <c r="T6" t="s">
        <v>155</v>
      </c>
      <c r="U6">
        <f t="shared" si="0"/>
        <v>1.75</v>
      </c>
      <c r="V6" t="str">
        <f t="shared" si="1"/>
        <v>katastrofal (mkt hög)</v>
      </c>
    </row>
    <row r="7" spans="1:22">
      <c r="A7" t="s">
        <v>65</v>
      </c>
      <c r="B7">
        <v>5</v>
      </c>
      <c r="C7" t="s">
        <v>65</v>
      </c>
      <c r="D7">
        <v>6</v>
      </c>
      <c r="E7" t="s">
        <v>64</v>
      </c>
      <c r="F7">
        <v>1</v>
      </c>
      <c r="G7" t="s">
        <v>98</v>
      </c>
      <c r="I7">
        <v>6</v>
      </c>
      <c r="J7" t="s">
        <v>64</v>
      </c>
      <c r="L7" s="1">
        <v>7</v>
      </c>
      <c r="M7" s="152">
        <f t="shared" si="2"/>
        <v>-7.6923076923076927E-2</v>
      </c>
      <c r="N7" s="1">
        <v>-13</v>
      </c>
      <c r="P7">
        <v>22</v>
      </c>
      <c r="Q7">
        <v>1</v>
      </c>
      <c r="S7" t="s">
        <v>69</v>
      </c>
      <c r="T7" t="s">
        <v>154</v>
      </c>
      <c r="U7">
        <f t="shared" si="0"/>
        <v>2</v>
      </c>
      <c r="V7" t="str">
        <f t="shared" si="1"/>
        <v>usel (mkt låg)</v>
      </c>
    </row>
    <row r="8" spans="1:22">
      <c r="A8" t="s">
        <v>64</v>
      </c>
      <c r="B8">
        <v>6</v>
      </c>
      <c r="C8" t="s">
        <v>64</v>
      </c>
      <c r="D8">
        <v>7</v>
      </c>
      <c r="E8" t="s">
        <v>70</v>
      </c>
      <c r="F8">
        <v>2</v>
      </c>
      <c r="G8" t="s">
        <v>95</v>
      </c>
      <c r="I8">
        <v>7</v>
      </c>
      <c r="J8" t="s">
        <v>70</v>
      </c>
      <c r="L8" s="1">
        <v>6</v>
      </c>
      <c r="M8" s="152">
        <f t="shared" si="2"/>
        <v>-3.0303030303030304E-2</v>
      </c>
      <c r="N8" s="1">
        <v>-33</v>
      </c>
      <c r="P8">
        <v>23</v>
      </c>
      <c r="Q8">
        <v>1</v>
      </c>
      <c r="S8" t="str">
        <f>S7</f>
        <v>usel</v>
      </c>
      <c r="T8" t="s">
        <v>98</v>
      </c>
      <c r="U8">
        <f t="shared" si="0"/>
        <v>2.25</v>
      </c>
      <c r="V8" t="str">
        <f t="shared" si="1"/>
        <v>usel (låg)</v>
      </c>
    </row>
    <row r="9" spans="1:22">
      <c r="A9" t="s">
        <v>70</v>
      </c>
      <c r="B9">
        <v>7</v>
      </c>
      <c r="C9" t="s">
        <v>70</v>
      </c>
      <c r="D9">
        <v>8</v>
      </c>
      <c r="E9" t="s">
        <v>61</v>
      </c>
      <c r="F9">
        <v>3</v>
      </c>
      <c r="G9" t="s">
        <v>155</v>
      </c>
      <c r="I9">
        <v>8</v>
      </c>
      <c r="J9" t="s">
        <v>61</v>
      </c>
      <c r="L9" s="1">
        <v>5</v>
      </c>
      <c r="M9" s="152">
        <f t="shared" si="2"/>
        <v>-1.5873015873015872E-2</v>
      </c>
      <c r="N9" s="1">
        <v>-63</v>
      </c>
      <c r="P9">
        <v>24</v>
      </c>
      <c r="Q9">
        <v>1</v>
      </c>
      <c r="S9" t="str">
        <f>S8</f>
        <v>usel</v>
      </c>
      <c r="T9" t="s">
        <v>95</v>
      </c>
      <c r="U9">
        <f t="shared" si="0"/>
        <v>2.5</v>
      </c>
      <c r="V9" t="str">
        <f t="shared" si="1"/>
        <v>usel (hög)</v>
      </c>
    </row>
    <row r="10" spans="1:22">
      <c r="A10" t="s">
        <v>61</v>
      </c>
      <c r="B10">
        <v>8</v>
      </c>
      <c r="C10" t="s">
        <v>61</v>
      </c>
      <c r="D10">
        <v>9</v>
      </c>
      <c r="E10" t="s">
        <v>71</v>
      </c>
      <c r="I10">
        <v>9</v>
      </c>
      <c r="J10" t="s">
        <v>71</v>
      </c>
      <c r="L10" s="1">
        <v>4</v>
      </c>
      <c r="M10" s="152">
        <f t="shared" si="2"/>
        <v>1.5873015873015872E-2</v>
      </c>
      <c r="N10" s="1">
        <f>-1*N9</f>
        <v>63</v>
      </c>
      <c r="P10">
        <v>25</v>
      </c>
      <c r="Q10">
        <v>1</v>
      </c>
      <c r="S10" t="str">
        <f>S9</f>
        <v>usel</v>
      </c>
      <c r="T10" t="s">
        <v>155</v>
      </c>
      <c r="U10">
        <f t="shared" si="0"/>
        <v>2.75</v>
      </c>
      <c r="V10" t="str">
        <f t="shared" si="1"/>
        <v>usel (mkt hög)</v>
      </c>
    </row>
    <row r="11" spans="1:22">
      <c r="A11" t="s">
        <v>71</v>
      </c>
      <c r="B11">
        <v>9</v>
      </c>
      <c r="C11" t="s">
        <v>71</v>
      </c>
      <c r="D11">
        <v>10</v>
      </c>
      <c r="E11" t="s">
        <v>62</v>
      </c>
      <c r="F11">
        <v>0</v>
      </c>
      <c r="G11" t="s">
        <v>154</v>
      </c>
      <c r="H11">
        <v>0</v>
      </c>
      <c r="I11">
        <v>10</v>
      </c>
      <c r="J11" t="s">
        <v>62</v>
      </c>
      <c r="L11" s="1">
        <v>3</v>
      </c>
      <c r="M11" s="152">
        <f t="shared" si="2"/>
        <v>3.0303030303030304E-2</v>
      </c>
      <c r="N11" s="1">
        <f>-1*N8</f>
        <v>33</v>
      </c>
      <c r="P11">
        <v>26</v>
      </c>
      <c r="Q11">
        <v>1</v>
      </c>
      <c r="S11" t="s">
        <v>68</v>
      </c>
      <c r="T11" t="s">
        <v>154</v>
      </c>
      <c r="U11">
        <f t="shared" si="0"/>
        <v>3</v>
      </c>
      <c r="V11" t="str">
        <f t="shared" si="1"/>
        <v>dålig (mkt låg)</v>
      </c>
    </row>
    <row r="12" spans="1:22">
      <c r="A12" t="s">
        <v>62</v>
      </c>
      <c r="B12">
        <v>10</v>
      </c>
      <c r="C12" t="s">
        <v>62</v>
      </c>
      <c r="D12">
        <v>11</v>
      </c>
      <c r="E12" t="s">
        <v>66</v>
      </c>
      <c r="F12">
        <v>0.25</v>
      </c>
      <c r="G12" t="s">
        <v>98</v>
      </c>
      <c r="H12">
        <v>0.25</v>
      </c>
      <c r="I12">
        <v>11</v>
      </c>
      <c r="J12" t="s">
        <v>66</v>
      </c>
      <c r="L12" s="1">
        <v>2</v>
      </c>
      <c r="M12" s="152">
        <f t="shared" si="2"/>
        <v>7.6923076923076927E-2</v>
      </c>
      <c r="N12" s="1">
        <f>-1*N7</f>
        <v>13</v>
      </c>
      <c r="P12">
        <v>27</v>
      </c>
      <c r="Q12">
        <v>1</v>
      </c>
      <c r="S12" t="str">
        <f>S11</f>
        <v>dålig</v>
      </c>
      <c r="T12" t="s">
        <v>98</v>
      </c>
      <c r="U12">
        <f t="shared" si="0"/>
        <v>3.25</v>
      </c>
      <c r="V12" t="str">
        <f t="shared" si="1"/>
        <v>dålig (låg)</v>
      </c>
    </row>
    <row r="13" spans="1:22">
      <c r="A13" t="s">
        <v>66</v>
      </c>
      <c r="B13">
        <v>11</v>
      </c>
      <c r="C13" t="s">
        <v>66</v>
      </c>
      <c r="D13">
        <v>12</v>
      </c>
      <c r="E13" t="s">
        <v>72</v>
      </c>
      <c r="F13">
        <v>0.5</v>
      </c>
      <c r="G13" t="s">
        <v>95</v>
      </c>
      <c r="H13">
        <v>0.5</v>
      </c>
      <c r="I13">
        <v>12</v>
      </c>
      <c r="J13" t="s">
        <v>72</v>
      </c>
      <c r="L13" s="1">
        <v>1</v>
      </c>
      <c r="M13" s="152">
        <f t="shared" si="2"/>
        <v>0.14285714285714285</v>
      </c>
      <c r="N13" s="1">
        <f>-1*N6</f>
        <v>7</v>
      </c>
      <c r="P13">
        <v>28</v>
      </c>
      <c r="Q13">
        <v>1</v>
      </c>
      <c r="S13" t="str">
        <f>S12</f>
        <v>dålig</v>
      </c>
      <c r="T13" t="s">
        <v>95</v>
      </c>
      <c r="U13">
        <f t="shared" si="0"/>
        <v>3.5</v>
      </c>
      <c r="V13" t="str">
        <f t="shared" si="1"/>
        <v>dålig (hög)</v>
      </c>
    </row>
    <row r="14" spans="1:22">
      <c r="A14" t="s">
        <v>72</v>
      </c>
      <c r="B14">
        <v>12</v>
      </c>
      <c r="C14" t="s">
        <v>72</v>
      </c>
      <c r="D14">
        <v>13</v>
      </c>
      <c r="E14" t="s">
        <v>73</v>
      </c>
      <c r="F14">
        <v>0.75</v>
      </c>
      <c r="G14" t="s">
        <v>155</v>
      </c>
      <c r="H14">
        <v>0.75</v>
      </c>
      <c r="I14">
        <v>13</v>
      </c>
      <c r="J14" t="s">
        <v>73</v>
      </c>
      <c r="L14" s="1">
        <v>0</v>
      </c>
      <c r="M14" s="152">
        <v>0.5</v>
      </c>
      <c r="N14" s="1">
        <f>-1*N5</f>
        <v>5</v>
      </c>
      <c r="P14">
        <v>29</v>
      </c>
      <c r="Q14">
        <v>1.1428571428571428</v>
      </c>
      <c r="S14" t="str">
        <f>S13</f>
        <v>dålig</v>
      </c>
      <c r="T14" t="s">
        <v>155</v>
      </c>
      <c r="U14">
        <f t="shared" si="0"/>
        <v>3.75</v>
      </c>
      <c r="V14" t="str">
        <f t="shared" si="1"/>
        <v>dålig (mkt hög)</v>
      </c>
    </row>
    <row r="15" spans="1:22">
      <c r="A15" t="s">
        <v>73</v>
      </c>
      <c r="B15">
        <v>13</v>
      </c>
      <c r="C15" t="s">
        <v>73</v>
      </c>
      <c r="D15">
        <v>14</v>
      </c>
      <c r="E15" t="s">
        <v>74</v>
      </c>
      <c r="I15">
        <v>14</v>
      </c>
      <c r="J15" t="s">
        <v>74</v>
      </c>
      <c r="P15">
        <v>30</v>
      </c>
      <c r="Q15">
        <v>1.3333333333333333</v>
      </c>
      <c r="S15" t="s">
        <v>67</v>
      </c>
      <c r="T15" t="s">
        <v>154</v>
      </c>
      <c r="U15">
        <f t="shared" si="0"/>
        <v>4</v>
      </c>
      <c r="V15" t="str">
        <f t="shared" si="1"/>
        <v>hyfsad (mkt låg)</v>
      </c>
    </row>
    <row r="16" spans="1:22">
      <c r="A16" t="s">
        <v>74</v>
      </c>
      <c r="B16">
        <v>14</v>
      </c>
      <c r="C16" t="s">
        <v>74</v>
      </c>
      <c r="D16">
        <v>15</v>
      </c>
      <c r="E16" t="s">
        <v>75</v>
      </c>
      <c r="G16" s="4" t="s">
        <v>104</v>
      </c>
      <c r="I16">
        <v>15</v>
      </c>
      <c r="J16" t="s">
        <v>75</v>
      </c>
      <c r="P16">
        <v>31</v>
      </c>
      <c r="Q16">
        <v>1.6</v>
      </c>
      <c r="S16" t="str">
        <f>S15</f>
        <v>hyfsad</v>
      </c>
      <c r="T16" t="s">
        <v>98</v>
      </c>
      <c r="U16">
        <f t="shared" si="0"/>
        <v>4.25</v>
      </c>
      <c r="V16" t="str">
        <f t="shared" si="1"/>
        <v>hyfsad (låg)</v>
      </c>
    </row>
    <row r="17" spans="1:22">
      <c r="A17" t="s">
        <v>75</v>
      </c>
      <c r="B17">
        <v>15</v>
      </c>
      <c r="C17" t="s">
        <v>75</v>
      </c>
      <c r="D17">
        <v>16</v>
      </c>
      <c r="E17" t="s">
        <v>76</v>
      </c>
      <c r="G17" t="s">
        <v>561</v>
      </c>
      <c r="I17">
        <v>16</v>
      </c>
      <c r="J17" t="s">
        <v>76</v>
      </c>
      <c r="P17">
        <v>32</v>
      </c>
      <c r="Q17">
        <v>2</v>
      </c>
      <c r="S17" t="str">
        <f>S16</f>
        <v>hyfsad</v>
      </c>
      <c r="T17" t="s">
        <v>95</v>
      </c>
      <c r="U17">
        <f t="shared" si="0"/>
        <v>4.5</v>
      </c>
      <c r="V17" t="str">
        <f t="shared" si="1"/>
        <v>hyfsad (hög)</v>
      </c>
    </row>
    <row r="18" spans="1:22">
      <c r="A18" t="s">
        <v>76</v>
      </c>
      <c r="B18">
        <v>16</v>
      </c>
      <c r="C18" t="s">
        <v>76</v>
      </c>
      <c r="D18">
        <v>17</v>
      </c>
      <c r="E18" t="s">
        <v>77</v>
      </c>
      <c r="G18" t="s">
        <v>558</v>
      </c>
      <c r="I18">
        <v>17</v>
      </c>
      <c r="J18" t="s">
        <v>77</v>
      </c>
      <c r="P18">
        <v>33</v>
      </c>
      <c r="Q18">
        <v>2.6666666666666665</v>
      </c>
      <c r="S18" t="str">
        <f>S17</f>
        <v>hyfsad</v>
      </c>
      <c r="T18" t="s">
        <v>155</v>
      </c>
      <c r="U18">
        <f t="shared" si="0"/>
        <v>4.75</v>
      </c>
      <c r="V18" t="str">
        <f t="shared" si="1"/>
        <v>hyfsad (mkt hög)</v>
      </c>
    </row>
    <row r="19" spans="1:22">
      <c r="A19" t="s">
        <v>77</v>
      </c>
      <c r="B19">
        <v>17</v>
      </c>
      <c r="C19" t="s">
        <v>77</v>
      </c>
      <c r="D19">
        <v>18</v>
      </c>
      <c r="E19" t="s">
        <v>78</v>
      </c>
      <c r="I19">
        <v>18</v>
      </c>
      <c r="J19" t="s">
        <v>78</v>
      </c>
      <c r="P19">
        <v>34</v>
      </c>
      <c r="Q19">
        <v>4</v>
      </c>
      <c r="S19" t="s">
        <v>65</v>
      </c>
      <c r="T19" t="s">
        <v>154</v>
      </c>
      <c r="U19">
        <f t="shared" si="0"/>
        <v>5</v>
      </c>
      <c r="V19" t="str">
        <f t="shared" si="1"/>
        <v>bra (mkt låg)</v>
      </c>
    </row>
    <row r="20" spans="1:22">
      <c r="A20" t="s">
        <v>78</v>
      </c>
      <c r="B20">
        <v>18</v>
      </c>
      <c r="C20" t="s">
        <v>78</v>
      </c>
      <c r="D20">
        <v>19</v>
      </c>
      <c r="E20" t="s">
        <v>79</v>
      </c>
      <c r="I20">
        <v>19</v>
      </c>
      <c r="J20" t="s">
        <v>79</v>
      </c>
      <c r="P20">
        <v>35</v>
      </c>
      <c r="Q20">
        <v>8</v>
      </c>
      <c r="S20" t="str">
        <f>S19</f>
        <v>bra</v>
      </c>
      <c r="T20" t="s">
        <v>98</v>
      </c>
      <c r="U20">
        <f t="shared" si="0"/>
        <v>5.25</v>
      </c>
      <c r="V20" t="str">
        <f t="shared" si="1"/>
        <v>bra (låg)</v>
      </c>
    </row>
    <row r="21" spans="1:22">
      <c r="A21" t="s">
        <v>79</v>
      </c>
      <c r="B21">
        <v>19</v>
      </c>
      <c r="C21" t="s">
        <v>79</v>
      </c>
      <c r="D21">
        <v>20</v>
      </c>
      <c r="E21" t="s">
        <v>80</v>
      </c>
      <c r="I21">
        <v>20</v>
      </c>
      <c r="J21" t="s">
        <v>80</v>
      </c>
      <c r="P21">
        <v>36</v>
      </c>
      <c r="Q21">
        <v>8</v>
      </c>
      <c r="S21" t="str">
        <f>S20</f>
        <v>bra</v>
      </c>
      <c r="T21" t="s">
        <v>95</v>
      </c>
      <c r="U21">
        <f t="shared" si="0"/>
        <v>5.5</v>
      </c>
      <c r="V21" t="str">
        <f t="shared" si="1"/>
        <v>bra (hög)</v>
      </c>
    </row>
    <row r="22" spans="1:22">
      <c r="A22" t="s">
        <v>80</v>
      </c>
      <c r="B22">
        <v>20</v>
      </c>
      <c r="C22" t="s">
        <v>80</v>
      </c>
      <c r="D22">
        <v>21</v>
      </c>
      <c r="E22" t="s">
        <v>156</v>
      </c>
      <c r="I22">
        <v>21</v>
      </c>
      <c r="J22" t="s">
        <v>156</v>
      </c>
      <c r="P22">
        <v>37</v>
      </c>
      <c r="Q22">
        <v>8</v>
      </c>
      <c r="S22" t="str">
        <f>S21</f>
        <v>bra</v>
      </c>
      <c r="T22" t="s">
        <v>155</v>
      </c>
      <c r="U22">
        <f t="shared" si="0"/>
        <v>5.75</v>
      </c>
      <c r="V22" t="str">
        <f t="shared" si="1"/>
        <v>bra (mkt hög)</v>
      </c>
    </row>
    <row r="23" spans="1:22">
      <c r="A23" t="s">
        <v>156</v>
      </c>
      <c r="B23">
        <v>21</v>
      </c>
      <c r="C23" t="s">
        <v>156</v>
      </c>
      <c r="D23">
        <v>22</v>
      </c>
      <c r="E23" t="s">
        <v>157</v>
      </c>
      <c r="I23">
        <v>22</v>
      </c>
      <c r="J23" t="s">
        <v>157</v>
      </c>
      <c r="P23">
        <v>38</v>
      </c>
      <c r="Q23">
        <v>8</v>
      </c>
      <c r="S23" t="s">
        <v>64</v>
      </c>
      <c r="T23" t="s">
        <v>154</v>
      </c>
      <c r="U23">
        <f t="shared" si="0"/>
        <v>6</v>
      </c>
      <c r="V23" t="str">
        <f t="shared" si="1"/>
        <v>ypperlig (mkt låg)</v>
      </c>
    </row>
    <row r="24" spans="1:22">
      <c r="A24" t="s">
        <v>157</v>
      </c>
      <c r="B24">
        <v>22</v>
      </c>
      <c r="C24" t="s">
        <v>157</v>
      </c>
      <c r="D24">
        <v>23</v>
      </c>
      <c r="E24" t="s">
        <v>158</v>
      </c>
      <c r="I24">
        <v>23</v>
      </c>
      <c r="J24" t="s">
        <v>158</v>
      </c>
      <c r="P24">
        <v>39</v>
      </c>
      <c r="Q24">
        <v>8</v>
      </c>
      <c r="S24" t="str">
        <f>S23</f>
        <v>ypperlig</v>
      </c>
      <c r="T24" t="s">
        <v>98</v>
      </c>
      <c r="U24">
        <f t="shared" si="0"/>
        <v>6.25</v>
      </c>
      <c r="V24" t="str">
        <f t="shared" si="1"/>
        <v>ypperlig (låg)</v>
      </c>
    </row>
    <row r="25" spans="1:22">
      <c r="A25" t="s">
        <v>158</v>
      </c>
      <c r="B25">
        <v>23</v>
      </c>
      <c r="C25" t="s">
        <v>158</v>
      </c>
      <c r="D25">
        <v>24</v>
      </c>
      <c r="E25" t="s">
        <v>159</v>
      </c>
      <c r="I25">
        <v>24</v>
      </c>
      <c r="J25" t="s">
        <v>159</v>
      </c>
      <c r="P25">
        <v>40</v>
      </c>
      <c r="Q25">
        <v>8</v>
      </c>
      <c r="S25" t="str">
        <f>S24</f>
        <v>ypperlig</v>
      </c>
      <c r="T25" t="s">
        <v>95</v>
      </c>
      <c r="U25">
        <f t="shared" si="0"/>
        <v>6.5</v>
      </c>
      <c r="V25" t="str">
        <f t="shared" si="1"/>
        <v>ypperlig (hög)</v>
      </c>
    </row>
    <row r="26" spans="1:22">
      <c r="A26" t="s">
        <v>159</v>
      </c>
      <c r="B26">
        <v>24</v>
      </c>
      <c r="C26" t="s">
        <v>159</v>
      </c>
      <c r="D26">
        <v>25</v>
      </c>
      <c r="E26" t="s">
        <v>160</v>
      </c>
      <c r="I26">
        <v>25</v>
      </c>
      <c r="J26" t="s">
        <v>160</v>
      </c>
      <c r="P26">
        <v>41</v>
      </c>
      <c r="Q26">
        <v>8</v>
      </c>
      <c r="S26" t="str">
        <f>S25</f>
        <v>ypperlig</v>
      </c>
      <c r="T26" t="s">
        <v>155</v>
      </c>
      <c r="U26">
        <f t="shared" si="0"/>
        <v>6.75</v>
      </c>
      <c r="V26" t="str">
        <f t="shared" si="1"/>
        <v>ypperlig (mkt hög)</v>
      </c>
    </row>
    <row r="27" spans="1:22">
      <c r="A27" t="s">
        <v>160</v>
      </c>
      <c r="B27">
        <v>25</v>
      </c>
      <c r="C27" t="s">
        <v>160</v>
      </c>
      <c r="D27">
        <v>26</v>
      </c>
      <c r="E27" t="s">
        <v>161</v>
      </c>
      <c r="I27">
        <v>26</v>
      </c>
      <c r="J27" t="s">
        <v>161</v>
      </c>
      <c r="P27">
        <v>42</v>
      </c>
      <c r="Q27">
        <v>8</v>
      </c>
      <c r="S27" t="s">
        <v>70</v>
      </c>
      <c r="T27" t="s">
        <v>154</v>
      </c>
      <c r="U27">
        <f t="shared" si="0"/>
        <v>7</v>
      </c>
      <c r="V27" t="str">
        <f t="shared" si="1"/>
        <v>enastående (mkt låg)</v>
      </c>
    </row>
    <row r="28" spans="1:22">
      <c r="A28" t="s">
        <v>161</v>
      </c>
      <c r="B28">
        <v>26</v>
      </c>
      <c r="C28" t="s">
        <v>161</v>
      </c>
      <c r="D28">
        <v>27</v>
      </c>
      <c r="E28" t="s">
        <v>162</v>
      </c>
      <c r="I28">
        <v>27</v>
      </c>
      <c r="J28" t="s">
        <v>162</v>
      </c>
      <c r="P28">
        <v>43</v>
      </c>
      <c r="Q28">
        <v>8</v>
      </c>
      <c r="S28" t="str">
        <f>S27</f>
        <v>enastående</v>
      </c>
      <c r="T28" t="s">
        <v>98</v>
      </c>
      <c r="U28">
        <f t="shared" si="0"/>
        <v>7.25</v>
      </c>
      <c r="V28" t="str">
        <f t="shared" si="1"/>
        <v>enastående (låg)</v>
      </c>
    </row>
    <row r="29" spans="1:22">
      <c r="A29" t="s">
        <v>162</v>
      </c>
      <c r="B29">
        <v>27</v>
      </c>
      <c r="C29" t="s">
        <v>162</v>
      </c>
      <c r="D29">
        <v>28</v>
      </c>
      <c r="E29" t="s">
        <v>163</v>
      </c>
      <c r="I29">
        <v>28</v>
      </c>
      <c r="J29" t="s">
        <v>163</v>
      </c>
      <c r="P29">
        <v>44</v>
      </c>
      <c r="Q29">
        <v>8</v>
      </c>
      <c r="S29" t="str">
        <f>S28</f>
        <v>enastående</v>
      </c>
      <c r="T29" t="s">
        <v>95</v>
      </c>
      <c r="U29">
        <f t="shared" si="0"/>
        <v>7.5</v>
      </c>
      <c r="V29" t="str">
        <f t="shared" si="1"/>
        <v>enastående (hög)</v>
      </c>
    </row>
    <row r="30" spans="1:22">
      <c r="A30" t="s">
        <v>163</v>
      </c>
      <c r="B30">
        <v>28</v>
      </c>
      <c r="C30" t="s">
        <v>163</v>
      </c>
      <c r="D30">
        <v>29</v>
      </c>
      <c r="E30" t="s">
        <v>164</v>
      </c>
      <c r="I30">
        <v>29</v>
      </c>
      <c r="J30" t="s">
        <v>164</v>
      </c>
      <c r="P30">
        <v>45</v>
      </c>
      <c r="Q30">
        <v>8</v>
      </c>
      <c r="S30" t="str">
        <f>S29</f>
        <v>enastående</v>
      </c>
      <c r="T30" t="s">
        <v>155</v>
      </c>
      <c r="U30">
        <f t="shared" si="0"/>
        <v>7.75</v>
      </c>
      <c r="V30" t="str">
        <f t="shared" si="1"/>
        <v>enastående (mkt hög)</v>
      </c>
    </row>
    <row r="31" spans="1:22">
      <c r="A31" t="s">
        <v>164</v>
      </c>
      <c r="B31">
        <v>29</v>
      </c>
      <c r="C31" t="s">
        <v>164</v>
      </c>
      <c r="D31">
        <v>30</v>
      </c>
      <c r="E31" t="s">
        <v>165</v>
      </c>
      <c r="I31">
        <v>30</v>
      </c>
      <c r="J31" t="s">
        <v>165</v>
      </c>
      <c r="S31" t="s">
        <v>61</v>
      </c>
      <c r="T31" t="s">
        <v>154</v>
      </c>
      <c r="U31">
        <f t="shared" si="0"/>
        <v>8</v>
      </c>
      <c r="V31" t="str">
        <f t="shared" si="1"/>
        <v>fenomenal (mkt låg)</v>
      </c>
    </row>
    <row r="32" spans="1:22">
      <c r="A32" t="s">
        <v>165</v>
      </c>
      <c r="B32">
        <v>30</v>
      </c>
      <c r="C32" t="s">
        <v>165</v>
      </c>
      <c r="D32">
        <v>31</v>
      </c>
      <c r="E32" t="s">
        <v>166</v>
      </c>
      <c r="I32">
        <v>31</v>
      </c>
      <c r="J32" t="s">
        <v>166</v>
      </c>
      <c r="S32" t="str">
        <f>S31</f>
        <v>fenomenal</v>
      </c>
      <c r="T32" t="s">
        <v>98</v>
      </c>
      <c r="U32">
        <f t="shared" si="0"/>
        <v>8.25</v>
      </c>
      <c r="V32" t="str">
        <f t="shared" si="1"/>
        <v>fenomenal (låg)</v>
      </c>
    </row>
    <row r="33" spans="1:22">
      <c r="A33" t="s">
        <v>166</v>
      </c>
      <c r="B33">
        <v>31</v>
      </c>
      <c r="C33" t="s">
        <v>166</v>
      </c>
      <c r="D33">
        <v>32</v>
      </c>
      <c r="E33" t="s">
        <v>167</v>
      </c>
      <c r="I33">
        <v>32</v>
      </c>
      <c r="J33" t="s">
        <v>167</v>
      </c>
      <c r="S33" t="str">
        <f>S32</f>
        <v>fenomenal</v>
      </c>
      <c r="T33" t="s">
        <v>95</v>
      </c>
      <c r="U33">
        <f t="shared" si="0"/>
        <v>8.5</v>
      </c>
      <c r="V33" t="str">
        <f t="shared" si="1"/>
        <v>fenomenal (hög)</v>
      </c>
    </row>
    <row r="34" spans="1:22">
      <c r="A34" t="s">
        <v>167</v>
      </c>
      <c r="B34">
        <v>32</v>
      </c>
      <c r="C34" t="s">
        <v>167</v>
      </c>
      <c r="D34">
        <v>33</v>
      </c>
      <c r="E34" t="s">
        <v>168</v>
      </c>
      <c r="I34">
        <v>33</v>
      </c>
      <c r="J34" t="s">
        <v>168</v>
      </c>
      <c r="S34" t="str">
        <f>S33</f>
        <v>fenomenal</v>
      </c>
      <c r="T34" t="s">
        <v>155</v>
      </c>
      <c r="U34">
        <f t="shared" si="0"/>
        <v>8.75</v>
      </c>
      <c r="V34" t="str">
        <f t="shared" si="1"/>
        <v>fenomenal (mkt hög)</v>
      </c>
    </row>
    <row r="35" spans="1:22">
      <c r="A35" t="s">
        <v>168</v>
      </c>
      <c r="B35">
        <v>33</v>
      </c>
      <c r="C35" t="s">
        <v>168</v>
      </c>
      <c r="D35">
        <v>34</v>
      </c>
      <c r="E35" t="s">
        <v>169</v>
      </c>
      <c r="I35">
        <v>34</v>
      </c>
      <c r="J35" t="s">
        <v>169</v>
      </c>
      <c r="S35" t="s">
        <v>71</v>
      </c>
      <c r="T35" t="s">
        <v>154</v>
      </c>
      <c r="U35">
        <f t="shared" si="0"/>
        <v>9</v>
      </c>
      <c r="V35" t="str">
        <f t="shared" si="1"/>
        <v>unik (mkt låg)</v>
      </c>
    </row>
    <row r="36" spans="1:22">
      <c r="A36" t="s">
        <v>169</v>
      </c>
      <c r="B36">
        <v>34</v>
      </c>
      <c r="C36" t="s">
        <v>169</v>
      </c>
      <c r="D36">
        <v>35</v>
      </c>
      <c r="E36" t="s">
        <v>170</v>
      </c>
      <c r="I36">
        <v>35</v>
      </c>
      <c r="J36" t="s">
        <v>170</v>
      </c>
      <c r="S36" t="str">
        <f>S35</f>
        <v>unik</v>
      </c>
      <c r="T36" t="s">
        <v>98</v>
      </c>
      <c r="U36">
        <f t="shared" si="0"/>
        <v>9.25</v>
      </c>
      <c r="V36" t="str">
        <f t="shared" si="1"/>
        <v>unik (låg)</v>
      </c>
    </row>
    <row r="37" spans="1:22">
      <c r="A37" t="s">
        <v>170</v>
      </c>
      <c r="B37">
        <v>35</v>
      </c>
      <c r="C37" t="s">
        <v>170</v>
      </c>
      <c r="D37">
        <v>36</v>
      </c>
      <c r="E37" t="s">
        <v>171</v>
      </c>
      <c r="I37">
        <v>36</v>
      </c>
      <c r="J37" t="s">
        <v>171</v>
      </c>
      <c r="S37" t="str">
        <f>S36</f>
        <v>unik</v>
      </c>
      <c r="T37" t="s">
        <v>95</v>
      </c>
      <c r="U37">
        <f t="shared" si="0"/>
        <v>9.5</v>
      </c>
      <c r="V37" t="str">
        <f t="shared" si="1"/>
        <v>unik (hög)</v>
      </c>
    </row>
    <row r="38" spans="1:22">
      <c r="A38" t="s">
        <v>171</v>
      </c>
      <c r="B38">
        <v>36</v>
      </c>
      <c r="C38" t="s">
        <v>171</v>
      </c>
      <c r="D38">
        <v>37</v>
      </c>
      <c r="E38" t="s">
        <v>172</v>
      </c>
      <c r="I38">
        <v>37</v>
      </c>
      <c r="J38" t="s">
        <v>172</v>
      </c>
      <c r="S38" t="str">
        <f>S37</f>
        <v>unik</v>
      </c>
      <c r="T38" t="s">
        <v>155</v>
      </c>
      <c r="U38">
        <f t="shared" si="0"/>
        <v>9.75</v>
      </c>
      <c r="V38" t="str">
        <f t="shared" si="1"/>
        <v>unik (mkt hög)</v>
      </c>
    </row>
    <row r="39" spans="1:22">
      <c r="A39" t="s">
        <v>172</v>
      </c>
      <c r="B39">
        <v>37</v>
      </c>
      <c r="C39" t="s">
        <v>172</v>
      </c>
      <c r="D39">
        <v>38</v>
      </c>
      <c r="E39" t="s">
        <v>173</v>
      </c>
      <c r="I39">
        <v>38</v>
      </c>
      <c r="J39" t="s">
        <v>173</v>
      </c>
      <c r="S39" t="s">
        <v>62</v>
      </c>
      <c r="T39" t="s">
        <v>154</v>
      </c>
      <c r="U39">
        <f t="shared" si="0"/>
        <v>10</v>
      </c>
      <c r="V39" t="str">
        <f t="shared" si="1"/>
        <v>legendarisk (mkt låg)</v>
      </c>
    </row>
    <row r="40" spans="1:22">
      <c r="A40" t="s">
        <v>173</v>
      </c>
      <c r="B40">
        <v>38</v>
      </c>
      <c r="C40" t="s">
        <v>173</v>
      </c>
      <c r="D40">
        <v>39</v>
      </c>
      <c r="E40" t="s">
        <v>174</v>
      </c>
      <c r="I40">
        <v>39</v>
      </c>
      <c r="J40" t="s">
        <v>174</v>
      </c>
      <c r="S40" t="str">
        <f>S39</f>
        <v>legendarisk</v>
      </c>
      <c r="T40" t="s">
        <v>98</v>
      </c>
      <c r="U40">
        <f t="shared" si="0"/>
        <v>10.25</v>
      </c>
      <c r="V40" t="str">
        <f t="shared" si="1"/>
        <v>legendarisk (låg)</v>
      </c>
    </row>
    <row r="41" spans="1:22">
      <c r="A41" t="s">
        <v>174</v>
      </c>
      <c r="B41">
        <v>39</v>
      </c>
      <c r="C41" t="s">
        <v>174</v>
      </c>
      <c r="D41">
        <v>40</v>
      </c>
      <c r="E41" t="s">
        <v>175</v>
      </c>
      <c r="I41">
        <v>40</v>
      </c>
      <c r="J41" t="s">
        <v>175</v>
      </c>
      <c r="S41" t="str">
        <f>S40</f>
        <v>legendarisk</v>
      </c>
      <c r="T41" t="s">
        <v>95</v>
      </c>
      <c r="U41">
        <f t="shared" si="0"/>
        <v>10.5</v>
      </c>
      <c r="V41" t="str">
        <f t="shared" si="1"/>
        <v>legendarisk (hög)</v>
      </c>
    </row>
    <row r="42" spans="1:22">
      <c r="A42" t="s">
        <v>175</v>
      </c>
      <c r="B42">
        <v>40</v>
      </c>
      <c r="C42" t="s">
        <v>175</v>
      </c>
      <c r="S42" t="str">
        <f>S41</f>
        <v>legendarisk</v>
      </c>
      <c r="T42" t="s">
        <v>155</v>
      </c>
      <c r="U42">
        <f t="shared" si="0"/>
        <v>10.75</v>
      </c>
      <c r="V42" t="str">
        <f t="shared" si="1"/>
        <v>legendarisk (mkt hög)</v>
      </c>
    </row>
    <row r="43" spans="1:22">
      <c r="S43" t="s">
        <v>66</v>
      </c>
      <c r="T43" t="s">
        <v>154</v>
      </c>
      <c r="U43">
        <f t="shared" si="0"/>
        <v>11</v>
      </c>
      <c r="V43" t="str">
        <f t="shared" si="1"/>
        <v>gudabenådad (mkt låg)</v>
      </c>
    </row>
    <row r="44" spans="1:22">
      <c r="S44" t="str">
        <f>S43</f>
        <v>gudabenådad</v>
      </c>
      <c r="T44" t="s">
        <v>98</v>
      </c>
      <c r="U44">
        <f t="shared" si="0"/>
        <v>11.25</v>
      </c>
      <c r="V44" t="str">
        <f t="shared" si="1"/>
        <v>gudabenådad (låg)</v>
      </c>
    </row>
    <row r="45" spans="1:22">
      <c r="S45" t="str">
        <f>S44</f>
        <v>gudabenådad</v>
      </c>
      <c r="T45" t="s">
        <v>95</v>
      </c>
      <c r="U45">
        <f t="shared" si="0"/>
        <v>11.5</v>
      </c>
      <c r="V45" t="str">
        <f t="shared" si="1"/>
        <v>gudabenådad (hög)</v>
      </c>
    </row>
    <row r="46" spans="1:22">
      <c r="S46" t="str">
        <f>S45</f>
        <v>gudabenådad</v>
      </c>
      <c r="T46" t="s">
        <v>155</v>
      </c>
      <c r="U46">
        <f t="shared" si="0"/>
        <v>11.75</v>
      </c>
      <c r="V46" t="str">
        <f t="shared" si="1"/>
        <v>gudabenådad (mkt hög)</v>
      </c>
    </row>
    <row r="47" spans="1:22">
      <c r="S47" t="s">
        <v>72</v>
      </c>
      <c r="T47" t="s">
        <v>154</v>
      </c>
      <c r="U47">
        <f t="shared" si="0"/>
        <v>12</v>
      </c>
      <c r="V47" t="str">
        <f t="shared" si="1"/>
        <v>övernaturlig (mkt låg)</v>
      </c>
    </row>
    <row r="48" spans="1:22">
      <c r="S48" t="str">
        <f>S47</f>
        <v>övernaturlig</v>
      </c>
      <c r="T48" t="s">
        <v>98</v>
      </c>
      <c r="U48">
        <f t="shared" si="0"/>
        <v>12.25</v>
      </c>
      <c r="V48" t="str">
        <f t="shared" si="1"/>
        <v>övernaturlig (låg)</v>
      </c>
    </row>
    <row r="49" spans="19:22">
      <c r="S49" t="str">
        <f>S48</f>
        <v>övernaturlig</v>
      </c>
      <c r="T49" t="s">
        <v>95</v>
      </c>
      <c r="U49">
        <f t="shared" si="0"/>
        <v>12.5</v>
      </c>
      <c r="V49" t="str">
        <f t="shared" si="1"/>
        <v>övernaturlig (hög)</v>
      </c>
    </row>
    <row r="50" spans="19:22">
      <c r="S50" t="str">
        <f>S49</f>
        <v>övernaturlig</v>
      </c>
      <c r="T50" t="s">
        <v>155</v>
      </c>
      <c r="U50">
        <f t="shared" si="0"/>
        <v>12.75</v>
      </c>
      <c r="V50" t="str">
        <f t="shared" si="1"/>
        <v>övernaturlig (mkt hög)</v>
      </c>
    </row>
    <row r="51" spans="19:22">
      <c r="S51" t="s">
        <v>73</v>
      </c>
      <c r="T51" t="s">
        <v>154</v>
      </c>
      <c r="U51">
        <f t="shared" si="0"/>
        <v>13</v>
      </c>
      <c r="V51" t="str">
        <f t="shared" si="1"/>
        <v>oförglömlig (mkt låg)</v>
      </c>
    </row>
    <row r="52" spans="19:22">
      <c r="S52" t="str">
        <f>S51</f>
        <v>oförglömlig</v>
      </c>
      <c r="T52" t="s">
        <v>98</v>
      </c>
      <c r="U52">
        <f t="shared" si="0"/>
        <v>13.25</v>
      </c>
      <c r="V52" t="str">
        <f t="shared" si="1"/>
        <v>oförglömlig (låg)</v>
      </c>
    </row>
    <row r="53" spans="19:22">
      <c r="S53" t="str">
        <f>S52</f>
        <v>oförglömlig</v>
      </c>
      <c r="T53" t="s">
        <v>95</v>
      </c>
      <c r="U53">
        <f t="shared" si="0"/>
        <v>13.5</v>
      </c>
      <c r="V53" t="str">
        <f t="shared" si="1"/>
        <v>oförglömlig (hög)</v>
      </c>
    </row>
    <row r="54" spans="19:22">
      <c r="S54" t="str">
        <f>S53</f>
        <v>oförglömlig</v>
      </c>
      <c r="T54" t="s">
        <v>155</v>
      </c>
      <c r="U54">
        <f t="shared" si="0"/>
        <v>13.75</v>
      </c>
      <c r="V54" t="str">
        <f t="shared" si="1"/>
        <v>oförglömlig (mkt hög)</v>
      </c>
    </row>
    <row r="55" spans="19:22">
      <c r="S55" t="s">
        <v>74</v>
      </c>
      <c r="T55" t="s">
        <v>154</v>
      </c>
      <c r="U55">
        <f t="shared" si="0"/>
        <v>14</v>
      </c>
      <c r="V55" t="str">
        <f t="shared" si="1"/>
        <v>himmelsk (mkt låg)</v>
      </c>
    </row>
    <row r="56" spans="19:22">
      <c r="S56" t="str">
        <f>S55</f>
        <v>himmelsk</v>
      </c>
      <c r="T56" t="s">
        <v>98</v>
      </c>
      <c r="U56">
        <f t="shared" si="0"/>
        <v>14.25</v>
      </c>
      <c r="V56" t="str">
        <f t="shared" si="1"/>
        <v>himmelsk (låg)</v>
      </c>
    </row>
    <row r="57" spans="19:22">
      <c r="S57" t="str">
        <f>S56</f>
        <v>himmelsk</v>
      </c>
      <c r="T57" t="s">
        <v>95</v>
      </c>
      <c r="U57">
        <f t="shared" si="0"/>
        <v>14.5</v>
      </c>
      <c r="V57" t="str">
        <f t="shared" si="1"/>
        <v>himmelsk (hög)</v>
      </c>
    </row>
    <row r="58" spans="19:22">
      <c r="S58" t="str">
        <f>S57</f>
        <v>himmelsk</v>
      </c>
      <c r="T58" t="s">
        <v>155</v>
      </c>
      <c r="U58">
        <f t="shared" si="0"/>
        <v>14.75</v>
      </c>
      <c r="V58" t="str">
        <f t="shared" si="1"/>
        <v>himmelsk (mkt hög)</v>
      </c>
    </row>
    <row r="59" spans="19:22">
      <c r="S59" t="s">
        <v>75</v>
      </c>
      <c r="T59" t="s">
        <v>154</v>
      </c>
      <c r="U59">
        <f t="shared" si="0"/>
        <v>15</v>
      </c>
      <c r="V59" t="str">
        <f t="shared" si="1"/>
        <v>titanisk (mkt låg)</v>
      </c>
    </row>
    <row r="60" spans="19:22">
      <c r="S60" t="str">
        <f>S59</f>
        <v>titanisk</v>
      </c>
      <c r="T60" t="s">
        <v>98</v>
      </c>
      <c r="U60">
        <f t="shared" si="0"/>
        <v>15.25</v>
      </c>
      <c r="V60" t="str">
        <f t="shared" si="1"/>
        <v>titanisk (låg)</v>
      </c>
    </row>
    <row r="61" spans="19:22">
      <c r="S61" t="str">
        <f>S60</f>
        <v>titanisk</v>
      </c>
      <c r="T61" t="s">
        <v>95</v>
      </c>
      <c r="U61">
        <f t="shared" si="0"/>
        <v>15.5</v>
      </c>
      <c r="V61" t="str">
        <f t="shared" si="1"/>
        <v>titanisk (hög)</v>
      </c>
    </row>
    <row r="62" spans="19:22">
      <c r="S62" t="str">
        <f>S61</f>
        <v>titanisk</v>
      </c>
      <c r="T62" t="s">
        <v>155</v>
      </c>
      <c r="U62">
        <f t="shared" si="0"/>
        <v>15.75</v>
      </c>
      <c r="V62" t="str">
        <f t="shared" si="1"/>
        <v>titanisk (mkt hög)</v>
      </c>
    </row>
    <row r="63" spans="19:22">
      <c r="S63" t="s">
        <v>76</v>
      </c>
      <c r="T63" t="s">
        <v>154</v>
      </c>
      <c r="U63">
        <f t="shared" si="0"/>
        <v>16</v>
      </c>
      <c r="V63" t="str">
        <f t="shared" si="1"/>
        <v>utomjordisk (mkt låg)</v>
      </c>
    </row>
    <row r="64" spans="19:22">
      <c r="S64" t="str">
        <f>S63</f>
        <v>utomjordisk</v>
      </c>
      <c r="T64" t="s">
        <v>98</v>
      </c>
      <c r="U64">
        <f t="shared" si="0"/>
        <v>16.25</v>
      </c>
      <c r="V64" t="str">
        <f t="shared" si="1"/>
        <v>utomjordisk (låg)</v>
      </c>
    </row>
    <row r="65" spans="19:22">
      <c r="S65" t="str">
        <f>S64</f>
        <v>utomjordisk</v>
      </c>
      <c r="T65" t="s">
        <v>95</v>
      </c>
      <c r="U65">
        <f t="shared" si="0"/>
        <v>16.5</v>
      </c>
      <c r="V65" t="str">
        <f t="shared" si="1"/>
        <v>utomjordisk (hög)</v>
      </c>
    </row>
    <row r="66" spans="19:22">
      <c r="S66" t="str">
        <f>S65</f>
        <v>utomjordisk</v>
      </c>
      <c r="T66" t="s">
        <v>155</v>
      </c>
      <c r="U66">
        <f t="shared" si="0"/>
        <v>16.75</v>
      </c>
      <c r="V66" t="str">
        <f t="shared" si="1"/>
        <v>utomjordisk (mkt hög)</v>
      </c>
    </row>
    <row r="67" spans="19:22">
      <c r="S67" t="s">
        <v>77</v>
      </c>
      <c r="T67" t="s">
        <v>154</v>
      </c>
      <c r="U67">
        <f t="shared" si="0"/>
        <v>17</v>
      </c>
      <c r="V67" t="str">
        <f t="shared" si="1"/>
        <v>mytomspunnen (mkt låg)</v>
      </c>
    </row>
    <row r="68" spans="19:22">
      <c r="S68" t="str">
        <f>S67</f>
        <v>mytomspunnen</v>
      </c>
      <c r="T68" t="s">
        <v>98</v>
      </c>
      <c r="U68">
        <f t="shared" ref="U68:U122" si="3">U67+0.25</f>
        <v>17.25</v>
      </c>
      <c r="V68" t="str">
        <f t="shared" ref="V68:V122" si="4">CONCATENATE(S68," (",T68,")")</f>
        <v>mytomspunnen (låg)</v>
      </c>
    </row>
    <row r="69" spans="19:22">
      <c r="S69" t="str">
        <f>S68</f>
        <v>mytomspunnen</v>
      </c>
      <c r="T69" t="s">
        <v>95</v>
      </c>
      <c r="U69">
        <f t="shared" si="3"/>
        <v>17.5</v>
      </c>
      <c r="V69" t="str">
        <f t="shared" si="4"/>
        <v>mytomspunnen (hög)</v>
      </c>
    </row>
    <row r="70" spans="19:22">
      <c r="S70" t="str">
        <f>S69</f>
        <v>mytomspunnen</v>
      </c>
      <c r="T70" t="s">
        <v>155</v>
      </c>
      <c r="U70">
        <f t="shared" si="3"/>
        <v>17.75</v>
      </c>
      <c r="V70" t="str">
        <f t="shared" si="4"/>
        <v>mytomspunnen (mkt hög)</v>
      </c>
    </row>
    <row r="71" spans="19:22">
      <c r="S71" t="s">
        <v>78</v>
      </c>
      <c r="T71" t="s">
        <v>154</v>
      </c>
      <c r="U71">
        <f t="shared" si="3"/>
        <v>18</v>
      </c>
      <c r="V71" t="str">
        <f t="shared" si="4"/>
        <v>magisk (mkt låg)</v>
      </c>
    </row>
    <row r="72" spans="19:22">
      <c r="S72" t="str">
        <f>S71</f>
        <v>magisk</v>
      </c>
      <c r="T72" t="s">
        <v>98</v>
      </c>
      <c r="U72">
        <f t="shared" si="3"/>
        <v>18.25</v>
      </c>
      <c r="V72" t="str">
        <f t="shared" si="4"/>
        <v>magisk (låg)</v>
      </c>
    </row>
    <row r="73" spans="19:22">
      <c r="S73" t="str">
        <f>S72</f>
        <v>magisk</v>
      </c>
      <c r="T73" t="s">
        <v>95</v>
      </c>
      <c r="U73">
        <f t="shared" si="3"/>
        <v>18.5</v>
      </c>
      <c r="V73" t="str">
        <f t="shared" si="4"/>
        <v>magisk (hög)</v>
      </c>
    </row>
    <row r="74" spans="19:22">
      <c r="S74" t="str">
        <f>S73</f>
        <v>magisk</v>
      </c>
      <c r="T74" t="s">
        <v>155</v>
      </c>
      <c r="U74">
        <f t="shared" si="3"/>
        <v>18.75</v>
      </c>
      <c r="V74" t="str">
        <f t="shared" si="4"/>
        <v>magisk (mkt hög)</v>
      </c>
    </row>
    <row r="75" spans="19:22">
      <c r="S75" t="s">
        <v>79</v>
      </c>
      <c r="T75" t="s">
        <v>154</v>
      </c>
      <c r="U75">
        <f t="shared" si="3"/>
        <v>19</v>
      </c>
      <c r="V75" t="str">
        <f t="shared" si="4"/>
        <v>utopisk (mkt låg)</v>
      </c>
    </row>
    <row r="76" spans="19:22">
      <c r="S76" t="str">
        <f>S75</f>
        <v>utopisk</v>
      </c>
      <c r="T76" t="s">
        <v>98</v>
      </c>
      <c r="U76">
        <f t="shared" si="3"/>
        <v>19.25</v>
      </c>
      <c r="V76" t="str">
        <f t="shared" si="4"/>
        <v>utopisk (låg)</v>
      </c>
    </row>
    <row r="77" spans="19:22">
      <c r="S77" t="str">
        <f>S76</f>
        <v>utopisk</v>
      </c>
      <c r="T77" t="s">
        <v>95</v>
      </c>
      <c r="U77">
        <f t="shared" si="3"/>
        <v>19.5</v>
      </c>
      <c r="V77" t="str">
        <f t="shared" si="4"/>
        <v>utopisk (hög)</v>
      </c>
    </row>
    <row r="78" spans="19:22">
      <c r="S78" t="str">
        <f>S77</f>
        <v>utopisk</v>
      </c>
      <c r="T78" t="s">
        <v>155</v>
      </c>
      <c r="U78">
        <f t="shared" si="3"/>
        <v>19.75</v>
      </c>
      <c r="V78" t="str">
        <f t="shared" si="4"/>
        <v>utopisk (mkt hög)</v>
      </c>
    </row>
    <row r="79" spans="19:22">
      <c r="S79" t="s">
        <v>80</v>
      </c>
      <c r="T79" t="s">
        <v>154</v>
      </c>
      <c r="U79">
        <f t="shared" si="3"/>
        <v>20</v>
      </c>
      <c r="V79" t="str">
        <f t="shared" si="4"/>
        <v>gudomlig (mkt låg)</v>
      </c>
    </row>
    <row r="80" spans="19:22">
      <c r="S80" t="str">
        <f>S79</f>
        <v>gudomlig</v>
      </c>
      <c r="T80" t="s">
        <v>98</v>
      </c>
      <c r="U80">
        <f t="shared" si="3"/>
        <v>20.25</v>
      </c>
      <c r="V80" t="str">
        <f t="shared" si="4"/>
        <v>gudomlig (låg)</v>
      </c>
    </row>
    <row r="81" spans="19:22">
      <c r="S81" t="str">
        <f>S80</f>
        <v>gudomlig</v>
      </c>
      <c r="T81" t="s">
        <v>95</v>
      </c>
      <c r="U81">
        <f t="shared" si="3"/>
        <v>20.5</v>
      </c>
      <c r="V81" t="str">
        <f t="shared" si="4"/>
        <v>gudomlig (hög)</v>
      </c>
    </row>
    <row r="82" spans="19:22">
      <c r="S82" t="str">
        <f>S81</f>
        <v>gudomlig</v>
      </c>
      <c r="T82" t="s">
        <v>155</v>
      </c>
      <c r="U82">
        <f t="shared" si="3"/>
        <v>20.75</v>
      </c>
      <c r="V82" t="str">
        <f t="shared" si="4"/>
        <v>gudomlig (mkt hög)</v>
      </c>
    </row>
    <row r="83" spans="19:22">
      <c r="S83" t="s">
        <v>156</v>
      </c>
      <c r="T83" t="s">
        <v>154</v>
      </c>
      <c r="U83">
        <f t="shared" si="3"/>
        <v>21</v>
      </c>
      <c r="V83" t="str">
        <f t="shared" si="4"/>
        <v>gudomlig+1 (mkt låg)</v>
      </c>
    </row>
    <row r="84" spans="19:22">
      <c r="S84" t="str">
        <f>S83</f>
        <v>gudomlig+1</v>
      </c>
      <c r="T84" t="s">
        <v>98</v>
      </c>
      <c r="U84">
        <f t="shared" si="3"/>
        <v>21.25</v>
      </c>
      <c r="V84" t="str">
        <f t="shared" si="4"/>
        <v>gudomlig+1 (låg)</v>
      </c>
    </row>
    <row r="85" spans="19:22">
      <c r="S85" t="str">
        <f>S84</f>
        <v>gudomlig+1</v>
      </c>
      <c r="T85" t="s">
        <v>95</v>
      </c>
      <c r="U85">
        <f t="shared" si="3"/>
        <v>21.5</v>
      </c>
      <c r="V85" t="str">
        <f t="shared" si="4"/>
        <v>gudomlig+1 (hög)</v>
      </c>
    </row>
    <row r="86" spans="19:22">
      <c r="S86" t="str">
        <f>S85</f>
        <v>gudomlig+1</v>
      </c>
      <c r="T86" t="s">
        <v>155</v>
      </c>
      <c r="U86">
        <f t="shared" si="3"/>
        <v>21.75</v>
      </c>
      <c r="V86" t="str">
        <f t="shared" si="4"/>
        <v>gudomlig+1 (mkt hög)</v>
      </c>
    </row>
    <row r="87" spans="19:22">
      <c r="S87" t="s">
        <v>157</v>
      </c>
      <c r="T87" t="s">
        <v>154</v>
      </c>
      <c r="U87">
        <f t="shared" si="3"/>
        <v>22</v>
      </c>
      <c r="V87" t="str">
        <f t="shared" si="4"/>
        <v>gudomlig+2 (mkt låg)</v>
      </c>
    </row>
    <row r="88" spans="19:22">
      <c r="S88" t="str">
        <f>S87</f>
        <v>gudomlig+2</v>
      </c>
      <c r="T88" t="s">
        <v>98</v>
      </c>
      <c r="U88">
        <f t="shared" si="3"/>
        <v>22.25</v>
      </c>
      <c r="V88" t="str">
        <f t="shared" si="4"/>
        <v>gudomlig+2 (låg)</v>
      </c>
    </row>
    <row r="89" spans="19:22">
      <c r="S89" t="str">
        <f>S88</f>
        <v>gudomlig+2</v>
      </c>
      <c r="T89" t="s">
        <v>95</v>
      </c>
      <c r="U89">
        <f t="shared" si="3"/>
        <v>22.5</v>
      </c>
      <c r="V89" t="str">
        <f t="shared" si="4"/>
        <v>gudomlig+2 (hög)</v>
      </c>
    </row>
    <row r="90" spans="19:22">
      <c r="S90" t="str">
        <f>S89</f>
        <v>gudomlig+2</v>
      </c>
      <c r="T90" t="s">
        <v>155</v>
      </c>
      <c r="U90">
        <f t="shared" si="3"/>
        <v>22.75</v>
      </c>
      <c r="V90" t="str">
        <f t="shared" si="4"/>
        <v>gudomlig+2 (mkt hög)</v>
      </c>
    </row>
    <row r="91" spans="19:22">
      <c r="S91" t="s">
        <v>158</v>
      </c>
      <c r="T91" t="s">
        <v>154</v>
      </c>
      <c r="U91">
        <f t="shared" si="3"/>
        <v>23</v>
      </c>
      <c r="V91" t="str">
        <f t="shared" si="4"/>
        <v>gudomlig+3 (mkt låg)</v>
      </c>
    </row>
    <row r="92" spans="19:22">
      <c r="S92" t="str">
        <f>S91</f>
        <v>gudomlig+3</v>
      </c>
      <c r="T92" t="s">
        <v>98</v>
      </c>
      <c r="U92">
        <f t="shared" si="3"/>
        <v>23.25</v>
      </c>
      <c r="V92" t="str">
        <f t="shared" si="4"/>
        <v>gudomlig+3 (låg)</v>
      </c>
    </row>
    <row r="93" spans="19:22">
      <c r="S93" t="str">
        <f>S92</f>
        <v>gudomlig+3</v>
      </c>
      <c r="T93" t="s">
        <v>95</v>
      </c>
      <c r="U93">
        <f t="shared" si="3"/>
        <v>23.5</v>
      </c>
      <c r="V93" t="str">
        <f t="shared" si="4"/>
        <v>gudomlig+3 (hög)</v>
      </c>
    </row>
    <row r="94" spans="19:22">
      <c r="S94" t="str">
        <f>S93</f>
        <v>gudomlig+3</v>
      </c>
      <c r="T94" t="s">
        <v>155</v>
      </c>
      <c r="U94">
        <f t="shared" si="3"/>
        <v>23.75</v>
      </c>
      <c r="V94" t="str">
        <f t="shared" si="4"/>
        <v>gudomlig+3 (mkt hög)</v>
      </c>
    </row>
    <row r="95" spans="19:22">
      <c r="S95" t="s">
        <v>159</v>
      </c>
      <c r="T95" t="s">
        <v>154</v>
      </c>
      <c r="U95">
        <f t="shared" si="3"/>
        <v>24</v>
      </c>
      <c r="V95" t="str">
        <f t="shared" si="4"/>
        <v>gudomlig+4 (mkt låg)</v>
      </c>
    </row>
    <row r="96" spans="19:22">
      <c r="S96" t="str">
        <f>S95</f>
        <v>gudomlig+4</v>
      </c>
      <c r="T96" t="s">
        <v>98</v>
      </c>
      <c r="U96">
        <f t="shared" si="3"/>
        <v>24.25</v>
      </c>
      <c r="V96" t="str">
        <f t="shared" si="4"/>
        <v>gudomlig+4 (låg)</v>
      </c>
    </row>
    <row r="97" spans="19:22">
      <c r="S97" t="str">
        <f>S96</f>
        <v>gudomlig+4</v>
      </c>
      <c r="T97" t="s">
        <v>95</v>
      </c>
      <c r="U97">
        <f t="shared" si="3"/>
        <v>24.5</v>
      </c>
      <c r="V97" t="str">
        <f t="shared" si="4"/>
        <v>gudomlig+4 (hög)</v>
      </c>
    </row>
    <row r="98" spans="19:22">
      <c r="S98" t="str">
        <f>S97</f>
        <v>gudomlig+4</v>
      </c>
      <c r="T98" t="s">
        <v>155</v>
      </c>
      <c r="U98">
        <f t="shared" si="3"/>
        <v>24.75</v>
      </c>
      <c r="V98" t="str">
        <f t="shared" si="4"/>
        <v>gudomlig+4 (mkt hög)</v>
      </c>
    </row>
    <row r="99" spans="19:22">
      <c r="S99" t="s">
        <v>160</v>
      </c>
      <c r="T99" t="s">
        <v>154</v>
      </c>
      <c r="U99">
        <f t="shared" si="3"/>
        <v>25</v>
      </c>
      <c r="V99" t="str">
        <f t="shared" si="4"/>
        <v>gudomlig+5 (mkt låg)</v>
      </c>
    </row>
    <row r="100" spans="19:22">
      <c r="S100" t="str">
        <f>S99</f>
        <v>gudomlig+5</v>
      </c>
      <c r="T100" t="s">
        <v>98</v>
      </c>
      <c r="U100">
        <f t="shared" si="3"/>
        <v>25.25</v>
      </c>
      <c r="V100" t="str">
        <f t="shared" si="4"/>
        <v>gudomlig+5 (låg)</v>
      </c>
    </row>
    <row r="101" spans="19:22">
      <c r="S101" t="str">
        <f>S100</f>
        <v>gudomlig+5</v>
      </c>
      <c r="T101" t="s">
        <v>95</v>
      </c>
      <c r="U101">
        <f t="shared" si="3"/>
        <v>25.5</v>
      </c>
      <c r="V101" t="str">
        <f t="shared" si="4"/>
        <v>gudomlig+5 (hög)</v>
      </c>
    </row>
    <row r="102" spans="19:22">
      <c r="S102" t="str">
        <f>S101</f>
        <v>gudomlig+5</v>
      </c>
      <c r="T102" t="s">
        <v>155</v>
      </c>
      <c r="U102">
        <f t="shared" si="3"/>
        <v>25.75</v>
      </c>
      <c r="V102" t="str">
        <f t="shared" si="4"/>
        <v>gudomlig+5 (mkt hög)</v>
      </c>
    </row>
    <row r="103" spans="19:22">
      <c r="S103" t="s">
        <v>161</v>
      </c>
      <c r="T103" t="s">
        <v>154</v>
      </c>
      <c r="U103">
        <f t="shared" si="3"/>
        <v>26</v>
      </c>
      <c r="V103" t="str">
        <f t="shared" si="4"/>
        <v>gudomlig+6 (mkt låg)</v>
      </c>
    </row>
    <row r="104" spans="19:22">
      <c r="S104" t="str">
        <f>S103</f>
        <v>gudomlig+6</v>
      </c>
      <c r="T104" t="s">
        <v>98</v>
      </c>
      <c r="U104">
        <f t="shared" si="3"/>
        <v>26.25</v>
      </c>
      <c r="V104" t="str">
        <f t="shared" si="4"/>
        <v>gudomlig+6 (låg)</v>
      </c>
    </row>
    <row r="105" spans="19:22">
      <c r="S105" t="str">
        <f>S104</f>
        <v>gudomlig+6</v>
      </c>
      <c r="T105" t="s">
        <v>95</v>
      </c>
      <c r="U105">
        <f t="shared" si="3"/>
        <v>26.5</v>
      </c>
      <c r="V105" t="str">
        <f t="shared" si="4"/>
        <v>gudomlig+6 (hög)</v>
      </c>
    </row>
    <row r="106" spans="19:22">
      <c r="S106" t="str">
        <f>S105</f>
        <v>gudomlig+6</v>
      </c>
      <c r="T106" t="s">
        <v>155</v>
      </c>
      <c r="U106">
        <f t="shared" si="3"/>
        <v>26.75</v>
      </c>
      <c r="V106" t="str">
        <f t="shared" si="4"/>
        <v>gudomlig+6 (mkt hög)</v>
      </c>
    </row>
    <row r="107" spans="19:22">
      <c r="S107" t="s">
        <v>162</v>
      </c>
      <c r="T107" t="s">
        <v>154</v>
      </c>
      <c r="U107">
        <f t="shared" si="3"/>
        <v>27</v>
      </c>
      <c r="V107" t="str">
        <f t="shared" si="4"/>
        <v>gudomlig+7 (mkt låg)</v>
      </c>
    </row>
    <row r="108" spans="19:22">
      <c r="S108" t="str">
        <f>S107</f>
        <v>gudomlig+7</v>
      </c>
      <c r="T108" t="s">
        <v>98</v>
      </c>
      <c r="U108">
        <f t="shared" si="3"/>
        <v>27.25</v>
      </c>
      <c r="V108" t="str">
        <f t="shared" si="4"/>
        <v>gudomlig+7 (låg)</v>
      </c>
    </row>
    <row r="109" spans="19:22">
      <c r="S109" t="str">
        <f>S108</f>
        <v>gudomlig+7</v>
      </c>
      <c r="T109" t="s">
        <v>95</v>
      </c>
      <c r="U109">
        <f t="shared" si="3"/>
        <v>27.5</v>
      </c>
      <c r="V109" t="str">
        <f t="shared" si="4"/>
        <v>gudomlig+7 (hög)</v>
      </c>
    </row>
    <row r="110" spans="19:22">
      <c r="S110" t="str">
        <f>S109</f>
        <v>gudomlig+7</v>
      </c>
      <c r="T110" t="s">
        <v>155</v>
      </c>
      <c r="U110">
        <f t="shared" si="3"/>
        <v>27.75</v>
      </c>
      <c r="V110" t="str">
        <f t="shared" si="4"/>
        <v>gudomlig+7 (mkt hög)</v>
      </c>
    </row>
    <row r="111" spans="19:22">
      <c r="S111" t="s">
        <v>163</v>
      </c>
      <c r="T111" t="s">
        <v>154</v>
      </c>
      <c r="U111">
        <f t="shared" si="3"/>
        <v>28</v>
      </c>
      <c r="V111" t="str">
        <f t="shared" si="4"/>
        <v>gudomlig+8 (mkt låg)</v>
      </c>
    </row>
    <row r="112" spans="19:22">
      <c r="S112" t="str">
        <f>S111</f>
        <v>gudomlig+8</v>
      </c>
      <c r="T112" t="s">
        <v>98</v>
      </c>
      <c r="U112">
        <f t="shared" si="3"/>
        <v>28.25</v>
      </c>
      <c r="V112" t="str">
        <f t="shared" si="4"/>
        <v>gudomlig+8 (låg)</v>
      </c>
    </row>
    <row r="113" spans="19:22">
      <c r="S113" t="str">
        <f>S112</f>
        <v>gudomlig+8</v>
      </c>
      <c r="T113" t="s">
        <v>95</v>
      </c>
      <c r="U113">
        <f t="shared" si="3"/>
        <v>28.5</v>
      </c>
      <c r="V113" t="str">
        <f t="shared" si="4"/>
        <v>gudomlig+8 (hög)</v>
      </c>
    </row>
    <row r="114" spans="19:22">
      <c r="S114" t="str">
        <f>S113</f>
        <v>gudomlig+8</v>
      </c>
      <c r="T114" t="s">
        <v>155</v>
      </c>
      <c r="U114">
        <f t="shared" si="3"/>
        <v>28.75</v>
      </c>
      <c r="V114" t="str">
        <f t="shared" si="4"/>
        <v>gudomlig+8 (mkt hög)</v>
      </c>
    </row>
    <row r="115" spans="19:22">
      <c r="S115" t="s">
        <v>164</v>
      </c>
      <c r="T115" t="s">
        <v>154</v>
      </c>
      <c r="U115">
        <f t="shared" si="3"/>
        <v>29</v>
      </c>
      <c r="V115" t="str">
        <f t="shared" si="4"/>
        <v>gudomlig+9 (mkt låg)</v>
      </c>
    </row>
    <row r="116" spans="19:22">
      <c r="S116" t="str">
        <f>S115</f>
        <v>gudomlig+9</v>
      </c>
      <c r="T116" t="s">
        <v>98</v>
      </c>
      <c r="U116">
        <f t="shared" si="3"/>
        <v>29.25</v>
      </c>
      <c r="V116" t="str">
        <f t="shared" si="4"/>
        <v>gudomlig+9 (låg)</v>
      </c>
    </row>
    <row r="117" spans="19:22">
      <c r="S117" t="str">
        <f>S116</f>
        <v>gudomlig+9</v>
      </c>
      <c r="T117" t="s">
        <v>95</v>
      </c>
      <c r="U117">
        <f t="shared" si="3"/>
        <v>29.5</v>
      </c>
      <c r="V117" t="str">
        <f t="shared" si="4"/>
        <v>gudomlig+9 (hög)</v>
      </c>
    </row>
    <row r="118" spans="19:22">
      <c r="S118" t="str">
        <f>S117</f>
        <v>gudomlig+9</v>
      </c>
      <c r="T118" t="s">
        <v>155</v>
      </c>
      <c r="U118">
        <f t="shared" si="3"/>
        <v>29.75</v>
      </c>
      <c r="V118" t="str">
        <f t="shared" si="4"/>
        <v>gudomlig+9 (mkt hög)</v>
      </c>
    </row>
    <row r="119" spans="19:22">
      <c r="S119" t="s">
        <v>165</v>
      </c>
      <c r="T119" t="s">
        <v>154</v>
      </c>
      <c r="U119">
        <f t="shared" si="3"/>
        <v>30</v>
      </c>
      <c r="V119" t="str">
        <f t="shared" si="4"/>
        <v>gudomlig+10 (mkt låg)</v>
      </c>
    </row>
    <row r="120" spans="19:22">
      <c r="S120" t="str">
        <f>S119</f>
        <v>gudomlig+10</v>
      </c>
      <c r="T120" t="s">
        <v>98</v>
      </c>
      <c r="U120">
        <f t="shared" si="3"/>
        <v>30.25</v>
      </c>
      <c r="V120" t="str">
        <f t="shared" si="4"/>
        <v>gudomlig+10 (låg)</v>
      </c>
    </row>
    <row r="121" spans="19:22">
      <c r="S121" t="str">
        <f>S120</f>
        <v>gudomlig+10</v>
      </c>
      <c r="T121" t="s">
        <v>95</v>
      </c>
      <c r="U121">
        <f t="shared" si="3"/>
        <v>30.5</v>
      </c>
      <c r="V121" t="str">
        <f t="shared" si="4"/>
        <v>gudomlig+10 (hög)</v>
      </c>
    </row>
    <row r="122" spans="19:22">
      <c r="S122" t="str">
        <f>S121</f>
        <v>gudomlig+10</v>
      </c>
      <c r="T122" t="s">
        <v>155</v>
      </c>
      <c r="U122">
        <f t="shared" si="3"/>
        <v>30.75</v>
      </c>
      <c r="V122" t="str">
        <f t="shared" si="4"/>
        <v>gudomlig+10 (mkt hög)</v>
      </c>
    </row>
  </sheetData>
  <phoneticPr fontId="7" type="noConversion"/>
  <pageMargins left="0.75" right="0.75" top="1" bottom="1" header="0.5" footer="0.5"/>
  <pageSetup paperSize="9" orientation="portrait" horizontalDpi="0" verticalDpi="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>
  <dimension ref="A1:L56"/>
  <sheetViews>
    <sheetView zoomScale="85" workbookViewId="0">
      <selection activeCell="H15" sqref="H15"/>
    </sheetView>
  </sheetViews>
  <sheetFormatPr defaultColWidth="9.109375" defaultRowHeight="13.2"/>
  <cols>
    <col min="1" max="1" width="56.6640625" style="70" customWidth="1"/>
    <col min="2" max="2" width="13.5546875" style="65" customWidth="1"/>
    <col min="3" max="3" width="14.33203125" style="65" customWidth="1"/>
    <col min="4" max="4" width="14.5546875" style="65" customWidth="1"/>
    <col min="5" max="5" width="9.5546875" style="66" customWidth="1"/>
    <col min="6" max="6" width="4.109375" style="65" customWidth="1"/>
    <col min="7" max="7" width="4.44140625" style="65" customWidth="1"/>
    <col min="8" max="8" width="24.44140625" style="65" customWidth="1"/>
    <col min="9" max="9" width="19.109375" style="65" customWidth="1"/>
    <col min="10" max="10" width="15.88671875" style="65" customWidth="1"/>
    <col min="11" max="11" width="17.109375" style="65" customWidth="1"/>
    <col min="12" max="12" width="9.44140625" style="65" customWidth="1"/>
    <col min="13" max="16384" width="9.109375" style="65"/>
  </cols>
  <sheetData>
    <row r="1" spans="1:12">
      <c r="A1" s="82" t="s">
        <v>245</v>
      </c>
      <c r="B1"/>
      <c r="C1"/>
      <c r="D1"/>
      <c r="H1" s="82" t="s">
        <v>245</v>
      </c>
      <c r="I1"/>
      <c r="J1"/>
      <c r="K1"/>
      <c r="L1" s="66"/>
    </row>
    <row r="2" spans="1:12">
      <c r="A2" s="84" t="s">
        <v>246</v>
      </c>
      <c r="B2"/>
      <c r="C2"/>
      <c r="D2"/>
      <c r="H2" s="84" t="s">
        <v>246</v>
      </c>
      <c r="I2"/>
      <c r="J2"/>
      <c r="K2"/>
      <c r="L2" s="66"/>
    </row>
    <row r="3" spans="1:12">
      <c r="A3" s="84" t="s">
        <v>244</v>
      </c>
      <c r="B3"/>
      <c r="C3"/>
      <c r="D3"/>
      <c r="H3" s="84" t="s">
        <v>244</v>
      </c>
      <c r="I3"/>
      <c r="J3"/>
      <c r="K3"/>
      <c r="L3" s="66"/>
    </row>
    <row r="4" spans="1:12">
      <c r="A4" s="84" t="s">
        <v>247</v>
      </c>
      <c r="B4"/>
      <c r="C4"/>
      <c r="D4"/>
      <c r="H4" s="84" t="s">
        <v>247</v>
      </c>
      <c r="I4"/>
      <c r="J4"/>
      <c r="K4"/>
      <c r="L4" s="66"/>
    </row>
    <row r="5" spans="1:12">
      <c r="A5" s="82" t="s">
        <v>248</v>
      </c>
      <c r="B5"/>
      <c r="C5"/>
      <c r="D5"/>
      <c r="H5" s="82" t="s">
        <v>248</v>
      </c>
      <c r="I5"/>
      <c r="J5"/>
      <c r="K5"/>
      <c r="L5" s="66"/>
    </row>
    <row r="6" spans="1:12">
      <c r="A6" s="84"/>
      <c r="B6"/>
      <c r="C6"/>
      <c r="D6"/>
      <c r="H6" s="84"/>
      <c r="I6"/>
      <c r="J6"/>
      <c r="K6"/>
      <c r="L6" s="66"/>
    </row>
    <row r="7" spans="1:12">
      <c r="A7" s="85" t="s">
        <v>181</v>
      </c>
      <c r="B7" s="86" t="s">
        <v>70</v>
      </c>
      <c r="C7" s="85" t="s">
        <v>182</v>
      </c>
      <c r="D7" s="86" t="s">
        <v>63</v>
      </c>
      <c r="H7" s="85" t="s">
        <v>181</v>
      </c>
      <c r="I7" s="86" t="s">
        <v>70</v>
      </c>
      <c r="J7" s="85" t="s">
        <v>182</v>
      </c>
      <c r="K7" s="86" t="s">
        <v>63</v>
      </c>
      <c r="L7" s="66"/>
    </row>
    <row r="8" spans="1:12">
      <c r="A8" s="85" t="s">
        <v>183</v>
      </c>
      <c r="B8" s="86" t="s">
        <v>79</v>
      </c>
      <c r="C8" s="85" t="s">
        <v>184</v>
      </c>
      <c r="D8" s="86" t="s">
        <v>61</v>
      </c>
      <c r="H8" s="85" t="s">
        <v>183</v>
      </c>
      <c r="I8" s="86" t="s">
        <v>79</v>
      </c>
      <c r="J8" s="85" t="s">
        <v>184</v>
      </c>
      <c r="K8" s="86" t="s">
        <v>61</v>
      </c>
      <c r="L8" s="66"/>
    </row>
    <row r="9" spans="1:12">
      <c r="A9" s="85" t="s">
        <v>185</v>
      </c>
      <c r="B9" s="86" t="s">
        <v>67</v>
      </c>
      <c r="C9" s="85" t="s">
        <v>186</v>
      </c>
      <c r="D9" s="86" t="s">
        <v>61</v>
      </c>
      <c r="H9" s="85" t="s">
        <v>185</v>
      </c>
      <c r="I9" s="86" t="s">
        <v>67</v>
      </c>
      <c r="J9" s="85" t="s">
        <v>186</v>
      </c>
      <c r="K9" s="86" t="s">
        <v>61</v>
      </c>
      <c r="L9" s="66"/>
    </row>
    <row r="10" spans="1:12">
      <c r="A10" s="85" t="s">
        <v>187</v>
      </c>
      <c r="B10" s="86" t="s">
        <v>65</v>
      </c>
      <c r="C10" s="85" t="s">
        <v>188</v>
      </c>
      <c r="D10" s="86" t="s">
        <v>67</v>
      </c>
      <c r="H10" s="85" t="s">
        <v>187</v>
      </c>
      <c r="I10" s="86" t="s">
        <v>65</v>
      </c>
      <c r="J10" s="85" t="s">
        <v>188</v>
      </c>
      <c r="K10" s="86" t="s">
        <v>67</v>
      </c>
      <c r="L10" s="66"/>
    </row>
    <row r="11" spans="1:12" s="68" customFormat="1" ht="15.6">
      <c r="A11" s="83"/>
      <c r="B11" s="60"/>
      <c r="C11" s="83"/>
      <c r="D11" s="60"/>
      <c r="E11" s="67"/>
      <c r="H11" s="85"/>
      <c r="I11" s="86"/>
      <c r="J11" s="85"/>
      <c r="K11" s="86"/>
      <c r="L11" s="67"/>
    </row>
    <row r="12" spans="1:12">
      <c r="B12" s="70"/>
      <c r="D12" s="70"/>
    </row>
    <row r="13" spans="1:12">
      <c r="B13" s="76" t="str">
        <f>A1</f>
        <v xml:space="preserve">Hugo Svensson </v>
      </c>
      <c r="D13" s="70"/>
      <c r="H13" s="70"/>
      <c r="I13" s="76" t="str">
        <f>H1</f>
        <v xml:space="preserve">Hugo Svensson </v>
      </c>
      <c r="K13" s="70"/>
      <c r="L13" s="66"/>
    </row>
    <row r="14" spans="1:12">
      <c r="A14" s="72" t="s">
        <v>1</v>
      </c>
      <c r="B14" s="70" t="str">
        <f>MID(MID(MID(SUBSTITUTE(A3," ","^",1),1,256),FIND("^",SUBSTITUTE(A3," ","^",1)),256),2,FIND(" ",MID(MID(SUBSTITUTE(A3," ","^",1),1,256),FIND("^",SUBSTITUTE(A3," ","^",1)),256))-2)</f>
        <v>ypperlig</v>
      </c>
      <c r="C14" s="69" t="s">
        <v>96</v>
      </c>
      <c r="D14" s="70">
        <v>0.9</v>
      </c>
      <c r="E14" s="66">
        <f>SQRT((VLOOKUP(B14, Parser!$N$5:'Parser'!$O$24, 2, FALSE))+D14)/SQRT(7)</f>
        <v>0.99283144879394591</v>
      </c>
      <c r="H14" s="72" t="s">
        <v>1</v>
      </c>
      <c r="I14" s="70" t="str">
        <f>MID(MID(MID(SUBSTITUTE(H3," ","^",1),1,256),FIND("^",SUBSTITUTE(H3," ","^",1)),256),2,FIND(" ",MID(MID(SUBSTITUTE(H3," ","^",1),1,256),FIND("^",SUBSTITUTE(H3," ","^",1)),256))-2)</f>
        <v>ypperlig</v>
      </c>
      <c r="J14" s="69" t="s">
        <v>96</v>
      </c>
      <c r="K14" s="70">
        <v>0</v>
      </c>
      <c r="L14" s="66">
        <f>SQRT((VLOOKUP(I14, Parser!$N$5:'Parser'!$O$24, 2, FALSE))+K14)/SQRT(7)</f>
        <v>0.92582009977255131</v>
      </c>
    </row>
    <row r="15" spans="1:12">
      <c r="A15" s="72" t="s">
        <v>180</v>
      </c>
      <c r="B15" s="70" t="str">
        <f>MID(MID(MID(SUBSTITUTE(A4," ","^",1),1,256),FIND("^",SUBSTITUTE(A4," ","^",1)),256),2,FIND(" ",MID(MID(SUBSTITUTE(A4," ","^",1),1,256),FIND("^",SUBSTITUTE(A4," ","^",1)),256))-2)</f>
        <v>legendarisk</v>
      </c>
      <c r="C15" s="69" t="s">
        <v>210</v>
      </c>
      <c r="D15" s="70">
        <v>0.9</v>
      </c>
      <c r="E15" s="66">
        <f>1+SQRT((VLOOKUP(B15, Parser!$N$5:'Parser'!$O$24, 2, FALSE)+D15))*7/100</f>
        <v>1.2311060362690684</v>
      </c>
      <c r="H15" s="72" t="s">
        <v>180</v>
      </c>
      <c r="I15" s="70" t="str">
        <f>MID(MID(MID(SUBSTITUTE(H4," ","^",1),1,256),FIND("^",SUBSTITUTE(H4," ","^",1)),256),2,FIND(" ",MID(MID(SUBSTITUTE(H4," ","^",1),1,256),FIND("^",SUBSTITUTE(H4," ","^",1)),256))-2)</f>
        <v>legendarisk</v>
      </c>
      <c r="J15" s="69" t="s">
        <v>210</v>
      </c>
      <c r="K15" s="70">
        <v>0</v>
      </c>
      <c r="L15" s="66">
        <f>1+SQRT((VLOOKUP(I15, Parser!$N$5:'Parser'!$O$24, 2, FALSE)+K15))*7/100</f>
        <v>1.2213594362117866</v>
      </c>
    </row>
    <row r="16" spans="1:12">
      <c r="A16" s="72" t="s">
        <v>84</v>
      </c>
      <c r="B16" s="65" t="s">
        <v>64</v>
      </c>
      <c r="C16" s="69" t="s">
        <v>211</v>
      </c>
      <c r="D16" s="70">
        <v>0.5</v>
      </c>
      <c r="E16" s="66">
        <f>SQRT((VLOOKUP(B16, Parser!$N$5:'Parser'!$O$24, 2, FALSE))+D16)/SQRT(8.5)</f>
        <v>0.87447463219520616</v>
      </c>
      <c r="H16" s="72" t="s">
        <v>84</v>
      </c>
      <c r="I16" s="65" t="str">
        <f>MID(MID(MID(SUBSTITUTE(H3," ","^",4),1,256),FIND("^",SUBSTITUTE(H3," ","^",4)),256),2,FIND(" ",MID(MID(SUBSTITUTE(H3," ","^",4),1,256),FIND("^",SUBSTITUTE(H3," ","^",4)),256))-2)</f>
        <v>enastående</v>
      </c>
      <c r="J16" s="69" t="s">
        <v>211</v>
      </c>
      <c r="K16" s="70">
        <v>0</v>
      </c>
      <c r="L16" s="66">
        <f>SQRT((VLOOKUP(I16, Parser!$N$5:'Parser'!$O$24, 2, FALSE))+K16)/SQRT(7)</f>
        <v>1</v>
      </c>
    </row>
    <row r="17" spans="1:12">
      <c r="A17" s="73"/>
      <c r="B17" s="70"/>
      <c r="D17" s="70"/>
      <c r="H17" s="73"/>
      <c r="I17" s="70"/>
      <c r="K17" s="70"/>
      <c r="L17" s="66"/>
    </row>
    <row r="18" spans="1:12">
      <c r="A18" s="74" t="s">
        <v>212</v>
      </c>
      <c r="B18" s="70"/>
      <c r="D18" s="70"/>
      <c r="H18" s="74" t="s">
        <v>212</v>
      </c>
      <c r="I18" s="70"/>
      <c r="K18" s="70"/>
      <c r="L18" s="66"/>
    </row>
    <row r="19" spans="1:12">
      <c r="A19" s="72" t="s">
        <v>181</v>
      </c>
      <c r="B19" s="70" t="str">
        <f>B16</f>
        <v>ypperlig</v>
      </c>
      <c r="C19" s="69" t="s">
        <v>182</v>
      </c>
      <c r="D19" s="77">
        <f>VLOOKUP(TRIM(D7), Parser!$N$5:'Parser'!$O$24, 2, FALSE)*$E$14*$E$15*$E$16</f>
        <v>1.0688535439317144</v>
      </c>
      <c r="H19" s="72" t="s">
        <v>181</v>
      </c>
      <c r="I19" s="70" t="str">
        <f>I16</f>
        <v>enastående</v>
      </c>
      <c r="J19" s="69" t="s">
        <v>182</v>
      </c>
      <c r="K19" s="77">
        <f>VLOOKUP(TRIM(K7), Parser!$N$5:'Parser'!$O$24, 2, FALSE)*$L$14*$L$15*$L$16</f>
        <v>1.1307591150917433</v>
      </c>
      <c r="L19" s="66"/>
    </row>
    <row r="20" spans="1:12">
      <c r="A20" s="72" t="s">
        <v>183</v>
      </c>
      <c r="B20" s="77">
        <f>VLOOKUP(TRIM(B8), Parser!$N$5:'Parser'!$O$24, 2, FALSE)*$E$14*$E$15*$E$16</f>
        <v>20.308217334702572</v>
      </c>
      <c r="C20" s="69" t="s">
        <v>184</v>
      </c>
      <c r="D20" s="77">
        <f>VLOOKUP(TRIM(D8), Parser!$N$5:'Parser'!$O$24, 2, FALSE)*$E$14*$E$15*$E$16</f>
        <v>8.5508283514537151</v>
      </c>
      <c r="H20" s="72" t="s">
        <v>183</v>
      </c>
      <c r="I20" s="77">
        <f>VLOOKUP(TRIM(I8), Parser!$N$5:'Parser'!$O$24, 2, FALSE)*$L$14*$L$15*$L$16</f>
        <v>21.484423186743122</v>
      </c>
      <c r="J20" s="69" t="s">
        <v>184</v>
      </c>
      <c r="K20" s="77">
        <f>VLOOKUP(TRIM(K8), Parser!$N$5:'Parser'!$O$24, 2, FALSE)*$L$14*$L$15*$L$16</f>
        <v>9.0460729207339465</v>
      </c>
      <c r="L20" s="66"/>
    </row>
    <row r="21" spans="1:12">
      <c r="A21" s="72" t="s">
        <v>185</v>
      </c>
      <c r="B21" s="77">
        <f>VLOOKUP(TRIM(B9), Parser!$N$5:'Parser'!$O$24, 2, FALSE)*$E$14*$E$15*$E$16</f>
        <v>4.2754141757268576</v>
      </c>
      <c r="C21" s="69" t="s">
        <v>186</v>
      </c>
      <c r="D21" s="77">
        <f>VLOOKUP(TRIM(D9), Parser!$N$5:'Parser'!$O$24, 2, FALSE)*$E$14*$E$15*$E$16</f>
        <v>8.5508283514537151</v>
      </c>
      <c r="H21" s="72" t="s">
        <v>185</v>
      </c>
      <c r="I21" s="77">
        <f>VLOOKUP(TRIM(I9), Parser!$N$5:'Parser'!$O$24, 2, FALSE)*$L$14*$L$15*$L$16</f>
        <v>4.5230364603669733</v>
      </c>
      <c r="J21" s="69" t="s">
        <v>186</v>
      </c>
      <c r="K21" s="77">
        <f>VLOOKUP(TRIM(K9), Parser!$N$5:'Parser'!$O$24, 2, FALSE)*$L$14*$L$15*$L$16</f>
        <v>9.0460729207339465</v>
      </c>
      <c r="L21" s="66"/>
    </row>
    <row r="22" spans="1:12">
      <c r="A22" s="72" t="s">
        <v>187</v>
      </c>
      <c r="B22" s="77">
        <f>VLOOKUP(TRIM(B10), Parser!$N$5:'Parser'!$O$24, 2, FALSE)*$E$14*$E$15*$E$16</f>
        <v>5.3442677196585722</v>
      </c>
      <c r="C22" s="69" t="s">
        <v>188</v>
      </c>
      <c r="D22" s="77">
        <f>VLOOKUP(TRIM(D10), Parser!$N$5:'Parser'!$O$24, 2, FALSE)*$E$14*$E$15*$E$16</f>
        <v>4.2754141757268576</v>
      </c>
      <c r="H22" s="72" t="s">
        <v>187</v>
      </c>
      <c r="I22" s="77">
        <f>VLOOKUP(TRIM(I10), Parser!$N$5:'Parser'!$O$24, 2, FALSE)*$L$14*$L$15*$L$16</f>
        <v>5.6537955754587159</v>
      </c>
      <c r="J22" s="69" t="s">
        <v>188</v>
      </c>
      <c r="K22" s="77">
        <f>VLOOKUP(TRIM(K10), Parser!$N$5:'Parser'!$O$24, 2, FALSE)*$L$14*$L$15*$L$16</f>
        <v>4.5230364603669733</v>
      </c>
      <c r="L22" s="66"/>
    </row>
    <row r="23" spans="1:12">
      <c r="A23" s="73"/>
      <c r="B23" s="70"/>
      <c r="D23" s="70"/>
      <c r="H23" s="73"/>
      <c r="I23" s="70"/>
      <c r="K23" s="70"/>
      <c r="L23" s="66"/>
    </row>
    <row r="24" spans="1:12">
      <c r="A24" s="74" t="s">
        <v>213</v>
      </c>
      <c r="B24" s="70"/>
      <c r="D24" s="70"/>
      <c r="H24" s="74" t="s">
        <v>213</v>
      </c>
      <c r="I24" s="70"/>
      <c r="K24" s="70"/>
      <c r="L24" s="66"/>
    </row>
    <row r="25" spans="1:12">
      <c r="A25" s="72" t="s">
        <v>181</v>
      </c>
      <c r="B25" s="70" t="str">
        <f>B16</f>
        <v>ypperlig</v>
      </c>
      <c r="C25" s="69" t="s">
        <v>182</v>
      </c>
      <c r="D25" s="70" t="str">
        <f>VLOOKUP(FLOOR(D19,1), Parser!$O$5:'Parser'!$P$24, 2, FALSE)</f>
        <v>katastrofal</v>
      </c>
      <c r="H25" s="72" t="s">
        <v>181</v>
      </c>
      <c r="I25" s="70" t="str">
        <f>I16</f>
        <v>enastående</v>
      </c>
      <c r="J25" s="69" t="s">
        <v>182</v>
      </c>
      <c r="K25" s="70" t="str">
        <f>VLOOKUP(FLOOR(K19,1), Parser!$O$5:'Parser'!$P$24, 2, FALSE)</f>
        <v>katastrofal</v>
      </c>
      <c r="L25" s="66"/>
    </row>
    <row r="26" spans="1:12">
      <c r="A26" s="72" t="s">
        <v>183</v>
      </c>
      <c r="B26" s="70" t="str">
        <f>VLOOKUP(FLOOR(B20,1), Parser!$O$5:'Parser'!$P$24, 2, FALSE)</f>
        <v>gudomlig</v>
      </c>
      <c r="C26" s="69" t="s">
        <v>184</v>
      </c>
      <c r="D26" s="70" t="str">
        <f>VLOOKUP(FLOOR(D20,1), Parser!$O$5:'Parser'!$P$24, 2, FALSE)</f>
        <v>fenomenal</v>
      </c>
      <c r="H26" s="72" t="s">
        <v>183</v>
      </c>
      <c r="I26" s="70" t="str">
        <f>VLOOKUP(FLOOR(I20,1), Parser!$O$5:'Parser'!$P$34, 2, FALSE)</f>
        <v>gudomlig+1</v>
      </c>
      <c r="J26" s="69" t="s">
        <v>184</v>
      </c>
      <c r="K26" s="70" t="str">
        <f>VLOOKUP(FLOOR(K20,1), Parser!$O$5:'Parser'!$P$24, 2, FALSE)</f>
        <v>unik</v>
      </c>
      <c r="L26" s="66"/>
    </row>
    <row r="27" spans="1:12">
      <c r="A27" s="72" t="s">
        <v>185</v>
      </c>
      <c r="B27" s="70" t="str">
        <f>VLOOKUP(FLOOR(B21,1), Parser!$O$5:'Parser'!$P$24, 2, FALSE)</f>
        <v>hyfsad</v>
      </c>
      <c r="C27" s="69" t="s">
        <v>186</v>
      </c>
      <c r="D27" s="70" t="str">
        <f>VLOOKUP(FLOOR(D21,1), Parser!$O$5:'Parser'!$P$24, 2, FALSE)</f>
        <v>fenomenal</v>
      </c>
      <c r="H27" s="72" t="s">
        <v>185</v>
      </c>
      <c r="I27" s="70" t="str">
        <f>VLOOKUP(FLOOR(I21,1), Parser!$O$5:'Parser'!$P$24, 2, FALSE)</f>
        <v>hyfsad</v>
      </c>
      <c r="J27" s="69" t="s">
        <v>186</v>
      </c>
      <c r="K27" s="70" t="str">
        <f>VLOOKUP(FLOOR(K21,1), Parser!$O$5:'Parser'!$P$24, 2, FALSE)</f>
        <v>unik</v>
      </c>
      <c r="L27" s="66"/>
    </row>
    <row r="28" spans="1:12">
      <c r="A28" s="72" t="s">
        <v>187</v>
      </c>
      <c r="B28" s="70" t="str">
        <f>VLOOKUP(FLOOR(B22,1), Parser!$O$5:'Parser'!$P$24, 2, FALSE)</f>
        <v>bra</v>
      </c>
      <c r="C28" s="69" t="s">
        <v>188</v>
      </c>
      <c r="D28" s="70" t="str">
        <f>VLOOKUP(FLOOR(D22,1), Parser!$O$5:'Parser'!$P$24, 2, FALSE)</f>
        <v>hyfsad</v>
      </c>
      <c r="H28" s="72" t="s">
        <v>187</v>
      </c>
      <c r="I28" s="70" t="str">
        <f>VLOOKUP(FLOOR(I22,1), Parser!$O$5:'Parser'!$P$24, 2, FALSE)</f>
        <v>bra</v>
      </c>
      <c r="J28" s="69" t="s">
        <v>188</v>
      </c>
      <c r="K28" s="70" t="str">
        <f>VLOOKUP(FLOOR(K22,1), Parser!$O$5:'Parser'!$P$24, 2, FALSE)</f>
        <v>hyfsad</v>
      </c>
      <c r="L28" s="66"/>
    </row>
    <row r="29" spans="1:12" s="68" customFormat="1">
      <c r="A29" s="75"/>
      <c r="B29" s="71"/>
      <c r="D29" s="71"/>
      <c r="E29" s="67"/>
      <c r="H29" s="75"/>
      <c r="I29" s="71"/>
      <c r="K29" s="71"/>
      <c r="L29" s="67"/>
    </row>
    <row r="30" spans="1:12">
      <c r="H30" s="70"/>
      <c r="L30" s="66"/>
    </row>
    <row r="31" spans="1:12">
      <c r="H31" s="70"/>
      <c r="L31" s="66"/>
    </row>
    <row r="32" spans="1:12">
      <c r="A32" s="78" t="s">
        <v>214</v>
      </c>
      <c r="C32" s="70"/>
      <c r="H32" s="78" t="s">
        <v>214</v>
      </c>
      <c r="J32" s="70"/>
      <c r="L32" s="66"/>
    </row>
    <row r="33" spans="1:12">
      <c r="A33" s="73" t="s">
        <v>219</v>
      </c>
      <c r="B33" s="80">
        <v>1</v>
      </c>
      <c r="C33" s="81">
        <f>$B$20*B33</f>
        <v>20.308217334702572</v>
      </c>
      <c r="D33" s="73" t="str">
        <f>VLOOKUP(FLOOR(C33,1), Parser!$O$5:'Parser'!$P$24, 2, FALSE)</f>
        <v>gudomlig</v>
      </c>
      <c r="E33" s="79" t="str">
        <f>VLOOKUP(FLOOR(4*(C33-FLOOR(C33,1)),1), Parser!$Q$9:'Parser'!$R$12, 2, FALSE)</f>
        <v>låg</v>
      </c>
      <c r="H33" s="73" t="s">
        <v>219</v>
      </c>
      <c r="I33" s="80">
        <v>1</v>
      </c>
      <c r="J33" s="81">
        <f>$I$20*I33</f>
        <v>21.484423186743122</v>
      </c>
      <c r="K33" s="73" t="e">
        <f>VLOOKUP(FLOOR(J33,1), Parser!$O$5:'Parser'!$P$24, 2, FALSE)</f>
        <v>#N/A</v>
      </c>
      <c r="L33" s="79" t="str">
        <f>VLOOKUP(FLOOR(4*(J33-FLOOR(J33,1)),1), Parser!$Q$9:'Parser'!$R$12, 2, FALSE)</f>
        <v>låg</v>
      </c>
    </row>
    <row r="34" spans="1:12">
      <c r="A34" s="73" t="s">
        <v>220</v>
      </c>
      <c r="B34" s="80">
        <v>0.97</v>
      </c>
      <c r="C34" s="81">
        <f t="shared" ref="C34:C46" si="0">$B$20*B34</f>
        <v>19.698970814661493</v>
      </c>
      <c r="D34" s="73" t="str">
        <f>VLOOKUP(FLOOR(C34,1), Parser!$O$5:'Parser'!$P$24, 2, FALSE)</f>
        <v>utopisk</v>
      </c>
      <c r="E34" s="79" t="str">
        <f>VLOOKUP(FLOOR(4*(C34-FLOOR(C34,1)),1), Parser!$Q$9:'Parser'!$R$12, 2, FALSE)</f>
        <v>hög</v>
      </c>
      <c r="H34" s="73" t="s">
        <v>220</v>
      </c>
      <c r="I34" s="80">
        <v>0.97</v>
      </c>
      <c r="J34" s="81">
        <f t="shared" ref="J34:J46" si="1">$I$20*I34</f>
        <v>20.839890491140828</v>
      </c>
      <c r="K34" s="73" t="str">
        <f>VLOOKUP(FLOOR(J34,1), Parser!$O$5:'Parser'!$P$24, 2, FALSE)</f>
        <v>gudomlig</v>
      </c>
      <c r="L34" s="79" t="str">
        <f>VLOOKUP(FLOOR(4*(J34-FLOOR(J34,1)),1), Parser!$Q$9:'Parser'!$R$12, 2, FALSE)</f>
        <v>mkt hög</v>
      </c>
    </row>
    <row r="35" spans="1:12">
      <c r="A35" s="73" t="s">
        <v>218</v>
      </c>
      <c r="B35" s="80">
        <v>0.8</v>
      </c>
      <c r="C35" s="81">
        <f t="shared" si="0"/>
        <v>16.246573867762059</v>
      </c>
      <c r="D35" s="73" t="str">
        <f>VLOOKUP(FLOOR(C35,1), Parser!$O$5:'Parser'!$P$24, 2, FALSE)</f>
        <v>utomjordisk</v>
      </c>
      <c r="E35" s="79" t="str">
        <f>VLOOKUP(FLOOR(4*(C35-FLOOR(C35,1)),1), Parser!$Q$9:'Parser'!$R$12, 2, FALSE)</f>
        <v>mkt låg</v>
      </c>
      <c r="H35" s="73" t="s">
        <v>218</v>
      </c>
      <c r="I35" s="80">
        <v>0.8</v>
      </c>
      <c r="J35" s="81">
        <f t="shared" si="1"/>
        <v>17.1875385493945</v>
      </c>
      <c r="K35" s="73" t="str">
        <f>VLOOKUP(FLOOR(J35,1), Parser!$O$5:'Parser'!$P$24, 2, FALSE)</f>
        <v>mytomspunnen</v>
      </c>
      <c r="L35" s="79" t="str">
        <f>VLOOKUP(FLOOR(4*(J35-FLOOR(J35,1)),1), Parser!$Q$9:'Parser'!$R$12, 2, FALSE)</f>
        <v>mkt låg</v>
      </c>
    </row>
    <row r="36" spans="1:12">
      <c r="A36" s="73" t="s">
        <v>227</v>
      </c>
      <c r="B36" s="80">
        <v>0.85</v>
      </c>
      <c r="C36" s="81">
        <f t="shared" si="0"/>
        <v>17.261984734497187</v>
      </c>
      <c r="D36" s="73" t="str">
        <f>VLOOKUP(FLOOR(C36,1), Parser!$O$5:'Parser'!$P$24, 2, FALSE)</f>
        <v>mytomspunnen</v>
      </c>
      <c r="E36" s="79" t="str">
        <f>VLOOKUP(FLOOR(4*(C36-FLOOR(C36,1)),1), Parser!$Q$9:'Parser'!$R$12, 2, FALSE)</f>
        <v>låg</v>
      </c>
      <c r="H36" s="73" t="s">
        <v>227</v>
      </c>
      <c r="I36" s="80">
        <v>0.85</v>
      </c>
      <c r="J36" s="81">
        <f t="shared" si="1"/>
        <v>18.261759708731653</v>
      </c>
      <c r="K36" s="73" t="str">
        <f>VLOOKUP(FLOOR(J36,1), Parser!$O$5:'Parser'!$P$24, 2, FALSE)</f>
        <v>magisk</v>
      </c>
      <c r="L36" s="79" t="str">
        <f>VLOOKUP(FLOOR(4*(J36-FLOOR(J36,1)),1), Parser!$Q$9:'Parser'!$R$12, 2, FALSE)</f>
        <v>låg</v>
      </c>
    </row>
    <row r="37" spans="1:12">
      <c r="A37" s="73" t="s">
        <v>215</v>
      </c>
      <c r="B37" s="80">
        <v>0.6</v>
      </c>
      <c r="C37" s="81">
        <f t="shared" si="0"/>
        <v>12.184930400821543</v>
      </c>
      <c r="D37" s="73" t="str">
        <f>VLOOKUP(FLOOR(C37,1), Parser!$O$5:'Parser'!$P$24, 2, FALSE)</f>
        <v>övernaturlig</v>
      </c>
      <c r="E37" s="79" t="str">
        <f>VLOOKUP(FLOOR(4*(C37-FLOOR(C37,1)),1), Parser!$Q$9:'Parser'!$R$12, 2, FALSE)</f>
        <v>mkt låg</v>
      </c>
      <c r="H37" s="73" t="s">
        <v>215</v>
      </c>
      <c r="I37" s="80">
        <v>0.6</v>
      </c>
      <c r="J37" s="81">
        <f t="shared" si="1"/>
        <v>12.890653912045872</v>
      </c>
      <c r="K37" s="73" t="str">
        <f>VLOOKUP(FLOOR(J37,1), Parser!$O$5:'Parser'!$P$24, 2, FALSE)</f>
        <v>övernaturlig</v>
      </c>
      <c r="L37" s="79" t="str">
        <f>VLOOKUP(FLOOR(4*(J37-FLOOR(J37,1)),1), Parser!$Q$9:'Parser'!$R$12, 2, FALSE)</f>
        <v>mkt hög</v>
      </c>
    </row>
    <row r="38" spans="1:12">
      <c r="A38" s="73" t="s">
        <v>217</v>
      </c>
      <c r="B38" s="80">
        <v>0.35</v>
      </c>
      <c r="C38" s="81">
        <f t="shared" si="0"/>
        <v>7.1078760671458996</v>
      </c>
      <c r="D38" s="73" t="str">
        <f>VLOOKUP(FLOOR(C38,1), Parser!$O$5:'Parser'!$P$24, 2, FALSE)</f>
        <v>enastående</v>
      </c>
      <c r="E38" s="79" t="str">
        <f>VLOOKUP(FLOOR(4*(C38-FLOOR(C38,1)),1), Parser!$Q$9:'Parser'!$R$12, 2, FALSE)</f>
        <v>mkt låg</v>
      </c>
      <c r="H38" s="73" t="s">
        <v>217</v>
      </c>
      <c r="I38" s="80">
        <v>0.35</v>
      </c>
      <c r="J38" s="81">
        <f t="shared" si="1"/>
        <v>7.5195481153600925</v>
      </c>
      <c r="K38" s="73" t="str">
        <f>VLOOKUP(FLOOR(J38,1), Parser!$O$5:'Parser'!$P$24, 2, FALSE)</f>
        <v>enastående</v>
      </c>
      <c r="L38" s="79" t="str">
        <f>VLOOKUP(FLOOR(4*(J38-FLOOR(J38,1)),1), Parser!$Q$9:'Parser'!$R$12, 2, FALSE)</f>
        <v>hög</v>
      </c>
    </row>
    <row r="39" spans="1:12">
      <c r="A39" s="73" t="s">
        <v>216</v>
      </c>
      <c r="B39" s="80">
        <v>0.5</v>
      </c>
      <c r="C39" s="81">
        <f t="shared" si="0"/>
        <v>10.154108667351286</v>
      </c>
      <c r="D39" s="73" t="str">
        <f>VLOOKUP(FLOOR(C39,1), Parser!$O$5:'Parser'!$P$24, 2, FALSE)</f>
        <v>legendarisk</v>
      </c>
      <c r="E39" s="79" t="str">
        <f>VLOOKUP(FLOOR(4*(C39-FLOOR(C39,1)),1), Parser!$Q$9:'Parser'!$R$12, 2, FALSE)</f>
        <v>mkt låg</v>
      </c>
      <c r="H39" s="73" t="s">
        <v>216</v>
      </c>
      <c r="I39" s="80">
        <v>0.5</v>
      </c>
      <c r="J39" s="81">
        <f t="shared" si="1"/>
        <v>10.742211593371561</v>
      </c>
      <c r="K39" s="73" t="str">
        <f>VLOOKUP(FLOOR(J39,1), Parser!$O$5:'Parser'!$P$24, 2, FALSE)</f>
        <v>legendarisk</v>
      </c>
      <c r="L39" s="79" t="str">
        <f>VLOOKUP(FLOOR(4*(J39-FLOOR(J39,1)),1), Parser!$Q$9:'Parser'!$R$12, 2, FALSE)</f>
        <v>hög</v>
      </c>
    </row>
    <row r="40" spans="1:12">
      <c r="A40" s="73" t="s">
        <v>221</v>
      </c>
      <c r="B40" s="80">
        <v>0.45</v>
      </c>
      <c r="C40" s="81">
        <f t="shared" si="0"/>
        <v>9.138697800616157</v>
      </c>
      <c r="D40" s="73" t="str">
        <f>VLOOKUP(FLOOR(C40,1), Parser!$O$5:'Parser'!$P$24, 2, FALSE)</f>
        <v>unik</v>
      </c>
      <c r="E40" s="79" t="str">
        <f>VLOOKUP(FLOOR(4*(C40-FLOOR(C40,1)),1), Parser!$Q$9:'Parser'!$R$12, 2, FALSE)</f>
        <v>mkt låg</v>
      </c>
      <c r="H40" s="73" t="s">
        <v>221</v>
      </c>
      <c r="I40" s="80">
        <v>0.45</v>
      </c>
      <c r="J40" s="81">
        <f t="shared" si="1"/>
        <v>9.6679904340344045</v>
      </c>
      <c r="K40" s="73" t="str">
        <f>VLOOKUP(FLOOR(J40,1), Parser!$O$5:'Parser'!$P$24, 2, FALSE)</f>
        <v>unik</v>
      </c>
      <c r="L40" s="79" t="str">
        <f>VLOOKUP(FLOOR(4*(J40-FLOOR(J40,1)),1), Parser!$Q$9:'Parser'!$R$12, 2, FALSE)</f>
        <v>hög</v>
      </c>
    </row>
    <row r="41" spans="1:12">
      <c r="A41" s="73" t="s">
        <v>222</v>
      </c>
      <c r="B41" s="80">
        <v>0.45</v>
      </c>
      <c r="C41" s="81">
        <f t="shared" si="0"/>
        <v>9.138697800616157</v>
      </c>
      <c r="D41" s="73" t="str">
        <f>VLOOKUP(FLOOR(C41,1), Parser!$O$5:'Parser'!$P$24, 2, FALSE)</f>
        <v>unik</v>
      </c>
      <c r="E41" s="79" t="str">
        <f>VLOOKUP(FLOOR(4*(C41-FLOOR(C41,1)),1), Parser!$Q$9:'Parser'!$R$12, 2, FALSE)</f>
        <v>mkt låg</v>
      </c>
      <c r="H41" s="73" t="s">
        <v>222</v>
      </c>
      <c r="I41" s="80">
        <v>0.45</v>
      </c>
      <c r="J41" s="81">
        <f t="shared" si="1"/>
        <v>9.6679904340344045</v>
      </c>
      <c r="K41" s="73" t="str">
        <f>VLOOKUP(FLOOR(J41,1), Parser!$O$5:'Parser'!$P$24, 2, FALSE)</f>
        <v>unik</v>
      </c>
      <c r="L41" s="79" t="str">
        <f>VLOOKUP(FLOOR(4*(J41-FLOOR(J41,1)),1), Parser!$Q$9:'Parser'!$R$12, 2, FALSE)</f>
        <v>hög</v>
      </c>
    </row>
    <row r="42" spans="1:12">
      <c r="A42" s="73" t="s">
        <v>225</v>
      </c>
      <c r="B42" s="80">
        <v>0.25</v>
      </c>
      <c r="C42" s="81">
        <f t="shared" si="0"/>
        <v>5.0770543336756431</v>
      </c>
      <c r="D42" s="73" t="str">
        <f>VLOOKUP(FLOOR(C42,1), Parser!$O$5:'Parser'!$P$24, 2, FALSE)</f>
        <v>bra</v>
      </c>
      <c r="E42" s="79" t="str">
        <f>VLOOKUP(FLOOR(4*(C42-FLOOR(C42,1)),1), Parser!$Q$9:'Parser'!$R$12, 2, FALSE)</f>
        <v>mkt låg</v>
      </c>
      <c r="H42" s="73" t="s">
        <v>225</v>
      </c>
      <c r="I42" s="80">
        <v>0.25</v>
      </c>
      <c r="J42" s="81">
        <f t="shared" si="1"/>
        <v>5.3711057966857805</v>
      </c>
      <c r="K42" s="73" t="str">
        <f>VLOOKUP(FLOOR(J42,1), Parser!$O$5:'Parser'!$P$24, 2, FALSE)</f>
        <v>bra</v>
      </c>
      <c r="L42" s="79" t="str">
        <f>VLOOKUP(FLOOR(4*(J42-FLOOR(J42,1)),1), Parser!$Q$9:'Parser'!$R$12, 2, FALSE)</f>
        <v>låg</v>
      </c>
    </row>
    <row r="43" spans="1:12">
      <c r="A43" s="73" t="s">
        <v>226</v>
      </c>
      <c r="B43" s="80">
        <v>0.15</v>
      </c>
      <c r="C43" s="81">
        <f t="shared" si="0"/>
        <v>3.0462326002053857</v>
      </c>
      <c r="D43" s="73" t="str">
        <f>VLOOKUP(FLOOR(C43,1), Parser!$O$5:'Parser'!$P$24, 2, FALSE)</f>
        <v>dålig</v>
      </c>
      <c r="E43" s="79" t="str">
        <f>VLOOKUP(FLOOR(4*(C43-FLOOR(C43,1)),1), Parser!$Q$9:'Parser'!$R$12, 2, FALSE)</f>
        <v>mkt låg</v>
      </c>
      <c r="H43" s="73" t="s">
        <v>226</v>
      </c>
      <c r="I43" s="80">
        <v>0.15</v>
      </c>
      <c r="J43" s="81">
        <f t="shared" si="1"/>
        <v>3.222663478011468</v>
      </c>
      <c r="K43" s="73" t="str">
        <f>VLOOKUP(FLOOR(J43,1), Parser!$O$5:'Parser'!$P$24, 2, FALSE)</f>
        <v>dålig</v>
      </c>
      <c r="L43" s="79" t="str">
        <f>VLOOKUP(FLOOR(4*(J43-FLOOR(J43,1)),1), Parser!$Q$9:'Parser'!$R$12, 2, FALSE)</f>
        <v>mkt låg</v>
      </c>
    </row>
    <row r="44" spans="1:12">
      <c r="A44" s="73" t="s">
        <v>224</v>
      </c>
      <c r="B44" s="80">
        <v>0.2</v>
      </c>
      <c r="C44" s="81">
        <f t="shared" si="0"/>
        <v>4.0616434669405148</v>
      </c>
      <c r="D44" s="73" t="str">
        <f>VLOOKUP(FLOOR(C44,1), Parser!$O$5:'Parser'!$P$24, 2, FALSE)</f>
        <v>hyfsad</v>
      </c>
      <c r="E44" s="79" t="str">
        <f>VLOOKUP(FLOOR(4*(C44-FLOOR(C44,1)),1), Parser!$Q$9:'Parser'!$R$12, 2, FALSE)</f>
        <v>mkt låg</v>
      </c>
      <c r="H44" s="73" t="s">
        <v>224</v>
      </c>
      <c r="I44" s="80">
        <v>0.2</v>
      </c>
      <c r="J44" s="81">
        <f t="shared" si="1"/>
        <v>4.2968846373486249</v>
      </c>
      <c r="K44" s="73" t="str">
        <f>VLOOKUP(FLOOR(J44,1), Parser!$O$5:'Parser'!$P$24, 2, FALSE)</f>
        <v>hyfsad</v>
      </c>
      <c r="L44" s="79" t="str">
        <f>VLOOKUP(FLOOR(4*(J44-FLOOR(J44,1)),1), Parser!$Q$9:'Parser'!$R$12, 2, FALSE)</f>
        <v>låg</v>
      </c>
    </row>
    <row r="45" spans="1:12">
      <c r="A45" s="73" t="s">
        <v>223</v>
      </c>
      <c r="B45" s="80">
        <v>0.15</v>
      </c>
      <c r="C45" s="81">
        <f t="shared" si="0"/>
        <v>3.0462326002053857</v>
      </c>
      <c r="D45" s="73" t="str">
        <f>VLOOKUP(FLOOR(C45,1), Parser!$O$5:'Parser'!$P$24, 2, FALSE)</f>
        <v>dålig</v>
      </c>
      <c r="E45" s="79" t="str">
        <f>VLOOKUP(FLOOR(4*(C45-FLOOR(C45,1)),1), Parser!$Q$9:'Parser'!$R$12, 2, FALSE)</f>
        <v>mkt låg</v>
      </c>
      <c r="H45" s="73" t="s">
        <v>223</v>
      </c>
      <c r="I45" s="80">
        <v>0.15</v>
      </c>
      <c r="J45" s="81">
        <f t="shared" si="1"/>
        <v>3.222663478011468</v>
      </c>
      <c r="K45" s="73" t="str">
        <f>VLOOKUP(FLOOR(J45,1), Parser!$O$5:'Parser'!$P$24, 2, FALSE)</f>
        <v>dålig</v>
      </c>
      <c r="L45" s="79" t="str">
        <f>VLOOKUP(FLOOR(4*(J45-FLOOR(J45,1)),1), Parser!$Q$9:'Parser'!$R$12, 2, FALSE)</f>
        <v>mkt låg</v>
      </c>
    </row>
    <row r="46" spans="1:12">
      <c r="A46" s="73" t="s">
        <v>228</v>
      </c>
      <c r="B46" s="80">
        <v>0.1</v>
      </c>
      <c r="C46" s="81">
        <f t="shared" si="0"/>
        <v>2.0308217334702574</v>
      </c>
      <c r="D46" s="73" t="str">
        <f>VLOOKUP(FLOOR(C46,1), Parser!$O$5:'Parser'!$P$24, 2, FALSE)</f>
        <v>usel</v>
      </c>
      <c r="E46" s="79" t="str">
        <f>VLOOKUP(FLOOR(4*(C46-FLOOR(C46,1)),1), Parser!$Q$9:'Parser'!$R$12, 2, FALSE)</f>
        <v>mkt låg</v>
      </c>
      <c r="H46" s="73" t="s">
        <v>228</v>
      </c>
      <c r="I46" s="80">
        <v>0.1</v>
      </c>
      <c r="J46" s="81">
        <f t="shared" si="1"/>
        <v>2.1484423186743125</v>
      </c>
      <c r="K46" s="73" t="str">
        <f>VLOOKUP(FLOOR(J46,1), Parser!$O$5:'Parser'!$P$24, 2, FALSE)</f>
        <v>usel</v>
      </c>
      <c r="L46" s="79" t="str">
        <f>VLOOKUP(FLOOR(4*(J46-FLOOR(J46,1)),1), Parser!$Q$9:'Parser'!$R$12, 2, FALSE)</f>
        <v>mkt låg</v>
      </c>
    </row>
    <row r="47" spans="1:12">
      <c r="A47" s="73"/>
      <c r="H47" s="73"/>
      <c r="L47" s="66"/>
    </row>
    <row r="48" spans="1:12">
      <c r="A48" s="73"/>
    </row>
    <row r="49" spans="1:1">
      <c r="A49" s="73"/>
    </row>
    <row r="50" spans="1:1">
      <c r="A50" s="73"/>
    </row>
    <row r="51" spans="1:1">
      <c r="A51" s="73"/>
    </row>
    <row r="52" spans="1:1">
      <c r="A52" s="73"/>
    </row>
    <row r="53" spans="1:1">
      <c r="A53" s="73"/>
    </row>
    <row r="54" spans="1:1">
      <c r="A54" s="73"/>
    </row>
    <row r="55" spans="1:1">
      <c r="A55" s="73"/>
    </row>
    <row r="56" spans="1:1">
      <c r="A56" s="73"/>
    </row>
  </sheetData>
  <phoneticPr fontId="7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>
  <dimension ref="A1:M15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E8" sqref="E8"/>
    </sheetView>
  </sheetViews>
  <sheetFormatPr defaultRowHeight="13.2"/>
  <cols>
    <col min="1" max="1" width="14" style="4" customWidth="1"/>
    <col min="7" max="7" width="18.33203125" customWidth="1"/>
    <col min="8" max="8" width="10.6640625" customWidth="1"/>
    <col min="12" max="12" width="14.44140625" customWidth="1"/>
  </cols>
  <sheetData>
    <row r="1" spans="1:13" s="4" customFormat="1">
      <c r="G1" s="4" t="s">
        <v>232</v>
      </c>
      <c r="J1" s="4" t="s">
        <v>180</v>
      </c>
      <c r="K1" s="4" t="s">
        <v>242</v>
      </c>
    </row>
    <row r="2" spans="1:13" s="4" customFormat="1">
      <c r="B2" s="4" t="s">
        <v>229</v>
      </c>
      <c r="C2" s="4" t="s">
        <v>230</v>
      </c>
      <c r="D2" s="4" t="s">
        <v>231</v>
      </c>
      <c r="E2" s="4" t="s">
        <v>232</v>
      </c>
      <c r="G2" s="4" t="s">
        <v>241</v>
      </c>
      <c r="H2" s="4" t="s">
        <v>230</v>
      </c>
      <c r="K2" s="4" t="s">
        <v>91</v>
      </c>
      <c r="L2" s="4" t="s">
        <v>243</v>
      </c>
    </row>
    <row r="3" spans="1:13">
      <c r="A3" s="4" t="s">
        <v>233</v>
      </c>
      <c r="B3">
        <v>20</v>
      </c>
      <c r="C3">
        <v>6</v>
      </c>
      <c r="D3">
        <v>20</v>
      </c>
      <c r="E3">
        <v>7</v>
      </c>
      <c r="G3">
        <f t="shared" ref="G3:H8" si="0">B3*(SQRT($E3-1)/SQRT(7))</f>
        <v>18.516401995451027</v>
      </c>
      <c r="H3">
        <f t="shared" si="0"/>
        <v>5.5549205986353076</v>
      </c>
      <c r="J3">
        <f t="shared" ref="J3:J8" si="1">1+SQRT((D3))*7/100</f>
        <v>1.3130495168499705</v>
      </c>
      <c r="K3">
        <f t="shared" ref="K3:K8" si="2">G3*J3</f>
        <v>24.3129526939268</v>
      </c>
      <c r="L3">
        <f t="shared" ref="L3:L8" si="3">H3*J3</f>
        <v>7.2938858081780396</v>
      </c>
    </row>
    <row r="4" spans="1:13">
      <c r="A4" s="4" t="s">
        <v>234</v>
      </c>
      <c r="B4">
        <v>19.5</v>
      </c>
      <c r="C4">
        <v>3</v>
      </c>
      <c r="D4">
        <v>20</v>
      </c>
      <c r="E4">
        <v>6</v>
      </c>
      <c r="G4">
        <f t="shared" si="0"/>
        <v>16.480507967206073</v>
      </c>
      <c r="H4">
        <f t="shared" si="0"/>
        <v>2.5354627641855498</v>
      </c>
      <c r="J4">
        <f t="shared" si="1"/>
        <v>1.3130495168499705</v>
      </c>
      <c r="K4">
        <f t="shared" si="2"/>
        <v>21.639723023782025</v>
      </c>
      <c r="L4">
        <f t="shared" si="3"/>
        <v>3.3291881575049271</v>
      </c>
    </row>
    <row r="5" spans="1:13">
      <c r="A5" s="4" t="s">
        <v>235</v>
      </c>
      <c r="B5">
        <v>18</v>
      </c>
      <c r="C5">
        <v>5</v>
      </c>
      <c r="D5">
        <v>13</v>
      </c>
      <c r="E5">
        <v>6</v>
      </c>
      <c r="G5">
        <f t="shared" si="0"/>
        <v>15.212776585113298</v>
      </c>
      <c r="H5">
        <f t="shared" si="0"/>
        <v>4.2257712736425832</v>
      </c>
      <c r="J5">
        <f t="shared" si="1"/>
        <v>1.2523885892824793</v>
      </c>
      <c r="K5">
        <f t="shared" si="2"/>
        <v>19.052307806499577</v>
      </c>
      <c r="L5">
        <f t="shared" si="3"/>
        <v>5.292307724027661</v>
      </c>
    </row>
    <row r="6" spans="1:13">
      <c r="A6" s="4" t="s">
        <v>239</v>
      </c>
      <c r="B6">
        <v>18</v>
      </c>
      <c r="C6">
        <v>3</v>
      </c>
      <c r="D6">
        <v>20</v>
      </c>
      <c r="E6">
        <v>6</v>
      </c>
      <c r="G6">
        <f t="shared" si="0"/>
        <v>15.212776585113298</v>
      </c>
      <c r="H6">
        <f t="shared" si="0"/>
        <v>2.5354627641855498</v>
      </c>
      <c r="J6">
        <f t="shared" si="1"/>
        <v>1.3130495168499705</v>
      </c>
      <c r="K6">
        <f t="shared" si="2"/>
        <v>19.97512894502956</v>
      </c>
      <c r="L6">
        <f t="shared" si="3"/>
        <v>3.3291881575049271</v>
      </c>
    </row>
    <row r="7" spans="1:13">
      <c r="A7" s="4" t="s">
        <v>236</v>
      </c>
      <c r="B7">
        <v>19</v>
      </c>
      <c r="C7">
        <v>9</v>
      </c>
      <c r="D7">
        <v>20</v>
      </c>
      <c r="E7">
        <v>4</v>
      </c>
      <c r="G7">
        <f t="shared" si="0"/>
        <v>12.438419743451565</v>
      </c>
      <c r="H7">
        <f t="shared" si="0"/>
        <v>5.8918830363717936</v>
      </c>
      <c r="J7">
        <f t="shared" si="1"/>
        <v>1.3130495168499705</v>
      </c>
      <c r="K7">
        <f t="shared" si="2"/>
        <v>16.332261034516211</v>
      </c>
      <c r="L7">
        <f t="shared" si="3"/>
        <v>7.7363341742445204</v>
      </c>
    </row>
    <row r="8" spans="1:13">
      <c r="A8" s="4" t="s">
        <v>240</v>
      </c>
      <c r="B8">
        <v>16</v>
      </c>
      <c r="C8">
        <v>4</v>
      </c>
      <c r="D8">
        <v>20</v>
      </c>
      <c r="E8">
        <v>5</v>
      </c>
      <c r="G8">
        <f t="shared" si="0"/>
        <v>12.09486313629527</v>
      </c>
      <c r="H8">
        <f t="shared" si="0"/>
        <v>3.0237157840738176</v>
      </c>
      <c r="J8">
        <f t="shared" si="1"/>
        <v>1.3130495168499705</v>
      </c>
      <c r="K8">
        <f t="shared" si="2"/>
        <v>15.881154197479024</v>
      </c>
      <c r="L8">
        <f t="shared" si="3"/>
        <v>3.9702885493697559</v>
      </c>
    </row>
    <row r="10" spans="1:13">
      <c r="A10" s="4" t="s">
        <v>237</v>
      </c>
      <c r="G10">
        <f>SUM(G3:G6)</f>
        <v>65.422463132883692</v>
      </c>
      <c r="H10">
        <f>2*SUM(H3:H6)</f>
        <v>29.703234801297981</v>
      </c>
      <c r="I10" s="4">
        <f>SUM(G10:H10)</f>
        <v>95.125697934181673</v>
      </c>
      <c r="K10">
        <f>SUM(K3:K6)</f>
        <v>84.980112469237952</v>
      </c>
      <c r="L10">
        <f>2*SUM(L3:L6)</f>
        <v>38.48913969443111</v>
      </c>
      <c r="M10" s="4">
        <f>SUM(K10:L10)</f>
        <v>123.46925216366907</v>
      </c>
    </row>
    <row r="11" spans="1:13">
      <c r="A11" s="4" t="s">
        <v>238</v>
      </c>
      <c r="G11">
        <f>SUM(G3:G7)</f>
        <v>77.860882876335253</v>
      </c>
      <c r="H11">
        <f>2*SUM(H3:H7)</f>
        <v>41.48700087404157</v>
      </c>
      <c r="I11" s="4">
        <f>SUM(G11:H11)</f>
        <v>119.34788375037682</v>
      </c>
      <c r="K11">
        <f>SUM(K3:K7)</f>
        <v>101.31237350375416</v>
      </c>
      <c r="L11">
        <f>2*SUM(L3:L7)</f>
        <v>53.961808042920154</v>
      </c>
      <c r="M11" s="4">
        <f>SUM(K11:L11)</f>
        <v>155.2741815466743</v>
      </c>
    </row>
    <row r="14" spans="1:13">
      <c r="I14">
        <f>I10/8</f>
        <v>11.890712241772709</v>
      </c>
      <c r="M14">
        <f>M10/8</f>
        <v>15.433656520458634</v>
      </c>
    </row>
    <row r="15" spans="1:13">
      <c r="I15">
        <f>I11/8</f>
        <v>14.918485468797103</v>
      </c>
      <c r="M15">
        <f>M11/8</f>
        <v>19.409272693334287</v>
      </c>
    </row>
  </sheetData>
  <phoneticPr fontId="7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2"/>
  <sheetData/>
  <phoneticPr fontId="7" type="noConversion"/>
  <pageMargins left="0.75" right="0.75" top="1" bottom="1" header="0.5" footer="0.5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>
  <dimension ref="A1:D33"/>
  <sheetViews>
    <sheetView workbookViewId="0">
      <selection activeCell="D4" sqref="D4"/>
    </sheetView>
  </sheetViews>
  <sheetFormatPr defaultRowHeight="13.2"/>
  <cols>
    <col min="1" max="1" width="45.6640625" customWidth="1"/>
    <col min="2" max="2" width="15.6640625" customWidth="1"/>
    <col min="3" max="3" width="10.6640625" customWidth="1"/>
    <col min="4" max="4" width="15.6640625" customWidth="1"/>
  </cols>
  <sheetData>
    <row r="1" spans="1:4" ht="49.2">
      <c r="A1" s="59" t="s">
        <v>193</v>
      </c>
    </row>
    <row r="2" spans="1:4">
      <c r="A2" s="60" t="s">
        <v>194</v>
      </c>
    </row>
    <row r="3" spans="1:4">
      <c r="A3" s="27"/>
    </row>
    <row r="4" spans="1:4">
      <c r="A4" s="27" t="s">
        <v>195</v>
      </c>
    </row>
    <row r="5" spans="1:4">
      <c r="A5" s="27" t="s">
        <v>196</v>
      </c>
    </row>
    <row r="6" spans="1:4">
      <c r="A6" s="27" t="s">
        <v>197</v>
      </c>
    </row>
    <row r="7" spans="1:4" ht="39.6">
      <c r="A7" s="61" t="s">
        <v>198</v>
      </c>
      <c r="B7" s="62" t="s">
        <v>199</v>
      </c>
    </row>
    <row r="8" spans="1:4">
      <c r="A8" s="61" t="s">
        <v>200</v>
      </c>
      <c r="B8" s="61" t="s">
        <v>201</v>
      </c>
    </row>
    <row r="9" spans="1:4" ht="37.799999999999997">
      <c r="A9" s="61" t="s">
        <v>202</v>
      </c>
      <c r="B9" s="61" t="s">
        <v>203</v>
      </c>
    </row>
    <row r="10" spans="1:4">
      <c r="A10" s="61" t="s">
        <v>204</v>
      </c>
      <c r="B10" s="61">
        <v>0</v>
      </c>
    </row>
    <row r="11" spans="1:4">
      <c r="A11" s="61" t="s">
        <v>205</v>
      </c>
      <c r="B11" s="61" t="s">
        <v>206</v>
      </c>
    </row>
    <row r="12" spans="1:4">
      <c r="A12" s="61" t="s">
        <v>207</v>
      </c>
      <c r="B12" s="61" t="s">
        <v>208</v>
      </c>
    </row>
    <row r="13" spans="1:4" ht="16.8" thickBot="1">
      <c r="A13" s="63" t="s">
        <v>209</v>
      </c>
    </row>
    <row r="14" spans="1:4">
      <c r="A14" s="45" t="s">
        <v>181</v>
      </c>
      <c r="B14" s="46" t="s">
        <v>70</v>
      </c>
      <c r="C14" s="45" t="s">
        <v>182</v>
      </c>
      <c r="D14" s="46" t="s">
        <v>63</v>
      </c>
    </row>
    <row r="15" spans="1:4">
      <c r="A15" s="45" t="s">
        <v>183</v>
      </c>
      <c r="B15" s="46" t="s">
        <v>68</v>
      </c>
      <c r="C15" s="45" t="s">
        <v>184</v>
      </c>
      <c r="D15" s="46" t="s">
        <v>71</v>
      </c>
    </row>
    <row r="16" spans="1:4">
      <c r="A16" s="45" t="s">
        <v>185</v>
      </c>
      <c r="B16" s="46" t="s">
        <v>67</v>
      </c>
      <c r="C16" s="45" t="s">
        <v>186</v>
      </c>
      <c r="D16" s="46" t="s">
        <v>64</v>
      </c>
    </row>
    <row r="17" spans="1:4">
      <c r="A17" s="45" t="s">
        <v>187</v>
      </c>
      <c r="B17" s="46" t="s">
        <v>74</v>
      </c>
      <c r="C17" s="45" t="s">
        <v>188</v>
      </c>
      <c r="D17" s="46" t="s">
        <v>79</v>
      </c>
    </row>
    <row r="19" spans="1:4">
      <c r="A19" s="45" t="s">
        <v>96</v>
      </c>
    </row>
    <row r="20" spans="1:4">
      <c r="A20" s="45" t="s">
        <v>210</v>
      </c>
    </row>
    <row r="21" spans="1:4">
      <c r="A21" s="45" t="s">
        <v>211</v>
      </c>
    </row>
    <row r="23" spans="1:4">
      <c r="A23" s="64" t="s">
        <v>212</v>
      </c>
    </row>
    <row r="24" spans="1:4">
      <c r="A24" s="45" t="s">
        <v>181</v>
      </c>
      <c r="C24" s="45" t="s">
        <v>182</v>
      </c>
    </row>
    <row r="25" spans="1:4">
      <c r="A25" s="45" t="s">
        <v>183</v>
      </c>
      <c r="C25" s="45" t="s">
        <v>184</v>
      </c>
    </row>
    <row r="26" spans="1:4">
      <c r="A26" s="45" t="s">
        <v>185</v>
      </c>
      <c r="C26" s="45" t="s">
        <v>186</v>
      </c>
    </row>
    <row r="27" spans="1:4">
      <c r="A27" s="45" t="s">
        <v>187</v>
      </c>
      <c r="C27" s="45" t="s">
        <v>188</v>
      </c>
    </row>
    <row r="29" spans="1:4">
      <c r="A29" s="64" t="s">
        <v>213</v>
      </c>
    </row>
    <row r="30" spans="1:4">
      <c r="A30" s="45" t="s">
        <v>181</v>
      </c>
      <c r="C30" s="45" t="s">
        <v>182</v>
      </c>
    </row>
    <row r="31" spans="1:4">
      <c r="A31" s="45" t="s">
        <v>183</v>
      </c>
      <c r="C31" s="45" t="s">
        <v>184</v>
      </c>
    </row>
    <row r="32" spans="1:4">
      <c r="A32" s="45" t="s">
        <v>185</v>
      </c>
      <c r="C32" s="45" t="s">
        <v>186</v>
      </c>
    </row>
    <row r="33" spans="1:3">
      <c r="A33" s="45" t="s">
        <v>187</v>
      </c>
      <c r="C33" s="45" t="s">
        <v>188</v>
      </c>
    </row>
  </sheetData>
  <phoneticPr fontId="7" type="noConversion"/>
  <hyperlinks>
    <hyperlink ref="A2" r:id="rId1" display="http://www99.hattrick.org/World/Leagues/League.aspx?LeagueID=12"/>
    <hyperlink ref="B7" r:id="rId2" tooltip="Granviks BK" display="http://www99.hattrick.org/Club/?TeamID=46786"/>
    <hyperlink ref="B14" r:id="rId3" location="skill" display="http://www99.hattrick.org/Help/Rules/AppDenominations.aspx?lt=skill&amp;ll=7 - skill"/>
    <hyperlink ref="D14" r:id="rId4" location="skill" display="http://www99.hattrick.org/Help/Rules/AppDenominations.aspx?lt=skill&amp;ll=1 - skill"/>
    <hyperlink ref="B15" r:id="rId5" location="skill" display="http://www99.hattrick.org/Help/Rules/AppDenominations.aspx?lt=skill&amp;ll=3 - skill"/>
    <hyperlink ref="D15" r:id="rId6" location="skill" display="http://www99.hattrick.org/Help/Rules/AppDenominations.aspx?lt=skill&amp;ll=9 - skill"/>
    <hyperlink ref="B16" r:id="rId7" location="skill" display="http://www99.hattrick.org/Help/Rules/AppDenominations.aspx?lt=skill&amp;ll=4 - skill"/>
    <hyperlink ref="D16" r:id="rId8" location="skill" display="http://www99.hattrick.org/Help/Rules/AppDenominations.aspx?lt=skill&amp;ll=6 - skill"/>
    <hyperlink ref="B17" r:id="rId9" location="skill" display="http://www99.hattrick.org/Help/Rules/AppDenominations.aspx?lt=skill&amp;ll=14 - skill"/>
    <hyperlink ref="D17" r:id="rId10" location="skill" display="http://www99.hattrick.org/Help/Rules/AppDenominations.aspx?lt=skill&amp;ll=19 - skill"/>
  </hyperlinks>
  <pageMargins left="0.75" right="0.75" top="1" bottom="1" header="0.5" footer="0.5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>
  <dimension ref="A2:A76"/>
  <sheetViews>
    <sheetView workbookViewId="0">
      <selection activeCell="C26" sqref="C26"/>
    </sheetView>
  </sheetViews>
  <sheetFormatPr defaultRowHeight="13.2"/>
  <cols>
    <col min="1" max="1" width="24.88671875" bestFit="1" customWidth="1"/>
  </cols>
  <sheetData>
    <row r="2" spans="1:1">
      <c r="A2" s="135" t="s">
        <v>351</v>
      </c>
    </row>
    <row r="3" spans="1:1">
      <c r="A3" s="135" t="s">
        <v>352</v>
      </c>
    </row>
    <row r="4" spans="1:1">
      <c r="A4" s="135" t="s">
        <v>353</v>
      </c>
    </row>
    <row r="5" spans="1:1">
      <c r="A5" s="135" t="s">
        <v>354</v>
      </c>
    </row>
    <row r="6" spans="1:1">
      <c r="A6" s="135" t="s">
        <v>355</v>
      </c>
    </row>
    <row r="7" spans="1:1">
      <c r="A7" s="135" t="s">
        <v>356</v>
      </c>
    </row>
    <row r="8" spans="1:1">
      <c r="A8" s="135" t="s">
        <v>357</v>
      </c>
    </row>
    <row r="9" spans="1:1">
      <c r="A9" s="135" t="s">
        <v>358</v>
      </c>
    </row>
    <row r="10" spans="1:1">
      <c r="A10" s="135" t="s">
        <v>359</v>
      </c>
    </row>
    <row r="11" spans="1:1">
      <c r="A11" s="135" t="s">
        <v>360</v>
      </c>
    </row>
    <row r="12" spans="1:1">
      <c r="A12" s="135" t="s">
        <v>361</v>
      </c>
    </row>
    <row r="13" spans="1:1">
      <c r="A13" s="135" t="s">
        <v>362</v>
      </c>
    </row>
    <row r="14" spans="1:1">
      <c r="A14" s="135" t="s">
        <v>363</v>
      </c>
    </row>
    <row r="15" spans="1:1">
      <c r="A15" s="135" t="s">
        <v>364</v>
      </c>
    </row>
    <row r="16" spans="1:1">
      <c r="A16" s="135" t="s">
        <v>365</v>
      </c>
    </row>
    <row r="18" spans="1:1">
      <c r="A18" s="135" t="s">
        <v>366</v>
      </c>
    </row>
    <row r="19" spans="1:1">
      <c r="A19" s="135" t="s">
        <v>367</v>
      </c>
    </row>
    <row r="20" spans="1:1">
      <c r="A20" s="135" t="s">
        <v>368</v>
      </c>
    </row>
    <row r="21" spans="1:1">
      <c r="A21" s="135" t="s">
        <v>369</v>
      </c>
    </row>
    <row r="22" spans="1:1">
      <c r="A22" s="135" t="s">
        <v>370</v>
      </c>
    </row>
    <row r="23" spans="1:1">
      <c r="A23" s="135" t="s">
        <v>371</v>
      </c>
    </row>
    <row r="24" spans="1:1">
      <c r="A24" s="135" t="s">
        <v>372</v>
      </c>
    </row>
    <row r="25" spans="1:1">
      <c r="A25" s="135" t="s">
        <v>359</v>
      </c>
    </row>
    <row r="26" spans="1:1">
      <c r="A26" s="135" t="s">
        <v>373</v>
      </c>
    </row>
    <row r="27" spans="1:1">
      <c r="A27" s="135" t="s">
        <v>374</v>
      </c>
    </row>
    <row r="28" spans="1:1">
      <c r="A28" s="135" t="s">
        <v>375</v>
      </c>
    </row>
    <row r="29" spans="1:1">
      <c r="A29" s="135" t="s">
        <v>376</v>
      </c>
    </row>
    <row r="30" spans="1:1">
      <c r="A30" s="135" t="s">
        <v>377</v>
      </c>
    </row>
    <row r="31" spans="1:1">
      <c r="A31" s="135" t="s">
        <v>378</v>
      </c>
    </row>
    <row r="33" spans="1:1">
      <c r="A33" s="135" t="s">
        <v>379</v>
      </c>
    </row>
    <row r="34" spans="1:1">
      <c r="A34" s="135" t="s">
        <v>367</v>
      </c>
    </row>
    <row r="35" spans="1:1">
      <c r="A35" s="135" t="s">
        <v>380</v>
      </c>
    </row>
    <row r="36" spans="1:1">
      <c r="A36" s="135" t="s">
        <v>381</v>
      </c>
    </row>
    <row r="37" spans="1:1">
      <c r="A37" s="135" t="s">
        <v>382</v>
      </c>
    </row>
    <row r="38" spans="1:1">
      <c r="A38" s="135" t="s">
        <v>383</v>
      </c>
    </row>
    <row r="39" spans="1:1">
      <c r="A39" s="135" t="s">
        <v>358</v>
      </c>
    </row>
    <row r="40" spans="1:1">
      <c r="A40" s="135" t="s">
        <v>384</v>
      </c>
    </row>
    <row r="41" spans="1:1">
      <c r="A41" s="135" t="s">
        <v>385</v>
      </c>
    </row>
    <row r="42" spans="1:1">
      <c r="A42" s="135" t="s">
        <v>386</v>
      </c>
    </row>
    <row r="43" spans="1:1">
      <c r="A43" s="135" t="s">
        <v>387</v>
      </c>
    </row>
    <row r="44" spans="1:1">
      <c r="A44" s="135" t="s">
        <v>388</v>
      </c>
    </row>
    <row r="45" spans="1:1">
      <c r="A45" s="135" t="s">
        <v>389</v>
      </c>
    </row>
    <row r="46" spans="1:1">
      <c r="A46" s="135" t="s">
        <v>390</v>
      </c>
    </row>
    <row r="48" spans="1:1">
      <c r="A48" s="135" t="s">
        <v>391</v>
      </c>
    </row>
    <row r="49" spans="1:1">
      <c r="A49" s="135" t="s">
        <v>392</v>
      </c>
    </row>
    <row r="50" spans="1:1">
      <c r="A50" s="135" t="s">
        <v>393</v>
      </c>
    </row>
    <row r="51" spans="1:1">
      <c r="A51" s="135" t="s">
        <v>394</v>
      </c>
    </row>
    <row r="52" spans="1:1">
      <c r="A52" s="135" t="s">
        <v>395</v>
      </c>
    </row>
    <row r="53" spans="1:1">
      <c r="A53" s="135" t="s">
        <v>396</v>
      </c>
    </row>
    <row r="54" spans="1:1">
      <c r="A54" s="135" t="s">
        <v>397</v>
      </c>
    </row>
    <row r="55" spans="1:1">
      <c r="A55" s="135" t="s">
        <v>398</v>
      </c>
    </row>
    <row r="56" spans="1:1">
      <c r="A56" s="135" t="s">
        <v>399</v>
      </c>
    </row>
    <row r="57" spans="1:1">
      <c r="A57" s="135" t="s">
        <v>400</v>
      </c>
    </row>
    <row r="58" spans="1:1">
      <c r="A58" s="135" t="s">
        <v>401</v>
      </c>
    </row>
    <row r="59" spans="1:1">
      <c r="A59" s="135" t="s">
        <v>402</v>
      </c>
    </row>
    <row r="60" spans="1:1">
      <c r="A60" s="135" t="s">
        <v>403</v>
      </c>
    </row>
    <row r="61" spans="1:1">
      <c r="A61" s="135" t="s">
        <v>404</v>
      </c>
    </row>
    <row r="63" spans="1:1">
      <c r="A63" s="135" t="s">
        <v>405</v>
      </c>
    </row>
    <row r="64" spans="1:1">
      <c r="A64" s="135" t="s">
        <v>367</v>
      </c>
    </row>
    <row r="65" spans="1:1">
      <c r="A65" s="135" t="s">
        <v>368</v>
      </c>
    </row>
    <row r="66" spans="1:1">
      <c r="A66" s="135" t="s">
        <v>369</v>
      </c>
    </row>
    <row r="67" spans="1:1">
      <c r="A67" s="135" t="s">
        <v>406</v>
      </c>
    </row>
    <row r="68" spans="1:1">
      <c r="A68" s="135" t="s">
        <v>407</v>
      </c>
    </row>
    <row r="69" spans="1:1">
      <c r="A69" s="135" t="s">
        <v>408</v>
      </c>
    </row>
    <row r="70" spans="1:1">
      <c r="A70" s="135" t="s">
        <v>409</v>
      </c>
    </row>
    <row r="71" spans="1:1">
      <c r="A71" s="135" t="s">
        <v>410</v>
      </c>
    </row>
    <row r="72" spans="1:1">
      <c r="A72" s="135" t="s">
        <v>411</v>
      </c>
    </row>
    <row r="73" spans="1:1">
      <c r="A73" s="135" t="s">
        <v>412</v>
      </c>
    </row>
    <row r="74" spans="1:1">
      <c r="A74" s="135" t="s">
        <v>413</v>
      </c>
    </row>
    <row r="75" spans="1:1">
      <c r="A75" s="135" t="s">
        <v>414</v>
      </c>
    </row>
    <row r="76" spans="1:1">
      <c r="A76" s="135" t="s">
        <v>378</v>
      </c>
    </row>
  </sheetData>
  <phoneticPr fontId="7" type="noConversion"/>
  <pageMargins left="0.75" right="0.75" top="1" bottom="1" header="0.5" footer="0.5"/>
  <pageSetup paperSize="9" orientation="portrait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A3" sqref="A3"/>
    </sheetView>
  </sheetViews>
  <sheetFormatPr defaultRowHeight="13.2"/>
  <sheetData>
    <row r="1" spans="1:1">
      <c r="A1" t="s">
        <v>275</v>
      </c>
    </row>
  </sheetData>
  <phoneticPr fontId="7" type="noConversion"/>
  <pageMargins left="0.75" right="0.75" top="1" bottom="1" header="0.5" footer="0.5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>
  <dimension ref="A1:AE42"/>
  <sheetViews>
    <sheetView topLeftCell="Q1" zoomScale="85" zoomScaleNormal="85" workbookViewId="0">
      <selection activeCell="W4" sqref="W4"/>
    </sheetView>
  </sheetViews>
  <sheetFormatPr defaultRowHeight="13.2"/>
  <cols>
    <col min="1" max="1" width="6.6640625" style="182" customWidth="1"/>
    <col min="2" max="17" width="8.44140625" style="198" bestFit="1" customWidth="1"/>
    <col min="18" max="18" width="9.88671875" style="189" bestFit="1" customWidth="1"/>
    <col min="19" max="19" width="9.88671875" style="199" bestFit="1" customWidth="1"/>
    <col min="20" max="22" width="8.88671875" style="189"/>
    <col min="23" max="23" width="10.33203125" style="189" bestFit="1" customWidth="1"/>
    <col min="24" max="25" width="10.33203125" style="189" customWidth="1"/>
    <col min="26" max="26" width="6.5546875" style="198" bestFit="1" customWidth="1"/>
    <col min="27" max="27" width="13.33203125" style="198" bestFit="1" customWidth="1"/>
    <col min="28" max="28" width="48.109375" style="205" bestFit="1" customWidth="1"/>
    <col min="29" max="29" width="13.5546875" style="189" bestFit="1" customWidth="1"/>
    <col min="30" max="30" width="15.109375" style="189" bestFit="1" customWidth="1"/>
    <col min="31" max="31" width="8.88671875" style="207"/>
    <col min="32" max="16384" width="8.88671875" style="189"/>
  </cols>
  <sheetData>
    <row r="1" spans="1:31" s="184" customFormat="1" ht="13.8" thickBot="1">
      <c r="A1" s="182"/>
      <c r="B1" s="182">
        <v>0.5</v>
      </c>
      <c r="C1" s="182">
        <v>1</v>
      </c>
      <c r="D1" s="182">
        <v>1.5</v>
      </c>
      <c r="E1" s="182">
        <v>2</v>
      </c>
      <c r="F1" s="182">
        <v>2.5</v>
      </c>
      <c r="G1" s="182">
        <v>3</v>
      </c>
      <c r="H1" s="182">
        <v>3.5</v>
      </c>
      <c r="I1" s="182">
        <v>4</v>
      </c>
      <c r="J1" s="182">
        <v>4.5</v>
      </c>
      <c r="K1" s="182">
        <v>5</v>
      </c>
      <c r="L1" s="182">
        <v>5.5</v>
      </c>
      <c r="M1" s="182">
        <v>6</v>
      </c>
      <c r="N1" s="182">
        <v>6.5</v>
      </c>
      <c r="O1" s="182">
        <v>7</v>
      </c>
      <c r="P1" s="182">
        <v>7.5</v>
      </c>
      <c r="Q1" s="182">
        <v>8</v>
      </c>
      <c r="R1" s="182">
        <v>8.5</v>
      </c>
      <c r="S1" s="183">
        <v>9</v>
      </c>
      <c r="T1" s="184" t="s">
        <v>575</v>
      </c>
      <c r="Z1" s="182"/>
      <c r="AA1" s="182"/>
      <c r="AB1" s="204"/>
      <c r="AE1" s="206"/>
    </row>
    <row r="2" spans="1:31">
      <c r="A2" s="182">
        <v>0</v>
      </c>
      <c r="B2" s="185">
        <v>1</v>
      </c>
      <c r="C2" s="186">
        <v>1</v>
      </c>
      <c r="D2" s="186">
        <v>1</v>
      </c>
      <c r="E2" s="186">
        <v>1</v>
      </c>
      <c r="F2" s="186">
        <v>1</v>
      </c>
      <c r="G2" s="186">
        <v>1</v>
      </c>
      <c r="H2" s="186">
        <v>1</v>
      </c>
      <c r="I2" s="186">
        <v>1</v>
      </c>
      <c r="J2" s="186">
        <v>1</v>
      </c>
      <c r="K2" s="186">
        <v>1</v>
      </c>
      <c r="L2" s="186">
        <v>1</v>
      </c>
      <c r="M2" s="186">
        <v>1</v>
      </c>
      <c r="N2" s="186">
        <v>1</v>
      </c>
      <c r="O2" s="186">
        <v>1</v>
      </c>
      <c r="P2" s="186">
        <v>1</v>
      </c>
      <c r="Q2" s="186">
        <v>1</v>
      </c>
      <c r="R2" s="187">
        <v>1</v>
      </c>
      <c r="S2" s="188">
        <v>1</v>
      </c>
    </row>
    <row r="3" spans="1:31">
      <c r="A3" s="182">
        <v>2.5</v>
      </c>
      <c r="B3" s="190">
        <v>1</v>
      </c>
      <c r="C3" s="191">
        <v>1</v>
      </c>
      <c r="D3" s="191">
        <v>1</v>
      </c>
      <c r="E3" s="191">
        <v>1</v>
      </c>
      <c r="F3" s="191">
        <v>1</v>
      </c>
      <c r="G3" s="191">
        <v>1</v>
      </c>
      <c r="H3" s="191">
        <v>1</v>
      </c>
      <c r="I3" s="191">
        <v>1</v>
      </c>
      <c r="J3" s="191">
        <v>1</v>
      </c>
      <c r="K3" s="191">
        <v>1</v>
      </c>
      <c r="L3" s="191">
        <v>1</v>
      </c>
      <c r="M3" s="191">
        <v>1</v>
      </c>
      <c r="N3" s="191">
        <v>1</v>
      </c>
      <c r="O3" s="191">
        <v>1</v>
      </c>
      <c r="P3" s="191">
        <v>1</v>
      </c>
      <c r="Q3" s="191">
        <v>1</v>
      </c>
      <c r="R3" s="192">
        <v>1</v>
      </c>
      <c r="S3" s="193">
        <v>1</v>
      </c>
    </row>
    <row r="4" spans="1:31">
      <c r="A4" s="182">
        <v>5</v>
      </c>
      <c r="B4" s="190">
        <f t="shared" ref="B4:B38" si="0">B3-0.025</f>
        <v>0.97499999999999998</v>
      </c>
      <c r="C4" s="191">
        <v>1</v>
      </c>
      <c r="D4" s="191">
        <v>1</v>
      </c>
      <c r="E4" s="191">
        <v>1</v>
      </c>
      <c r="F4" s="191">
        <v>1</v>
      </c>
      <c r="G4" s="191">
        <v>1</v>
      </c>
      <c r="H4" s="191">
        <v>1</v>
      </c>
      <c r="I4" s="191">
        <v>1</v>
      </c>
      <c r="J4" s="191">
        <v>1</v>
      </c>
      <c r="K4" s="191">
        <v>1</v>
      </c>
      <c r="L4" s="191">
        <v>1</v>
      </c>
      <c r="M4" s="191">
        <v>1</v>
      </c>
      <c r="N4" s="191">
        <v>1</v>
      </c>
      <c r="O4" s="191">
        <v>1</v>
      </c>
      <c r="P4" s="191">
        <v>1</v>
      </c>
      <c r="Q4" s="191">
        <v>1</v>
      </c>
      <c r="R4" s="192">
        <v>1</v>
      </c>
      <c r="S4" s="193">
        <v>1</v>
      </c>
    </row>
    <row r="5" spans="1:31">
      <c r="A5" s="182">
        <v>7.5</v>
      </c>
      <c r="B5" s="190">
        <f>B4-0.025</f>
        <v>0.95</v>
      </c>
      <c r="C5" s="191">
        <f t="shared" ref="C5:P20" si="1">C4-0.025</f>
        <v>0.97499999999999998</v>
      </c>
      <c r="D5" s="191">
        <v>1</v>
      </c>
      <c r="E5" s="191">
        <v>1</v>
      </c>
      <c r="F5" s="191">
        <v>1</v>
      </c>
      <c r="G5" s="191">
        <v>1</v>
      </c>
      <c r="H5" s="191">
        <v>1</v>
      </c>
      <c r="I5" s="191">
        <v>1</v>
      </c>
      <c r="J5" s="191">
        <v>1</v>
      </c>
      <c r="K5" s="191">
        <v>1</v>
      </c>
      <c r="L5" s="191">
        <v>1</v>
      </c>
      <c r="M5" s="191">
        <v>1</v>
      </c>
      <c r="N5" s="191">
        <v>1</v>
      </c>
      <c r="O5" s="191">
        <v>1</v>
      </c>
      <c r="P5" s="191">
        <v>1</v>
      </c>
      <c r="Q5" s="191">
        <v>1</v>
      </c>
      <c r="R5" s="192">
        <v>1</v>
      </c>
      <c r="S5" s="193">
        <v>1</v>
      </c>
      <c r="Z5" s="203" t="s">
        <v>577</v>
      </c>
    </row>
    <row r="6" spans="1:31">
      <c r="A6" s="182">
        <v>10</v>
      </c>
      <c r="B6" s="190">
        <f t="shared" si="0"/>
        <v>0.92499999999999993</v>
      </c>
      <c r="C6" s="191">
        <f t="shared" si="1"/>
        <v>0.95</v>
      </c>
      <c r="D6" s="191">
        <f t="shared" si="1"/>
        <v>0.97499999999999998</v>
      </c>
      <c r="E6" s="191">
        <v>1</v>
      </c>
      <c r="F6" s="191">
        <v>1</v>
      </c>
      <c r="G6" s="191">
        <v>1</v>
      </c>
      <c r="H6" s="191">
        <v>1</v>
      </c>
      <c r="I6" s="191">
        <v>1</v>
      </c>
      <c r="J6" s="191">
        <v>1</v>
      </c>
      <c r="K6" s="191">
        <v>1</v>
      </c>
      <c r="L6" s="191">
        <v>1</v>
      </c>
      <c r="M6" s="191">
        <v>1</v>
      </c>
      <c r="N6" s="191">
        <v>1</v>
      </c>
      <c r="O6" s="191">
        <v>1</v>
      </c>
      <c r="P6" s="191">
        <v>1</v>
      </c>
      <c r="Q6" s="191">
        <v>1</v>
      </c>
      <c r="R6" s="192">
        <v>1</v>
      </c>
      <c r="S6" s="193">
        <v>1</v>
      </c>
      <c r="V6" s="202" t="s">
        <v>582</v>
      </c>
      <c r="W6" s="202" t="s">
        <v>581</v>
      </c>
      <c r="Z6" s="203" t="s">
        <v>576</v>
      </c>
      <c r="AA6" s="189" t="str">
        <f>CONCATENATE("[th]",V6,"[/th]")</f>
        <v>[th]Classic[/th]</v>
      </c>
      <c r="AB6" s="189" t="str">
        <f>CONCATENATE("[td]",W6," %[/td]")</f>
        <v>[td]sqrt(X)/sqrt(max(x)) %[/td]</v>
      </c>
      <c r="AC6" s="208" t="s">
        <v>578</v>
      </c>
    </row>
    <row r="7" spans="1:31">
      <c r="A7" s="182">
        <v>12.5</v>
      </c>
      <c r="B7" s="190">
        <f t="shared" si="0"/>
        <v>0.89999999999999991</v>
      </c>
      <c r="C7" s="191">
        <f t="shared" si="1"/>
        <v>0.92499999999999993</v>
      </c>
      <c r="D7" s="191">
        <f t="shared" si="1"/>
        <v>0.95</v>
      </c>
      <c r="E7" s="191">
        <f t="shared" si="1"/>
        <v>0.97499999999999998</v>
      </c>
      <c r="F7" s="191">
        <v>1</v>
      </c>
      <c r="G7" s="191">
        <v>1</v>
      </c>
      <c r="H7" s="191">
        <v>1</v>
      </c>
      <c r="I7" s="191">
        <v>1</v>
      </c>
      <c r="J7" s="191">
        <v>1</v>
      </c>
      <c r="K7" s="191">
        <v>1</v>
      </c>
      <c r="L7" s="191">
        <v>1</v>
      </c>
      <c r="M7" s="191">
        <v>1</v>
      </c>
      <c r="N7" s="191">
        <v>1</v>
      </c>
      <c r="O7" s="191">
        <v>1</v>
      </c>
      <c r="P7" s="191">
        <v>1</v>
      </c>
      <c r="Q7" s="191">
        <v>1</v>
      </c>
      <c r="R7" s="192">
        <v>1</v>
      </c>
      <c r="S7" s="193">
        <v>1</v>
      </c>
      <c r="V7" s="202" t="s">
        <v>583</v>
      </c>
      <c r="W7" s="202" t="s">
        <v>580</v>
      </c>
      <c r="Z7" s="203" t="s">
        <v>576</v>
      </c>
      <c r="AA7" s="189" t="str">
        <f>CONCATENATE("[th]",V7,"[/th]")</f>
        <v>[th]HO[/th]</v>
      </c>
      <c r="AB7" s="189" t="str">
        <f t="shared" ref="AB7:AB8" si="2">CONCATENATE("[td]",W7," %[/td]")</f>
        <v>[td]((stamina+6.5)/14)^0.6  %[/td]</v>
      </c>
      <c r="AC7" s="208" t="s">
        <v>578</v>
      </c>
    </row>
    <row r="8" spans="1:31">
      <c r="A8" s="182">
        <v>15</v>
      </c>
      <c r="B8" s="190">
        <f t="shared" si="0"/>
        <v>0.87499999999999989</v>
      </c>
      <c r="C8" s="191">
        <f t="shared" si="1"/>
        <v>0.89999999999999991</v>
      </c>
      <c r="D8" s="191">
        <f t="shared" si="1"/>
        <v>0.92499999999999993</v>
      </c>
      <c r="E8" s="191">
        <f t="shared" si="1"/>
        <v>0.95</v>
      </c>
      <c r="F8" s="191">
        <f t="shared" si="1"/>
        <v>0.97499999999999998</v>
      </c>
      <c r="G8" s="191">
        <v>1</v>
      </c>
      <c r="H8" s="191">
        <v>1</v>
      </c>
      <c r="I8" s="191">
        <v>1</v>
      </c>
      <c r="J8" s="191">
        <v>1</v>
      </c>
      <c r="K8" s="191">
        <v>1</v>
      </c>
      <c r="L8" s="191">
        <v>1</v>
      </c>
      <c r="M8" s="191">
        <v>1</v>
      </c>
      <c r="N8" s="191">
        <v>1</v>
      </c>
      <c r="O8" s="191">
        <v>1</v>
      </c>
      <c r="P8" s="191">
        <v>1</v>
      </c>
      <c r="Q8" s="191">
        <v>1</v>
      </c>
      <c r="R8" s="192">
        <v>1</v>
      </c>
      <c r="S8" s="193">
        <v>1</v>
      </c>
      <c r="V8" s="202" t="s">
        <v>584</v>
      </c>
      <c r="W8" s="202" t="s">
        <v>585</v>
      </c>
      <c r="Z8" s="203" t="s">
        <v>576</v>
      </c>
      <c r="AA8" s="189" t="str">
        <f>CONCATENATE("[th]",V8,"[/th]")</f>
        <v>[th]Table[/th]</v>
      </c>
      <c r="AB8" s="189" t="str">
        <f t="shared" si="2"/>
        <v>[td]sum(minutes-step-2.5)/sum(step-2.5-at-100%) %[/td]</v>
      </c>
      <c r="AC8" s="208" t="s">
        <v>578</v>
      </c>
    </row>
    <row r="9" spans="1:31">
      <c r="A9" s="182">
        <v>17.5</v>
      </c>
      <c r="B9" s="190">
        <f t="shared" si="0"/>
        <v>0.84999999999999987</v>
      </c>
      <c r="C9" s="191">
        <f t="shared" si="1"/>
        <v>0.87499999999999989</v>
      </c>
      <c r="D9" s="191">
        <f t="shared" si="1"/>
        <v>0.89999999999999991</v>
      </c>
      <c r="E9" s="191">
        <f t="shared" si="1"/>
        <v>0.92499999999999993</v>
      </c>
      <c r="F9" s="191">
        <f t="shared" si="1"/>
        <v>0.95</v>
      </c>
      <c r="G9" s="191">
        <f t="shared" si="1"/>
        <v>0.97499999999999998</v>
      </c>
      <c r="H9" s="191">
        <v>1</v>
      </c>
      <c r="I9" s="191">
        <v>1</v>
      </c>
      <c r="J9" s="191">
        <v>1</v>
      </c>
      <c r="K9" s="191">
        <v>1</v>
      </c>
      <c r="L9" s="191">
        <v>1</v>
      </c>
      <c r="M9" s="191">
        <v>1</v>
      </c>
      <c r="N9" s="191">
        <v>1</v>
      </c>
      <c r="O9" s="191">
        <v>1</v>
      </c>
      <c r="P9" s="191">
        <v>1</v>
      </c>
      <c r="Q9" s="191">
        <v>1</v>
      </c>
      <c r="R9" s="192">
        <v>1</v>
      </c>
      <c r="S9" s="193">
        <v>1</v>
      </c>
      <c r="Z9" s="203" t="s">
        <v>579</v>
      </c>
    </row>
    <row r="10" spans="1:31">
      <c r="A10" s="182">
        <v>20</v>
      </c>
      <c r="B10" s="190">
        <f t="shared" si="0"/>
        <v>0.82499999999999984</v>
      </c>
      <c r="C10" s="191">
        <f t="shared" si="1"/>
        <v>0.84999999999999987</v>
      </c>
      <c r="D10" s="191">
        <f t="shared" si="1"/>
        <v>0.87499999999999989</v>
      </c>
      <c r="E10" s="191">
        <f t="shared" si="1"/>
        <v>0.89999999999999991</v>
      </c>
      <c r="F10" s="191">
        <f t="shared" si="1"/>
        <v>0.92499999999999993</v>
      </c>
      <c r="G10" s="191">
        <f t="shared" si="1"/>
        <v>0.95</v>
      </c>
      <c r="H10" s="191">
        <f t="shared" si="1"/>
        <v>0.97499999999999998</v>
      </c>
      <c r="I10" s="191">
        <v>1</v>
      </c>
      <c r="J10" s="191">
        <v>1</v>
      </c>
      <c r="K10" s="191">
        <v>1</v>
      </c>
      <c r="L10" s="191">
        <v>1</v>
      </c>
      <c r="M10" s="191">
        <v>1</v>
      </c>
      <c r="N10" s="191">
        <v>1</v>
      </c>
      <c r="O10" s="191">
        <v>1</v>
      </c>
      <c r="P10" s="191">
        <v>1</v>
      </c>
      <c r="Q10" s="191">
        <v>1</v>
      </c>
      <c r="R10" s="192">
        <v>1</v>
      </c>
      <c r="S10" s="193">
        <v>1</v>
      </c>
      <c r="V10" s="198"/>
      <c r="W10" s="198"/>
      <c r="X10" s="198"/>
      <c r="Y10" s="198"/>
      <c r="Z10" s="205"/>
      <c r="AA10" s="189"/>
      <c r="AB10" s="189"/>
      <c r="AC10" s="207"/>
    </row>
    <row r="11" spans="1:31">
      <c r="A11" s="182">
        <v>22.5</v>
      </c>
      <c r="B11" s="190">
        <f t="shared" si="0"/>
        <v>0.79999999999999982</v>
      </c>
      <c r="C11" s="191">
        <f t="shared" si="1"/>
        <v>0.82499999999999984</v>
      </c>
      <c r="D11" s="191">
        <f t="shared" si="1"/>
        <v>0.84999999999999987</v>
      </c>
      <c r="E11" s="191">
        <f t="shared" si="1"/>
        <v>0.87499999999999989</v>
      </c>
      <c r="F11" s="191">
        <f t="shared" si="1"/>
        <v>0.89999999999999991</v>
      </c>
      <c r="G11" s="191">
        <f t="shared" si="1"/>
        <v>0.92499999999999993</v>
      </c>
      <c r="H11" s="191">
        <f t="shared" si="1"/>
        <v>0.95</v>
      </c>
      <c r="I11" s="191">
        <f t="shared" si="1"/>
        <v>0.97499999999999998</v>
      </c>
      <c r="J11" s="191">
        <v>1</v>
      </c>
      <c r="K11" s="191">
        <v>1</v>
      </c>
      <c r="L11" s="191">
        <v>1</v>
      </c>
      <c r="M11" s="191">
        <v>1</v>
      </c>
      <c r="N11" s="191">
        <v>1</v>
      </c>
      <c r="O11" s="191">
        <v>1</v>
      </c>
      <c r="P11" s="191">
        <v>1</v>
      </c>
      <c r="Q11" s="191">
        <v>1</v>
      </c>
      <c r="R11" s="192">
        <v>1</v>
      </c>
      <c r="S11" s="193">
        <v>1</v>
      </c>
      <c r="V11" s="198"/>
      <c r="W11" s="198"/>
      <c r="X11" s="198"/>
      <c r="Y11" s="198"/>
      <c r="Z11" s="203" t="s">
        <v>577</v>
      </c>
      <c r="AA11" s="189"/>
      <c r="AB11" s="189"/>
      <c r="AC11" s="207"/>
    </row>
    <row r="12" spans="1:31">
      <c r="A12" s="182">
        <v>25</v>
      </c>
      <c r="B12" s="190">
        <f t="shared" si="0"/>
        <v>0.7749999999999998</v>
      </c>
      <c r="C12" s="191">
        <f t="shared" si="1"/>
        <v>0.79999999999999982</v>
      </c>
      <c r="D12" s="191">
        <f t="shared" si="1"/>
        <v>0.82499999999999984</v>
      </c>
      <c r="E12" s="191">
        <f t="shared" si="1"/>
        <v>0.84999999999999987</v>
      </c>
      <c r="F12" s="191">
        <f t="shared" si="1"/>
        <v>0.87499999999999989</v>
      </c>
      <c r="G12" s="191">
        <f t="shared" si="1"/>
        <v>0.89999999999999991</v>
      </c>
      <c r="H12" s="191">
        <f t="shared" si="1"/>
        <v>0.92499999999999993</v>
      </c>
      <c r="I12" s="191">
        <f t="shared" si="1"/>
        <v>0.95</v>
      </c>
      <c r="J12" s="191">
        <f t="shared" si="1"/>
        <v>0.97499999999999998</v>
      </c>
      <c r="K12" s="191">
        <v>1</v>
      </c>
      <c r="L12" s="191">
        <v>1</v>
      </c>
      <c r="M12" s="191">
        <v>1</v>
      </c>
      <c r="N12" s="191">
        <v>1</v>
      </c>
      <c r="O12" s="191">
        <v>1</v>
      </c>
      <c r="P12" s="191">
        <v>1</v>
      </c>
      <c r="Q12" s="191">
        <v>1</v>
      </c>
      <c r="R12" s="192">
        <v>1</v>
      </c>
      <c r="S12" s="193">
        <v>1</v>
      </c>
      <c r="V12" s="182" t="s">
        <v>586</v>
      </c>
      <c r="W12" s="182" t="s">
        <v>587</v>
      </c>
      <c r="X12" s="182" t="s">
        <v>588</v>
      </c>
      <c r="Y12" s="182" t="s">
        <v>589</v>
      </c>
      <c r="Z12" s="203" t="s">
        <v>576</v>
      </c>
      <c r="AA12" s="189" t="str">
        <f>CONCATENATE("[th]",V12,"[/th]")</f>
        <v>[th]Stamina[/th]</v>
      </c>
      <c r="AB12" s="189" t="str">
        <f>CONCATENATE("[th]",W12,"[/th]")</f>
        <v>[th]P (classic)[/th]</v>
      </c>
      <c r="AC12" s="189" t="str">
        <f t="shared" ref="AC12:AD12" si="3">CONCATENATE("[th]",X12,"[/th]")</f>
        <v>[th]P (HO)[/th]</v>
      </c>
      <c r="AD12" s="189" t="str">
        <f>CONCATENATE("[th]",Y12,"[/th]")</f>
        <v>[th]P (table)[/th]</v>
      </c>
      <c r="AE12" s="208" t="s">
        <v>578</v>
      </c>
    </row>
    <row r="13" spans="1:31">
      <c r="A13" s="182">
        <v>27.5</v>
      </c>
      <c r="B13" s="190">
        <f t="shared" si="0"/>
        <v>0.74999999999999978</v>
      </c>
      <c r="C13" s="191">
        <f t="shared" si="1"/>
        <v>0.7749999999999998</v>
      </c>
      <c r="D13" s="191">
        <f t="shared" si="1"/>
        <v>0.79999999999999982</v>
      </c>
      <c r="E13" s="191">
        <f t="shared" si="1"/>
        <v>0.82499999999999984</v>
      </c>
      <c r="F13" s="191">
        <f t="shared" si="1"/>
        <v>0.84999999999999987</v>
      </c>
      <c r="G13" s="191">
        <f t="shared" si="1"/>
        <v>0.87499999999999989</v>
      </c>
      <c r="H13" s="191">
        <f t="shared" si="1"/>
        <v>0.89999999999999991</v>
      </c>
      <c r="I13" s="191">
        <f t="shared" si="1"/>
        <v>0.92499999999999993</v>
      </c>
      <c r="J13" s="191">
        <f t="shared" si="1"/>
        <v>0.95</v>
      </c>
      <c r="K13" s="191">
        <f t="shared" si="1"/>
        <v>0.97499999999999998</v>
      </c>
      <c r="L13" s="191">
        <v>1</v>
      </c>
      <c r="M13" s="191">
        <v>1</v>
      </c>
      <c r="N13" s="191">
        <v>1</v>
      </c>
      <c r="O13" s="191">
        <v>1</v>
      </c>
      <c r="P13" s="191">
        <v>1</v>
      </c>
      <c r="Q13" s="191">
        <v>1</v>
      </c>
      <c r="R13" s="192">
        <v>1</v>
      </c>
      <c r="S13" s="193">
        <v>1</v>
      </c>
      <c r="V13" s="200">
        <v>8.5</v>
      </c>
      <c r="W13" s="201">
        <f>SQRT(V13)/SQRT(8.5)</f>
        <v>1</v>
      </c>
      <c r="X13" s="201">
        <f>POWER((V13+6.5)/14,0.6)/POWER((15/14),0.6)</f>
        <v>1</v>
      </c>
      <c r="Y13" s="201">
        <f>R42</f>
        <v>1</v>
      </c>
      <c r="Z13" s="203" t="s">
        <v>576</v>
      </c>
      <c r="AA13" s="189" t="str">
        <f>CONCATENATE("[td]",V13,"[/td]")</f>
        <v>[td]8,5[/td]</v>
      </c>
      <c r="AB13" s="189" t="str">
        <f>CONCATENATE("[td]",TEXT((W13*100),"0,0")," %[/td]")</f>
        <v>[td]100,0 %[/td]</v>
      </c>
      <c r="AC13" s="189" t="str">
        <f t="shared" ref="AC13:AD28" si="4">CONCATENATE("[td]",TEXT((X13*100),"0,0")," %[/td]")</f>
        <v>[td]100,0 %[/td]</v>
      </c>
      <c r="AD13" s="189" t="str">
        <f t="shared" si="4"/>
        <v>[td]100,0 %[/td]</v>
      </c>
      <c r="AE13" s="208" t="s">
        <v>578</v>
      </c>
    </row>
    <row r="14" spans="1:31">
      <c r="A14" s="182">
        <v>30</v>
      </c>
      <c r="B14" s="190">
        <f t="shared" si="0"/>
        <v>0.72499999999999976</v>
      </c>
      <c r="C14" s="191">
        <f t="shared" si="1"/>
        <v>0.74999999999999978</v>
      </c>
      <c r="D14" s="191">
        <f t="shared" si="1"/>
        <v>0.7749999999999998</v>
      </c>
      <c r="E14" s="191">
        <f t="shared" si="1"/>
        <v>0.79999999999999982</v>
      </c>
      <c r="F14" s="191">
        <f t="shared" si="1"/>
        <v>0.82499999999999984</v>
      </c>
      <c r="G14" s="191">
        <f t="shared" si="1"/>
        <v>0.84999999999999987</v>
      </c>
      <c r="H14" s="191">
        <f t="shared" si="1"/>
        <v>0.87499999999999989</v>
      </c>
      <c r="I14" s="191">
        <f t="shared" si="1"/>
        <v>0.89999999999999991</v>
      </c>
      <c r="J14" s="191">
        <f t="shared" si="1"/>
        <v>0.92499999999999993</v>
      </c>
      <c r="K14" s="191">
        <f t="shared" si="1"/>
        <v>0.95</v>
      </c>
      <c r="L14" s="191">
        <f t="shared" si="1"/>
        <v>0.97499999999999998</v>
      </c>
      <c r="M14" s="191">
        <v>1</v>
      </c>
      <c r="N14" s="191">
        <v>1</v>
      </c>
      <c r="O14" s="191">
        <v>1</v>
      </c>
      <c r="P14" s="191">
        <v>1</v>
      </c>
      <c r="Q14" s="191">
        <v>1</v>
      </c>
      <c r="R14" s="192">
        <v>1</v>
      </c>
      <c r="S14" s="193">
        <v>1</v>
      </c>
      <c r="V14" s="200">
        <v>8</v>
      </c>
      <c r="W14" s="201">
        <f t="shared" ref="W14:W29" si="5">SQRT(V14)/SQRT(8.5)</f>
        <v>0.97014250014533188</v>
      </c>
      <c r="X14" s="201">
        <f t="shared" ref="X14:X29" si="6">POWER((V14+6.5)/14,0.6)/POWER((15/14),0.6)</f>
        <v>0.97986455014727314</v>
      </c>
      <c r="Y14" s="201">
        <f>Q42</f>
        <v>0.99121621621621614</v>
      </c>
      <c r="Z14" s="203" t="s">
        <v>576</v>
      </c>
      <c r="AA14" s="189" t="str">
        <f t="shared" ref="AA14:AA29" si="7">CONCATENATE("[td]",V14,"[/td]")</f>
        <v>[td]8[/td]</v>
      </c>
      <c r="AB14" s="189" t="str">
        <f t="shared" ref="AB14:AB29" si="8">CONCATENATE("[td]",TEXT((W14*100),"0,0")," %[/td]")</f>
        <v>[td]97,0 %[/td]</v>
      </c>
      <c r="AC14" s="189" t="str">
        <f t="shared" si="4"/>
        <v>[td]98,0 %[/td]</v>
      </c>
      <c r="AD14" s="189" t="str">
        <f t="shared" si="4"/>
        <v>[td]99,1 %[/td]</v>
      </c>
      <c r="AE14" s="208" t="s">
        <v>578</v>
      </c>
    </row>
    <row r="15" spans="1:31">
      <c r="A15" s="182">
        <v>32.5</v>
      </c>
      <c r="B15" s="190">
        <f t="shared" si="0"/>
        <v>0.69999999999999973</v>
      </c>
      <c r="C15" s="191">
        <f t="shared" si="1"/>
        <v>0.72499999999999976</v>
      </c>
      <c r="D15" s="191">
        <f t="shared" si="1"/>
        <v>0.74999999999999978</v>
      </c>
      <c r="E15" s="191">
        <f t="shared" si="1"/>
        <v>0.7749999999999998</v>
      </c>
      <c r="F15" s="191">
        <f t="shared" si="1"/>
        <v>0.79999999999999982</v>
      </c>
      <c r="G15" s="191">
        <f t="shared" si="1"/>
        <v>0.82499999999999984</v>
      </c>
      <c r="H15" s="191">
        <f t="shared" si="1"/>
        <v>0.84999999999999987</v>
      </c>
      <c r="I15" s="191">
        <f t="shared" si="1"/>
        <v>0.87499999999999989</v>
      </c>
      <c r="J15" s="191">
        <f t="shared" si="1"/>
        <v>0.89999999999999991</v>
      </c>
      <c r="K15" s="191">
        <f t="shared" si="1"/>
        <v>0.92499999999999993</v>
      </c>
      <c r="L15" s="191">
        <f t="shared" si="1"/>
        <v>0.95</v>
      </c>
      <c r="M15" s="191">
        <f t="shared" si="1"/>
        <v>0.97499999999999998</v>
      </c>
      <c r="N15" s="191">
        <v>1</v>
      </c>
      <c r="O15" s="191">
        <v>1</v>
      </c>
      <c r="P15" s="191">
        <v>1</v>
      </c>
      <c r="Q15" s="191">
        <v>1</v>
      </c>
      <c r="R15" s="192">
        <v>1</v>
      </c>
      <c r="S15" s="193">
        <v>1</v>
      </c>
      <c r="V15" s="200">
        <v>7.5</v>
      </c>
      <c r="W15" s="201">
        <f t="shared" si="5"/>
        <v>0.93933643662772415</v>
      </c>
      <c r="X15" s="201">
        <f t="shared" si="6"/>
        <v>0.95944937873158653</v>
      </c>
      <c r="Y15" s="201">
        <f>P42</f>
        <v>0.98175675675675689</v>
      </c>
      <c r="Z15" s="203" t="s">
        <v>576</v>
      </c>
      <c r="AA15" s="189" t="str">
        <f t="shared" si="7"/>
        <v>[td]7,5[/td]</v>
      </c>
      <c r="AB15" s="189" t="str">
        <f t="shared" si="8"/>
        <v>[td]93,9 %[/td]</v>
      </c>
      <c r="AC15" s="189" t="str">
        <f t="shared" si="4"/>
        <v>[td]95,9 %[/td]</v>
      </c>
      <c r="AD15" s="189" t="str">
        <f t="shared" si="4"/>
        <v>[td]98,2 %[/td]</v>
      </c>
      <c r="AE15" s="208" t="s">
        <v>578</v>
      </c>
    </row>
    <row r="16" spans="1:31">
      <c r="A16" s="182">
        <v>35</v>
      </c>
      <c r="B16" s="190">
        <f t="shared" si="0"/>
        <v>0.67499999999999971</v>
      </c>
      <c r="C16" s="191">
        <f t="shared" si="1"/>
        <v>0.69999999999999973</v>
      </c>
      <c r="D16" s="191">
        <f t="shared" si="1"/>
        <v>0.72499999999999976</v>
      </c>
      <c r="E16" s="191">
        <f t="shared" si="1"/>
        <v>0.74999999999999978</v>
      </c>
      <c r="F16" s="191">
        <f t="shared" si="1"/>
        <v>0.7749999999999998</v>
      </c>
      <c r="G16" s="191">
        <f t="shared" si="1"/>
        <v>0.79999999999999982</v>
      </c>
      <c r="H16" s="191">
        <f t="shared" si="1"/>
        <v>0.82499999999999984</v>
      </c>
      <c r="I16" s="191">
        <f t="shared" si="1"/>
        <v>0.84999999999999987</v>
      </c>
      <c r="J16" s="191">
        <f t="shared" si="1"/>
        <v>0.87499999999999989</v>
      </c>
      <c r="K16" s="191">
        <f t="shared" si="1"/>
        <v>0.89999999999999991</v>
      </c>
      <c r="L16" s="191">
        <f t="shared" si="1"/>
        <v>0.92499999999999993</v>
      </c>
      <c r="M16" s="191">
        <f t="shared" si="1"/>
        <v>0.95</v>
      </c>
      <c r="N16" s="191">
        <f t="shared" si="1"/>
        <v>0.97499999999999998</v>
      </c>
      <c r="O16" s="191">
        <v>1</v>
      </c>
      <c r="P16" s="191">
        <v>1</v>
      </c>
      <c r="Q16" s="191">
        <v>1</v>
      </c>
      <c r="R16" s="192">
        <v>1</v>
      </c>
      <c r="S16" s="193">
        <v>1</v>
      </c>
      <c r="V16" s="200">
        <v>7</v>
      </c>
      <c r="W16" s="201">
        <f t="shared" si="5"/>
        <v>0.9074852129730302</v>
      </c>
      <c r="X16" s="201">
        <f t="shared" si="6"/>
        <v>0.93874039335956949</v>
      </c>
      <c r="Y16" s="201">
        <f>O42</f>
        <v>0.9689189189189189</v>
      </c>
      <c r="Z16" s="203" t="s">
        <v>576</v>
      </c>
      <c r="AA16" s="189" t="str">
        <f t="shared" si="7"/>
        <v>[td]7[/td]</v>
      </c>
      <c r="AB16" s="189" t="str">
        <f t="shared" si="8"/>
        <v>[td]90,7 %[/td]</v>
      </c>
      <c r="AC16" s="189" t="str">
        <f t="shared" si="4"/>
        <v>[td]93,9 %[/td]</v>
      </c>
      <c r="AD16" s="189" t="str">
        <f t="shared" si="4"/>
        <v>[td]96,9 %[/td]</v>
      </c>
      <c r="AE16" s="208" t="s">
        <v>578</v>
      </c>
    </row>
    <row r="17" spans="1:31">
      <c r="A17" s="182">
        <v>37.5</v>
      </c>
      <c r="B17" s="190">
        <f t="shared" si="0"/>
        <v>0.64999999999999969</v>
      </c>
      <c r="C17" s="191">
        <f t="shared" si="1"/>
        <v>0.67499999999999971</v>
      </c>
      <c r="D17" s="191">
        <f t="shared" si="1"/>
        <v>0.69999999999999973</v>
      </c>
      <c r="E17" s="191">
        <f t="shared" si="1"/>
        <v>0.72499999999999976</v>
      </c>
      <c r="F17" s="191">
        <f t="shared" si="1"/>
        <v>0.74999999999999978</v>
      </c>
      <c r="G17" s="191">
        <f t="shared" si="1"/>
        <v>0.7749999999999998</v>
      </c>
      <c r="H17" s="191">
        <f t="shared" si="1"/>
        <v>0.79999999999999982</v>
      </c>
      <c r="I17" s="191">
        <f t="shared" si="1"/>
        <v>0.82499999999999984</v>
      </c>
      <c r="J17" s="191">
        <f t="shared" si="1"/>
        <v>0.84999999999999987</v>
      </c>
      <c r="K17" s="191">
        <f t="shared" si="1"/>
        <v>0.87499999999999989</v>
      </c>
      <c r="L17" s="191">
        <f t="shared" si="1"/>
        <v>0.89999999999999991</v>
      </c>
      <c r="M17" s="191">
        <f t="shared" si="1"/>
        <v>0.92499999999999993</v>
      </c>
      <c r="N17" s="191">
        <f t="shared" si="1"/>
        <v>0.95</v>
      </c>
      <c r="O17" s="191">
        <f t="shared" si="1"/>
        <v>0.97499999999999998</v>
      </c>
      <c r="P17" s="191">
        <v>1</v>
      </c>
      <c r="Q17" s="191">
        <v>1</v>
      </c>
      <c r="R17" s="192">
        <v>1</v>
      </c>
      <c r="S17" s="193">
        <v>1</v>
      </c>
      <c r="V17" s="200">
        <v>6.5</v>
      </c>
      <c r="W17" s="201">
        <f t="shared" si="5"/>
        <v>0.87447463219520616</v>
      </c>
      <c r="X17" s="201">
        <f t="shared" si="6"/>
        <v>0.91772223886856297</v>
      </c>
      <c r="Y17" s="201">
        <f>N42</f>
        <v>0.95270270270270252</v>
      </c>
      <c r="Z17" s="203" t="s">
        <v>576</v>
      </c>
      <c r="AA17" s="189" t="str">
        <f t="shared" si="7"/>
        <v>[td]6,5[/td]</v>
      </c>
      <c r="AB17" s="189" t="str">
        <f t="shared" si="8"/>
        <v>[td]87,4 %[/td]</v>
      </c>
      <c r="AC17" s="189" t="str">
        <f t="shared" si="4"/>
        <v>[td]91,8 %[/td]</v>
      </c>
      <c r="AD17" s="189" t="str">
        <f t="shared" si="4"/>
        <v>[td]95,3 %[/td]</v>
      </c>
      <c r="AE17" s="208" t="s">
        <v>578</v>
      </c>
    </row>
    <row r="18" spans="1:31">
      <c r="A18" s="182">
        <v>40</v>
      </c>
      <c r="B18" s="190">
        <f t="shared" si="0"/>
        <v>0.62499999999999967</v>
      </c>
      <c r="C18" s="191">
        <f t="shared" si="1"/>
        <v>0.64999999999999969</v>
      </c>
      <c r="D18" s="191">
        <f t="shared" si="1"/>
        <v>0.67499999999999971</v>
      </c>
      <c r="E18" s="191">
        <f t="shared" si="1"/>
        <v>0.69999999999999973</v>
      </c>
      <c r="F18" s="191">
        <f t="shared" si="1"/>
        <v>0.72499999999999976</v>
      </c>
      <c r="G18" s="191">
        <f t="shared" si="1"/>
        <v>0.74999999999999978</v>
      </c>
      <c r="H18" s="191">
        <f t="shared" si="1"/>
        <v>0.7749999999999998</v>
      </c>
      <c r="I18" s="191">
        <f t="shared" si="1"/>
        <v>0.79999999999999982</v>
      </c>
      <c r="J18" s="191">
        <f t="shared" si="1"/>
        <v>0.82499999999999984</v>
      </c>
      <c r="K18" s="191">
        <f t="shared" si="1"/>
        <v>0.84999999999999987</v>
      </c>
      <c r="L18" s="191">
        <f t="shared" si="1"/>
        <v>0.87499999999999989</v>
      </c>
      <c r="M18" s="191">
        <f t="shared" si="1"/>
        <v>0.89999999999999991</v>
      </c>
      <c r="N18" s="191">
        <f t="shared" si="1"/>
        <v>0.92499999999999993</v>
      </c>
      <c r="O18" s="191">
        <f t="shared" si="1"/>
        <v>0.95</v>
      </c>
      <c r="P18" s="191">
        <f t="shared" si="1"/>
        <v>0.97499999999999998</v>
      </c>
      <c r="Q18" s="191">
        <v>1</v>
      </c>
      <c r="R18" s="192">
        <v>1</v>
      </c>
      <c r="S18" s="193">
        <v>1</v>
      </c>
      <c r="V18" s="200">
        <v>6</v>
      </c>
      <c r="W18" s="201">
        <f t="shared" si="5"/>
        <v>0.84016805041680576</v>
      </c>
      <c r="X18" s="201">
        <f t="shared" si="6"/>
        <v>0.8963781307771419</v>
      </c>
      <c r="Y18" s="201">
        <f>M42</f>
        <v>0.93310810810810829</v>
      </c>
      <c r="Z18" s="203" t="s">
        <v>576</v>
      </c>
      <c r="AA18" s="189" t="str">
        <f t="shared" si="7"/>
        <v>[td]6[/td]</v>
      </c>
      <c r="AB18" s="189" t="str">
        <f t="shared" si="8"/>
        <v>[td]84,0 %[/td]</v>
      </c>
      <c r="AC18" s="189" t="str">
        <f t="shared" si="4"/>
        <v>[td]89,6 %[/td]</v>
      </c>
      <c r="AD18" s="189" t="str">
        <f t="shared" si="4"/>
        <v>[td]93,3 %[/td]</v>
      </c>
      <c r="AE18" s="208" t="s">
        <v>578</v>
      </c>
    </row>
    <row r="19" spans="1:31">
      <c r="A19" s="182">
        <v>42.5</v>
      </c>
      <c r="B19" s="190">
        <f t="shared" si="0"/>
        <v>0.59999999999999964</v>
      </c>
      <c r="C19" s="191">
        <f t="shared" si="1"/>
        <v>0.62499999999999967</v>
      </c>
      <c r="D19" s="191">
        <f t="shared" si="1"/>
        <v>0.64999999999999969</v>
      </c>
      <c r="E19" s="191">
        <f t="shared" si="1"/>
        <v>0.67499999999999971</v>
      </c>
      <c r="F19" s="191">
        <f t="shared" si="1"/>
        <v>0.69999999999999973</v>
      </c>
      <c r="G19" s="191">
        <f t="shared" si="1"/>
        <v>0.72499999999999976</v>
      </c>
      <c r="H19" s="191">
        <f t="shared" si="1"/>
        <v>0.74999999999999978</v>
      </c>
      <c r="I19" s="191">
        <f t="shared" si="1"/>
        <v>0.7749999999999998</v>
      </c>
      <c r="J19" s="191">
        <f t="shared" si="1"/>
        <v>0.79999999999999982</v>
      </c>
      <c r="K19" s="191">
        <f t="shared" si="1"/>
        <v>0.82499999999999984</v>
      </c>
      <c r="L19" s="191">
        <f t="shared" si="1"/>
        <v>0.84999999999999987</v>
      </c>
      <c r="M19" s="191">
        <f t="shared" si="1"/>
        <v>0.87499999999999989</v>
      </c>
      <c r="N19" s="191">
        <f t="shared" si="1"/>
        <v>0.89999999999999991</v>
      </c>
      <c r="O19" s="191">
        <f t="shared" si="1"/>
        <v>0.92499999999999993</v>
      </c>
      <c r="P19" s="191">
        <f t="shared" si="1"/>
        <v>0.95</v>
      </c>
      <c r="Q19" s="191">
        <f>Q18-0.025</f>
        <v>0.97499999999999998</v>
      </c>
      <c r="R19" s="192">
        <v>1</v>
      </c>
      <c r="S19" s="193">
        <v>1</v>
      </c>
      <c r="V19" s="200">
        <v>5.5</v>
      </c>
      <c r="W19" s="201">
        <f t="shared" si="5"/>
        <v>0.80439966653984374</v>
      </c>
      <c r="X19" s="201">
        <f t="shared" si="6"/>
        <v>0.87468965915462238</v>
      </c>
      <c r="Y19" s="201">
        <f>L42</f>
        <v>0.91013513513513511</v>
      </c>
      <c r="Z19" s="203" t="s">
        <v>576</v>
      </c>
      <c r="AA19" s="189" t="str">
        <f t="shared" si="7"/>
        <v>[td]5,5[/td]</v>
      </c>
      <c r="AB19" s="189" t="str">
        <f t="shared" si="8"/>
        <v>[td]80,4 %[/td]</v>
      </c>
      <c r="AC19" s="189" t="str">
        <f t="shared" si="4"/>
        <v>[td]87,5 %[/td]</v>
      </c>
      <c r="AD19" s="189" t="str">
        <f t="shared" si="4"/>
        <v>[td]91,0 %[/td]</v>
      </c>
      <c r="AE19" s="208" t="s">
        <v>578</v>
      </c>
    </row>
    <row r="20" spans="1:31" ht="13.8" thickBot="1">
      <c r="A20" s="182">
        <v>45</v>
      </c>
      <c r="B20" s="194">
        <f t="shared" si="0"/>
        <v>0.57499999999999962</v>
      </c>
      <c r="C20" s="195">
        <f t="shared" si="1"/>
        <v>0.59999999999999964</v>
      </c>
      <c r="D20" s="195">
        <f t="shared" si="1"/>
        <v>0.62499999999999967</v>
      </c>
      <c r="E20" s="195">
        <f t="shared" si="1"/>
        <v>0.64999999999999969</v>
      </c>
      <c r="F20" s="195">
        <f t="shared" si="1"/>
        <v>0.67499999999999971</v>
      </c>
      <c r="G20" s="195">
        <f t="shared" si="1"/>
        <v>0.69999999999999973</v>
      </c>
      <c r="H20" s="195">
        <f t="shared" si="1"/>
        <v>0.72499999999999976</v>
      </c>
      <c r="I20" s="195">
        <f t="shared" si="1"/>
        <v>0.74999999999999978</v>
      </c>
      <c r="J20" s="195">
        <f t="shared" si="1"/>
        <v>0.7749999999999998</v>
      </c>
      <c r="K20" s="195">
        <f t="shared" si="1"/>
        <v>0.79999999999999982</v>
      </c>
      <c r="L20" s="195">
        <f t="shared" si="1"/>
        <v>0.82499999999999984</v>
      </c>
      <c r="M20" s="195">
        <f t="shared" si="1"/>
        <v>0.84999999999999987</v>
      </c>
      <c r="N20" s="195">
        <f t="shared" si="1"/>
        <v>0.87499999999999989</v>
      </c>
      <c r="O20" s="195">
        <f t="shared" si="1"/>
        <v>0.89999999999999991</v>
      </c>
      <c r="P20" s="195">
        <f t="shared" si="1"/>
        <v>0.92499999999999993</v>
      </c>
      <c r="Q20" s="195">
        <f>Q19-0.025</f>
        <v>0.95</v>
      </c>
      <c r="R20" s="196">
        <v>1</v>
      </c>
      <c r="S20" s="197">
        <v>1</v>
      </c>
      <c r="V20" s="200">
        <v>5</v>
      </c>
      <c r="W20" s="201">
        <f t="shared" si="5"/>
        <v>0.76696498884737041</v>
      </c>
      <c r="X20" s="201">
        <f t="shared" si="6"/>
        <v>0.85263655618876089</v>
      </c>
      <c r="Y20" s="201">
        <f>K42</f>
        <v>0.88378378378378386</v>
      </c>
      <c r="Z20" s="203" t="s">
        <v>576</v>
      </c>
      <c r="AA20" s="189" t="str">
        <f t="shared" si="7"/>
        <v>[td]5[/td]</v>
      </c>
      <c r="AB20" s="189" t="str">
        <f t="shared" si="8"/>
        <v>[td]76,7 %[/td]</v>
      </c>
      <c r="AC20" s="189" t="str">
        <f t="shared" si="4"/>
        <v>[td]85,3 %[/td]</v>
      </c>
      <c r="AD20" s="189" t="str">
        <f t="shared" si="4"/>
        <v>[td]88,4 %[/td]</v>
      </c>
      <c r="AE20" s="208" t="s">
        <v>578</v>
      </c>
    </row>
    <row r="21" spans="1:31">
      <c r="A21" s="182">
        <v>47.5</v>
      </c>
      <c r="B21" s="190">
        <v>0.55000000000000004</v>
      </c>
      <c r="C21" s="191">
        <v>0.6</v>
      </c>
      <c r="D21" s="191">
        <v>0.65</v>
      </c>
      <c r="E21" s="191">
        <v>0.7</v>
      </c>
      <c r="F21" s="191">
        <v>0.75</v>
      </c>
      <c r="G21" s="191">
        <v>0.8</v>
      </c>
      <c r="H21" s="191">
        <v>0.85</v>
      </c>
      <c r="I21" s="191">
        <v>0.9</v>
      </c>
      <c r="J21" s="191">
        <v>0.95</v>
      </c>
      <c r="K21" s="191">
        <v>1</v>
      </c>
      <c r="L21" s="191">
        <v>1</v>
      </c>
      <c r="M21" s="191">
        <v>1</v>
      </c>
      <c r="N21" s="191">
        <v>1</v>
      </c>
      <c r="O21" s="191">
        <v>1</v>
      </c>
      <c r="P21" s="191">
        <v>1</v>
      </c>
      <c r="Q21" s="191">
        <v>1</v>
      </c>
      <c r="R21" s="192">
        <v>1</v>
      </c>
      <c r="S21" s="193">
        <v>1</v>
      </c>
      <c r="V21" s="200">
        <v>4.5</v>
      </c>
      <c r="W21" s="201">
        <f t="shared" si="5"/>
        <v>0.7276068751089988</v>
      </c>
      <c r="X21" s="201">
        <f t="shared" si="6"/>
        <v>0.83019641884114292</v>
      </c>
      <c r="Y21" s="201">
        <f>J42</f>
        <v>0.84189189189189184</v>
      </c>
      <c r="Z21" s="203" t="s">
        <v>576</v>
      </c>
      <c r="AA21" s="189" t="str">
        <f t="shared" si="7"/>
        <v>[td]4,5[/td]</v>
      </c>
      <c r="AB21" s="189" t="str">
        <f t="shared" si="8"/>
        <v>[td]72,8 %[/td]</v>
      </c>
      <c r="AC21" s="189" t="str">
        <f t="shared" si="4"/>
        <v>[td]83,0 %[/td]</v>
      </c>
      <c r="AD21" s="189" t="str">
        <f t="shared" si="4"/>
        <v>[td]84,2 %[/td]</v>
      </c>
      <c r="AE21" s="208" t="s">
        <v>578</v>
      </c>
    </row>
    <row r="22" spans="1:31">
      <c r="A22" s="182">
        <v>50</v>
      </c>
      <c r="B22" s="190">
        <v>0.6</v>
      </c>
      <c r="C22" s="191">
        <f t="shared" ref="C22:C30" si="9">C21-0.025</f>
        <v>0.57499999999999996</v>
      </c>
      <c r="D22" s="191">
        <f t="shared" ref="D22:D30" si="10">D21-0.025</f>
        <v>0.625</v>
      </c>
      <c r="E22" s="191">
        <f t="shared" ref="E22:E30" si="11">E21-0.025</f>
        <v>0.67499999999999993</v>
      </c>
      <c r="F22" s="191">
        <f t="shared" ref="F22:F30" si="12">F21-0.025</f>
        <v>0.72499999999999998</v>
      </c>
      <c r="G22" s="191">
        <f t="shared" ref="G22:G30" si="13">G21-0.025</f>
        <v>0.77500000000000002</v>
      </c>
      <c r="H22" s="191">
        <f t="shared" ref="H22:H30" si="14">H21-0.025</f>
        <v>0.82499999999999996</v>
      </c>
      <c r="I22" s="191">
        <f t="shared" ref="I22:I30" si="15">I21-0.025</f>
        <v>0.875</v>
      </c>
      <c r="J22" s="191">
        <f t="shared" ref="J22:J30" si="16">J21-0.025</f>
        <v>0.92499999999999993</v>
      </c>
      <c r="K22" s="191">
        <v>1</v>
      </c>
      <c r="L22" s="191">
        <v>1</v>
      </c>
      <c r="M22" s="191">
        <v>1</v>
      </c>
      <c r="N22" s="191">
        <v>1</v>
      </c>
      <c r="O22" s="191">
        <v>1</v>
      </c>
      <c r="P22" s="191">
        <v>1</v>
      </c>
      <c r="Q22" s="191">
        <v>1</v>
      </c>
      <c r="R22" s="192">
        <v>1</v>
      </c>
      <c r="S22" s="193">
        <v>1</v>
      </c>
      <c r="V22" s="200">
        <v>4</v>
      </c>
      <c r="W22" s="201">
        <f t="shared" si="5"/>
        <v>0.68599434057003528</v>
      </c>
      <c r="X22" s="201">
        <f t="shared" si="6"/>
        <v>0.8073443754472972</v>
      </c>
      <c r="Y22" s="201">
        <f>I42</f>
        <v>0.81081081081081063</v>
      </c>
      <c r="Z22" s="203" t="s">
        <v>576</v>
      </c>
      <c r="AA22" s="189" t="str">
        <f t="shared" si="7"/>
        <v>[td]4[/td]</v>
      </c>
      <c r="AB22" s="189" t="str">
        <f t="shared" si="8"/>
        <v>[td]68,6 %[/td]</v>
      </c>
      <c r="AC22" s="189" t="str">
        <f t="shared" si="4"/>
        <v>[td]80,7 %[/td]</v>
      </c>
      <c r="AD22" s="189" t="str">
        <f t="shared" si="4"/>
        <v>[td]81,1 %[/td]</v>
      </c>
      <c r="AE22" s="208" t="s">
        <v>578</v>
      </c>
    </row>
    <row r="23" spans="1:31">
      <c r="A23" s="182">
        <v>52.5</v>
      </c>
      <c r="B23" s="190">
        <f t="shared" si="0"/>
        <v>0.57499999999999996</v>
      </c>
      <c r="C23" s="191">
        <f t="shared" si="9"/>
        <v>0.54999999999999993</v>
      </c>
      <c r="D23" s="191">
        <f t="shared" si="10"/>
        <v>0.6</v>
      </c>
      <c r="E23" s="191">
        <f t="shared" si="11"/>
        <v>0.64999999999999991</v>
      </c>
      <c r="F23" s="191">
        <f t="shared" si="12"/>
        <v>0.7</v>
      </c>
      <c r="G23" s="191">
        <f t="shared" si="13"/>
        <v>0.75</v>
      </c>
      <c r="H23" s="191">
        <f t="shared" si="14"/>
        <v>0.79999999999999993</v>
      </c>
      <c r="I23" s="191">
        <f t="shared" si="15"/>
        <v>0.85</v>
      </c>
      <c r="J23" s="191">
        <f t="shared" si="16"/>
        <v>0.89999999999999991</v>
      </c>
      <c r="K23" s="191">
        <f t="shared" ref="K23:K30" si="17">K22-0.025</f>
        <v>0.97499999999999998</v>
      </c>
      <c r="L23" s="191">
        <v>1</v>
      </c>
      <c r="M23" s="191">
        <v>1</v>
      </c>
      <c r="N23" s="191">
        <v>1</v>
      </c>
      <c r="O23" s="191">
        <v>1</v>
      </c>
      <c r="P23" s="191">
        <v>1</v>
      </c>
      <c r="Q23" s="191">
        <v>1</v>
      </c>
      <c r="R23" s="192">
        <v>1</v>
      </c>
      <c r="S23" s="193">
        <v>1</v>
      </c>
      <c r="V23" s="200">
        <v>3.5</v>
      </c>
      <c r="W23" s="201">
        <f t="shared" si="5"/>
        <v>0.64168894791974784</v>
      </c>
      <c r="X23" s="201">
        <f t="shared" si="6"/>
        <v>0.78405268168311582</v>
      </c>
      <c r="Y23" s="201">
        <f>H42</f>
        <v>0.77905405405405392</v>
      </c>
      <c r="Z23" s="203" t="s">
        <v>576</v>
      </c>
      <c r="AA23" s="189" t="str">
        <f t="shared" si="7"/>
        <v>[td]3,5[/td]</v>
      </c>
      <c r="AB23" s="189" t="str">
        <f t="shared" si="8"/>
        <v>[td]64,2 %[/td]</v>
      </c>
      <c r="AC23" s="189" t="str">
        <f t="shared" si="4"/>
        <v>[td]78,4 %[/td]</v>
      </c>
      <c r="AD23" s="189" t="str">
        <f t="shared" si="4"/>
        <v>[td]77,9 %[/td]</v>
      </c>
      <c r="AE23" s="208" t="s">
        <v>578</v>
      </c>
    </row>
    <row r="24" spans="1:31">
      <c r="A24" s="182">
        <v>55</v>
      </c>
      <c r="B24" s="190">
        <f t="shared" si="0"/>
        <v>0.54999999999999993</v>
      </c>
      <c r="C24" s="191">
        <f t="shared" si="9"/>
        <v>0.52499999999999991</v>
      </c>
      <c r="D24" s="191">
        <f t="shared" si="10"/>
        <v>0.57499999999999996</v>
      </c>
      <c r="E24" s="191">
        <f t="shared" si="11"/>
        <v>0.62499999999999989</v>
      </c>
      <c r="F24" s="191">
        <f t="shared" si="12"/>
        <v>0.67499999999999993</v>
      </c>
      <c r="G24" s="191">
        <f t="shared" si="13"/>
        <v>0.72499999999999998</v>
      </c>
      <c r="H24" s="191">
        <f t="shared" si="14"/>
        <v>0.77499999999999991</v>
      </c>
      <c r="I24" s="191">
        <f t="shared" si="15"/>
        <v>0.82499999999999996</v>
      </c>
      <c r="J24" s="191">
        <f t="shared" si="16"/>
        <v>0.87499999999999989</v>
      </c>
      <c r="K24" s="191">
        <f t="shared" si="17"/>
        <v>0.95</v>
      </c>
      <c r="L24" s="191">
        <v>1</v>
      </c>
      <c r="M24" s="191">
        <v>1</v>
      </c>
      <c r="N24" s="191">
        <v>1</v>
      </c>
      <c r="O24" s="191">
        <v>1</v>
      </c>
      <c r="P24" s="191">
        <v>1</v>
      </c>
      <c r="Q24" s="191">
        <v>1</v>
      </c>
      <c r="R24" s="192">
        <v>1</v>
      </c>
      <c r="S24" s="193">
        <v>1</v>
      </c>
      <c r="V24" s="200">
        <v>3</v>
      </c>
      <c r="W24" s="201">
        <f t="shared" si="5"/>
        <v>0.59408852578600457</v>
      </c>
      <c r="X24" s="201">
        <f t="shared" si="6"/>
        <v>0.76029022659663359</v>
      </c>
      <c r="Y24" s="201">
        <f>G42</f>
        <v>0.74662162162162149</v>
      </c>
      <c r="Z24" s="203" t="s">
        <v>576</v>
      </c>
      <c r="AA24" s="189" t="str">
        <f t="shared" si="7"/>
        <v>[td]3[/td]</v>
      </c>
      <c r="AB24" s="189" t="str">
        <f t="shared" si="8"/>
        <v>[td]59,4 %[/td]</v>
      </c>
      <c r="AC24" s="189" t="str">
        <f t="shared" si="4"/>
        <v>[td]76,0 %[/td]</v>
      </c>
      <c r="AD24" s="189" t="str">
        <f t="shared" si="4"/>
        <v>[td]74,7 %[/td]</v>
      </c>
      <c r="AE24" s="208" t="s">
        <v>578</v>
      </c>
    </row>
    <row r="25" spans="1:31">
      <c r="A25" s="182">
        <v>57.5</v>
      </c>
      <c r="B25" s="190">
        <f t="shared" si="0"/>
        <v>0.52499999999999991</v>
      </c>
      <c r="C25" s="191">
        <f t="shared" si="9"/>
        <v>0.49999999999999989</v>
      </c>
      <c r="D25" s="191">
        <f t="shared" si="10"/>
        <v>0.54999999999999993</v>
      </c>
      <c r="E25" s="191">
        <f t="shared" si="11"/>
        <v>0.59999999999999987</v>
      </c>
      <c r="F25" s="191">
        <f t="shared" si="12"/>
        <v>0.64999999999999991</v>
      </c>
      <c r="G25" s="191">
        <f t="shared" si="13"/>
        <v>0.7</v>
      </c>
      <c r="H25" s="191">
        <f t="shared" si="14"/>
        <v>0.74999999999999989</v>
      </c>
      <c r="I25" s="191">
        <f t="shared" si="15"/>
        <v>0.79999999999999993</v>
      </c>
      <c r="J25" s="191">
        <f t="shared" si="16"/>
        <v>0.84999999999999987</v>
      </c>
      <c r="K25" s="191">
        <f t="shared" si="17"/>
        <v>0.92499999999999993</v>
      </c>
      <c r="L25" s="191">
        <f t="shared" ref="L25:L30" si="18">L24-0.025</f>
        <v>0.97499999999999998</v>
      </c>
      <c r="M25" s="191">
        <v>1</v>
      </c>
      <c r="N25" s="191">
        <v>1</v>
      </c>
      <c r="O25" s="191">
        <v>1</v>
      </c>
      <c r="P25" s="191">
        <v>1</v>
      </c>
      <c r="Q25" s="191">
        <v>1</v>
      </c>
      <c r="R25" s="192">
        <v>1</v>
      </c>
      <c r="S25" s="193">
        <v>1</v>
      </c>
      <c r="V25" s="200">
        <v>2.5</v>
      </c>
      <c r="W25" s="201">
        <f t="shared" si="5"/>
        <v>0.54232614454664041</v>
      </c>
      <c r="X25" s="201">
        <f t="shared" si="6"/>
        <v>0.73602192281783341</v>
      </c>
      <c r="Y25" s="201">
        <f>F42</f>
        <v>0.71351351351351333</v>
      </c>
      <c r="Z25" s="203" t="s">
        <v>576</v>
      </c>
      <c r="AA25" s="189" t="str">
        <f t="shared" si="7"/>
        <v>[td]2,5[/td]</v>
      </c>
      <c r="AB25" s="189" t="str">
        <f t="shared" si="8"/>
        <v>[td]54,2 %[/td]</v>
      </c>
      <c r="AC25" s="189" t="str">
        <f t="shared" si="4"/>
        <v>[td]73,6 %[/td]</v>
      </c>
      <c r="AD25" s="189" t="str">
        <f t="shared" si="4"/>
        <v>[td]71,4 %[/td]</v>
      </c>
      <c r="AE25" s="208" t="s">
        <v>578</v>
      </c>
    </row>
    <row r="26" spans="1:31">
      <c r="A26" s="182">
        <v>60</v>
      </c>
      <c r="B26" s="190">
        <f t="shared" si="0"/>
        <v>0.49999999999999989</v>
      </c>
      <c r="C26" s="191">
        <f t="shared" si="9"/>
        <v>0.47499999999999987</v>
      </c>
      <c r="D26" s="191">
        <f t="shared" si="10"/>
        <v>0.52499999999999991</v>
      </c>
      <c r="E26" s="191">
        <f t="shared" si="11"/>
        <v>0.57499999999999984</v>
      </c>
      <c r="F26" s="191">
        <f t="shared" si="12"/>
        <v>0.62499999999999989</v>
      </c>
      <c r="G26" s="191">
        <f t="shared" si="13"/>
        <v>0.67499999999999993</v>
      </c>
      <c r="H26" s="191">
        <f t="shared" si="14"/>
        <v>0.72499999999999987</v>
      </c>
      <c r="I26" s="191">
        <f t="shared" si="15"/>
        <v>0.77499999999999991</v>
      </c>
      <c r="J26" s="191">
        <f t="shared" si="16"/>
        <v>0.82499999999999984</v>
      </c>
      <c r="K26" s="191">
        <f t="shared" si="17"/>
        <v>0.89999999999999991</v>
      </c>
      <c r="L26" s="191">
        <f t="shared" si="18"/>
        <v>0.95</v>
      </c>
      <c r="M26" s="191">
        <v>1</v>
      </c>
      <c r="N26" s="191">
        <v>1</v>
      </c>
      <c r="O26" s="191">
        <v>1</v>
      </c>
      <c r="P26" s="191">
        <v>1</v>
      </c>
      <c r="Q26" s="191">
        <v>1</v>
      </c>
      <c r="R26" s="192">
        <v>1</v>
      </c>
      <c r="S26" s="193">
        <v>1</v>
      </c>
      <c r="V26" s="200">
        <v>2</v>
      </c>
      <c r="W26" s="201">
        <f t="shared" si="5"/>
        <v>0.48507125007266594</v>
      </c>
      <c r="X26" s="201">
        <f t="shared" si="6"/>
        <v>0.71120794572645207</v>
      </c>
      <c r="Y26" s="201">
        <f>E42</f>
        <v>0.67972972972972945</v>
      </c>
      <c r="Z26" s="203" t="s">
        <v>576</v>
      </c>
      <c r="AA26" s="189" t="str">
        <f t="shared" si="7"/>
        <v>[td]2[/td]</v>
      </c>
      <c r="AB26" s="189" t="str">
        <f t="shared" si="8"/>
        <v>[td]48,5 %[/td]</v>
      </c>
      <c r="AC26" s="189" t="str">
        <f t="shared" si="4"/>
        <v>[td]71,1 %[/td]</v>
      </c>
      <c r="AD26" s="189" t="str">
        <f t="shared" si="4"/>
        <v>[td]68,0 %[/td]</v>
      </c>
      <c r="AE26" s="208" t="s">
        <v>578</v>
      </c>
    </row>
    <row r="27" spans="1:31">
      <c r="A27" s="182">
        <v>62.5</v>
      </c>
      <c r="B27" s="190">
        <f t="shared" si="0"/>
        <v>0.47499999999999987</v>
      </c>
      <c r="C27" s="191">
        <f t="shared" si="9"/>
        <v>0.44999999999999984</v>
      </c>
      <c r="D27" s="191">
        <f t="shared" si="10"/>
        <v>0.49999999999999989</v>
      </c>
      <c r="E27" s="191">
        <f t="shared" si="11"/>
        <v>0.54999999999999982</v>
      </c>
      <c r="F27" s="191">
        <f t="shared" si="12"/>
        <v>0.59999999999999987</v>
      </c>
      <c r="G27" s="191">
        <f t="shared" si="13"/>
        <v>0.64999999999999991</v>
      </c>
      <c r="H27" s="191">
        <f t="shared" si="14"/>
        <v>0.69999999999999984</v>
      </c>
      <c r="I27" s="191">
        <f t="shared" si="15"/>
        <v>0.74999999999999989</v>
      </c>
      <c r="J27" s="191">
        <f t="shared" si="16"/>
        <v>0.79999999999999982</v>
      </c>
      <c r="K27" s="191">
        <f t="shared" si="17"/>
        <v>0.87499999999999989</v>
      </c>
      <c r="L27" s="191">
        <f t="shared" si="18"/>
        <v>0.92499999999999993</v>
      </c>
      <c r="M27" s="191">
        <f>M26-0.025</f>
        <v>0.97499999999999998</v>
      </c>
      <c r="N27" s="191">
        <v>1</v>
      </c>
      <c r="O27" s="191">
        <v>1</v>
      </c>
      <c r="P27" s="191">
        <v>1</v>
      </c>
      <c r="Q27" s="191">
        <v>1</v>
      </c>
      <c r="R27" s="192">
        <v>1</v>
      </c>
      <c r="S27" s="193">
        <v>1</v>
      </c>
      <c r="V27" s="200">
        <v>1.5</v>
      </c>
      <c r="W27" s="201">
        <f t="shared" si="5"/>
        <v>0.42008402520840288</v>
      </c>
      <c r="X27" s="201">
        <f t="shared" si="6"/>
        <v>0.68580277290067215</v>
      </c>
      <c r="Y27" s="201">
        <f>D42</f>
        <v>0.64527027027027017</v>
      </c>
      <c r="Z27" s="203" t="s">
        <v>576</v>
      </c>
      <c r="AA27" s="189" t="str">
        <f t="shared" si="7"/>
        <v>[td]1,5[/td]</v>
      </c>
      <c r="AB27" s="189" t="str">
        <f t="shared" si="8"/>
        <v>[td]42,0 %[/td]</v>
      </c>
      <c r="AC27" s="189" t="str">
        <f t="shared" si="4"/>
        <v>[td]68,6 %[/td]</v>
      </c>
      <c r="AD27" s="189" t="str">
        <f t="shared" si="4"/>
        <v>[td]64,5 %[/td]</v>
      </c>
      <c r="AE27" s="208" t="s">
        <v>578</v>
      </c>
    </row>
    <row r="28" spans="1:31">
      <c r="A28" s="182">
        <v>65</v>
      </c>
      <c r="B28" s="190">
        <f t="shared" si="0"/>
        <v>0.44999999999999984</v>
      </c>
      <c r="C28" s="191">
        <f t="shared" si="9"/>
        <v>0.42499999999999982</v>
      </c>
      <c r="D28" s="191">
        <f t="shared" si="10"/>
        <v>0.47499999999999987</v>
      </c>
      <c r="E28" s="191">
        <f t="shared" si="11"/>
        <v>0.5249999999999998</v>
      </c>
      <c r="F28" s="191">
        <f t="shared" si="12"/>
        <v>0.57499999999999984</v>
      </c>
      <c r="G28" s="191">
        <f t="shared" si="13"/>
        <v>0.62499999999999989</v>
      </c>
      <c r="H28" s="191">
        <f t="shared" si="14"/>
        <v>0.67499999999999982</v>
      </c>
      <c r="I28" s="191">
        <f t="shared" si="15"/>
        <v>0.72499999999999987</v>
      </c>
      <c r="J28" s="191">
        <f t="shared" si="16"/>
        <v>0.7749999999999998</v>
      </c>
      <c r="K28" s="191">
        <f t="shared" si="17"/>
        <v>0.84999999999999987</v>
      </c>
      <c r="L28" s="191">
        <f t="shared" si="18"/>
        <v>0.89999999999999991</v>
      </c>
      <c r="M28" s="191">
        <f>M27-0.025</f>
        <v>0.95</v>
      </c>
      <c r="N28" s="191">
        <v>1</v>
      </c>
      <c r="O28" s="191">
        <v>1</v>
      </c>
      <c r="P28" s="191">
        <v>1</v>
      </c>
      <c r="Q28" s="191">
        <v>1</v>
      </c>
      <c r="R28" s="192">
        <v>1</v>
      </c>
      <c r="S28" s="193">
        <v>1</v>
      </c>
      <c r="V28" s="200">
        <v>1</v>
      </c>
      <c r="W28" s="201">
        <f t="shared" si="5"/>
        <v>0.34299717028501764</v>
      </c>
      <c r="X28" s="201">
        <f t="shared" si="6"/>
        <v>0.6597539553864471</v>
      </c>
      <c r="Y28" s="201">
        <f>C42</f>
        <v>0.61013513513513506</v>
      </c>
      <c r="Z28" s="203" t="s">
        <v>576</v>
      </c>
      <c r="AA28" s="189" t="str">
        <f t="shared" si="7"/>
        <v>[td]1[/td]</v>
      </c>
      <c r="AB28" s="189" t="str">
        <f t="shared" si="8"/>
        <v>[td]34,3 %[/td]</v>
      </c>
      <c r="AC28" s="189" t="str">
        <f t="shared" si="4"/>
        <v>[td]66,0 %[/td]</v>
      </c>
      <c r="AD28" s="189" t="str">
        <f t="shared" si="4"/>
        <v>[td]61,0 %[/td]</v>
      </c>
      <c r="AE28" s="208" t="s">
        <v>578</v>
      </c>
    </row>
    <row r="29" spans="1:31">
      <c r="A29" s="182">
        <v>67.5</v>
      </c>
      <c r="B29" s="190">
        <f t="shared" si="0"/>
        <v>0.42499999999999982</v>
      </c>
      <c r="C29" s="191">
        <f t="shared" si="9"/>
        <v>0.3999999999999998</v>
      </c>
      <c r="D29" s="191">
        <f t="shared" si="10"/>
        <v>0.44999999999999984</v>
      </c>
      <c r="E29" s="191">
        <f t="shared" si="11"/>
        <v>0.49999999999999978</v>
      </c>
      <c r="F29" s="191">
        <f t="shared" si="12"/>
        <v>0.54999999999999982</v>
      </c>
      <c r="G29" s="191">
        <f t="shared" si="13"/>
        <v>0.59999999999999987</v>
      </c>
      <c r="H29" s="191">
        <f t="shared" si="14"/>
        <v>0.6499999999999998</v>
      </c>
      <c r="I29" s="191">
        <f t="shared" si="15"/>
        <v>0.69999999999999984</v>
      </c>
      <c r="J29" s="191">
        <f t="shared" si="16"/>
        <v>0.74999999999999978</v>
      </c>
      <c r="K29" s="191">
        <f t="shared" si="17"/>
        <v>0.82499999999999984</v>
      </c>
      <c r="L29" s="191">
        <f t="shared" si="18"/>
        <v>0.87499999999999989</v>
      </c>
      <c r="M29" s="191">
        <f>M28-0.025</f>
        <v>0.92499999999999993</v>
      </c>
      <c r="N29" s="191">
        <f>N28-0.025</f>
        <v>0.97499999999999998</v>
      </c>
      <c r="O29" s="191">
        <v>1</v>
      </c>
      <c r="P29" s="191">
        <v>1</v>
      </c>
      <c r="Q29" s="191">
        <v>1</v>
      </c>
      <c r="R29" s="192">
        <v>1</v>
      </c>
      <c r="S29" s="193">
        <v>1</v>
      </c>
      <c r="V29" s="200">
        <v>0.5</v>
      </c>
      <c r="W29" s="201">
        <f t="shared" si="5"/>
        <v>0.24253562503633297</v>
      </c>
      <c r="X29" s="201">
        <f t="shared" si="6"/>
        <v>0.63300052261123352</v>
      </c>
      <c r="Y29" s="215">
        <f>B42</f>
        <v>0.60878378378378362</v>
      </c>
      <c r="Z29" s="203" t="s">
        <v>576</v>
      </c>
      <c r="AA29" s="189" t="str">
        <f t="shared" si="7"/>
        <v>[td]0,5[/td]</v>
      </c>
      <c r="AB29" s="189" t="str">
        <f t="shared" si="8"/>
        <v>[td]24,3 %[/td]</v>
      </c>
      <c r="AC29" s="189" t="str">
        <f t="shared" ref="AC29" si="19">CONCATENATE("[td]",TEXT((X29*100),"0,0")," %[/td]")</f>
        <v>[td]63,3 %[/td]</v>
      </c>
      <c r="AD29" s="189" t="str">
        <f t="shared" ref="AD29" si="20">CONCATENATE("[td]",TEXT((Y29*100),"0,0")," %[/td]")</f>
        <v>[td]60,9 %[/td]</v>
      </c>
      <c r="AE29" s="208" t="s">
        <v>578</v>
      </c>
    </row>
    <row r="30" spans="1:31">
      <c r="A30" s="182">
        <v>70</v>
      </c>
      <c r="B30" s="190">
        <f t="shared" si="0"/>
        <v>0.3999999999999998</v>
      </c>
      <c r="C30" s="191">
        <f t="shared" si="9"/>
        <v>0.37499999999999978</v>
      </c>
      <c r="D30" s="191">
        <f t="shared" si="10"/>
        <v>0.42499999999999982</v>
      </c>
      <c r="E30" s="191">
        <f t="shared" si="11"/>
        <v>0.47499999999999976</v>
      </c>
      <c r="F30" s="191">
        <f t="shared" si="12"/>
        <v>0.5249999999999998</v>
      </c>
      <c r="G30" s="191">
        <f t="shared" si="13"/>
        <v>0.57499999999999984</v>
      </c>
      <c r="H30" s="191">
        <f t="shared" si="14"/>
        <v>0.62499999999999978</v>
      </c>
      <c r="I30" s="191">
        <f t="shared" si="15"/>
        <v>0.67499999999999982</v>
      </c>
      <c r="J30" s="191">
        <f t="shared" si="16"/>
        <v>0.72499999999999976</v>
      </c>
      <c r="K30" s="191">
        <f t="shared" si="17"/>
        <v>0.79999999999999982</v>
      </c>
      <c r="L30" s="191">
        <f t="shared" si="18"/>
        <v>0.84999999999999987</v>
      </c>
      <c r="M30" s="191">
        <f>M29-0.025</f>
        <v>0.89999999999999991</v>
      </c>
      <c r="N30" s="191">
        <f>N29-0.025</f>
        <v>0.95</v>
      </c>
      <c r="O30" s="191">
        <v>1</v>
      </c>
      <c r="P30" s="191">
        <v>1</v>
      </c>
      <c r="Q30" s="191">
        <v>1</v>
      </c>
      <c r="R30" s="192">
        <v>1</v>
      </c>
      <c r="S30" s="193">
        <v>1</v>
      </c>
      <c r="V30" s="200"/>
      <c r="W30" s="198"/>
      <c r="X30" s="198"/>
      <c r="Y30" s="198"/>
      <c r="Z30" s="203" t="s">
        <v>579</v>
      </c>
      <c r="AA30" s="189"/>
      <c r="AB30" s="189"/>
      <c r="AC30" s="207"/>
    </row>
    <row r="31" spans="1:31">
      <c r="A31" s="182">
        <v>72.5</v>
      </c>
      <c r="B31" s="190">
        <f t="shared" si="0"/>
        <v>0.37499999999999978</v>
      </c>
      <c r="C31" s="191">
        <f t="shared" ref="C31:C38" si="21">C30-0.025</f>
        <v>0.34999999999999976</v>
      </c>
      <c r="D31" s="191">
        <f t="shared" ref="D31:D38" si="22">D30-0.025</f>
        <v>0.3999999999999998</v>
      </c>
      <c r="E31" s="191">
        <f t="shared" ref="E31:E38" si="23">E30-0.025</f>
        <v>0.44999999999999973</v>
      </c>
      <c r="F31" s="191">
        <f t="shared" ref="F31:F38" si="24">F30-0.025</f>
        <v>0.49999999999999978</v>
      </c>
      <c r="G31" s="191">
        <f t="shared" ref="G31:G38" si="25">G30-0.025</f>
        <v>0.54999999999999982</v>
      </c>
      <c r="H31" s="191">
        <f t="shared" ref="H31:H38" si="26">H30-0.025</f>
        <v>0.59999999999999976</v>
      </c>
      <c r="I31" s="191">
        <f t="shared" ref="I31:I38" si="27">I30-0.025</f>
        <v>0.6499999999999998</v>
      </c>
      <c r="J31" s="191">
        <f t="shared" ref="J31:J38" si="28">J30-0.025</f>
        <v>0.69999999999999973</v>
      </c>
      <c r="K31" s="191">
        <f t="shared" ref="K31:K38" si="29">K30-0.025</f>
        <v>0.7749999999999998</v>
      </c>
      <c r="L31" s="191">
        <f t="shared" ref="L31:L38" si="30">L30-0.025</f>
        <v>0.82499999999999984</v>
      </c>
      <c r="M31" s="191">
        <f t="shared" ref="M31:M38" si="31">M30-0.025</f>
        <v>0.87499999999999989</v>
      </c>
      <c r="N31" s="191">
        <f t="shared" ref="N31:N38" si="32">N30-0.025</f>
        <v>0.92499999999999993</v>
      </c>
      <c r="O31" s="191">
        <f t="shared" ref="O31:O38" si="33">O30-0.025</f>
        <v>0.97499999999999998</v>
      </c>
      <c r="P31" s="191">
        <v>1</v>
      </c>
      <c r="Q31" s="191">
        <v>1</v>
      </c>
      <c r="R31" s="192">
        <v>1</v>
      </c>
      <c r="S31" s="193">
        <v>1</v>
      </c>
    </row>
    <row r="32" spans="1:31">
      <c r="A32" s="182">
        <v>75</v>
      </c>
      <c r="B32" s="190">
        <f t="shared" si="0"/>
        <v>0.34999999999999976</v>
      </c>
      <c r="C32" s="191">
        <f t="shared" si="21"/>
        <v>0.32499999999999973</v>
      </c>
      <c r="D32" s="191">
        <f t="shared" si="22"/>
        <v>0.37499999999999978</v>
      </c>
      <c r="E32" s="191">
        <f t="shared" si="23"/>
        <v>0.42499999999999971</v>
      </c>
      <c r="F32" s="191">
        <f t="shared" si="24"/>
        <v>0.47499999999999976</v>
      </c>
      <c r="G32" s="191">
        <f t="shared" si="25"/>
        <v>0.5249999999999998</v>
      </c>
      <c r="H32" s="191">
        <f t="shared" si="26"/>
        <v>0.57499999999999973</v>
      </c>
      <c r="I32" s="191">
        <f t="shared" si="27"/>
        <v>0.62499999999999978</v>
      </c>
      <c r="J32" s="191">
        <f t="shared" si="28"/>
        <v>0.67499999999999971</v>
      </c>
      <c r="K32" s="191">
        <f t="shared" si="29"/>
        <v>0.74999999999999978</v>
      </c>
      <c r="L32" s="191">
        <f t="shared" si="30"/>
        <v>0.79999999999999982</v>
      </c>
      <c r="M32" s="191">
        <f t="shared" si="31"/>
        <v>0.84999999999999987</v>
      </c>
      <c r="N32" s="191">
        <f t="shared" si="32"/>
        <v>0.89999999999999991</v>
      </c>
      <c r="O32" s="191">
        <f t="shared" si="33"/>
        <v>0.95</v>
      </c>
      <c r="P32" s="191">
        <v>1</v>
      </c>
      <c r="Q32" s="191">
        <v>1</v>
      </c>
      <c r="R32" s="192">
        <v>1</v>
      </c>
      <c r="S32" s="193">
        <v>1</v>
      </c>
    </row>
    <row r="33" spans="1:31">
      <c r="A33" s="182">
        <v>77.5</v>
      </c>
      <c r="B33" s="190">
        <f t="shared" si="0"/>
        <v>0.32499999999999973</v>
      </c>
      <c r="C33" s="191">
        <f t="shared" si="21"/>
        <v>0.29999999999999971</v>
      </c>
      <c r="D33" s="191">
        <f t="shared" si="22"/>
        <v>0.34999999999999976</v>
      </c>
      <c r="E33" s="191">
        <f t="shared" si="23"/>
        <v>0.39999999999999969</v>
      </c>
      <c r="F33" s="191">
        <f t="shared" si="24"/>
        <v>0.44999999999999973</v>
      </c>
      <c r="G33" s="191">
        <f t="shared" si="25"/>
        <v>0.49999999999999978</v>
      </c>
      <c r="H33" s="191">
        <f t="shared" si="26"/>
        <v>0.54999999999999971</v>
      </c>
      <c r="I33" s="191">
        <f t="shared" si="27"/>
        <v>0.59999999999999976</v>
      </c>
      <c r="J33" s="191">
        <f t="shared" si="28"/>
        <v>0.64999999999999969</v>
      </c>
      <c r="K33" s="191">
        <f t="shared" si="29"/>
        <v>0.72499999999999976</v>
      </c>
      <c r="L33" s="191">
        <f t="shared" si="30"/>
        <v>0.7749999999999998</v>
      </c>
      <c r="M33" s="191">
        <f t="shared" si="31"/>
        <v>0.82499999999999984</v>
      </c>
      <c r="N33" s="191">
        <f t="shared" si="32"/>
        <v>0.87499999999999989</v>
      </c>
      <c r="O33" s="191">
        <f t="shared" si="33"/>
        <v>0.92499999999999993</v>
      </c>
      <c r="P33" s="191">
        <f t="shared" ref="P33:Q38" si="34">P32-0.025</f>
        <v>0.97499999999999998</v>
      </c>
      <c r="Q33" s="191">
        <v>1</v>
      </c>
      <c r="R33" s="192">
        <v>1</v>
      </c>
      <c r="S33" s="193">
        <v>1</v>
      </c>
    </row>
    <row r="34" spans="1:31">
      <c r="A34" s="182">
        <v>80</v>
      </c>
      <c r="B34" s="190">
        <f t="shared" si="0"/>
        <v>0.29999999999999971</v>
      </c>
      <c r="C34" s="191">
        <f t="shared" si="21"/>
        <v>0.27499999999999969</v>
      </c>
      <c r="D34" s="191">
        <f t="shared" si="22"/>
        <v>0.32499999999999973</v>
      </c>
      <c r="E34" s="191">
        <f t="shared" si="23"/>
        <v>0.37499999999999967</v>
      </c>
      <c r="F34" s="191">
        <f t="shared" si="24"/>
        <v>0.42499999999999971</v>
      </c>
      <c r="G34" s="191">
        <f t="shared" si="25"/>
        <v>0.47499999999999976</v>
      </c>
      <c r="H34" s="191">
        <f t="shared" si="26"/>
        <v>0.52499999999999969</v>
      </c>
      <c r="I34" s="191">
        <f t="shared" si="27"/>
        <v>0.57499999999999973</v>
      </c>
      <c r="J34" s="191">
        <f t="shared" si="28"/>
        <v>0.62499999999999967</v>
      </c>
      <c r="K34" s="191">
        <f t="shared" si="29"/>
        <v>0.69999999999999973</v>
      </c>
      <c r="L34" s="191">
        <f t="shared" si="30"/>
        <v>0.74999999999999978</v>
      </c>
      <c r="M34" s="191">
        <f t="shared" si="31"/>
        <v>0.79999999999999982</v>
      </c>
      <c r="N34" s="191">
        <f t="shared" si="32"/>
        <v>0.84999999999999987</v>
      </c>
      <c r="O34" s="191">
        <f t="shared" si="33"/>
        <v>0.89999999999999991</v>
      </c>
      <c r="P34" s="191">
        <f t="shared" si="34"/>
        <v>0.95</v>
      </c>
      <c r="Q34" s="191">
        <v>1</v>
      </c>
      <c r="R34" s="192">
        <v>1</v>
      </c>
      <c r="S34" s="193">
        <v>1</v>
      </c>
    </row>
    <row r="35" spans="1:31">
      <c r="A35" s="182">
        <v>82.5</v>
      </c>
      <c r="B35" s="190">
        <f t="shared" si="0"/>
        <v>0.27499999999999969</v>
      </c>
      <c r="C35" s="191">
        <f t="shared" si="21"/>
        <v>0.24999999999999969</v>
      </c>
      <c r="D35" s="191">
        <f t="shared" si="22"/>
        <v>0.29999999999999971</v>
      </c>
      <c r="E35" s="191">
        <f t="shared" si="23"/>
        <v>0.34999999999999964</v>
      </c>
      <c r="F35" s="191">
        <f t="shared" si="24"/>
        <v>0.39999999999999969</v>
      </c>
      <c r="G35" s="191">
        <f t="shared" si="25"/>
        <v>0.44999999999999973</v>
      </c>
      <c r="H35" s="191">
        <f t="shared" si="26"/>
        <v>0.49999999999999967</v>
      </c>
      <c r="I35" s="191">
        <f t="shared" si="27"/>
        <v>0.54999999999999971</v>
      </c>
      <c r="J35" s="191">
        <f t="shared" si="28"/>
        <v>0.59999999999999964</v>
      </c>
      <c r="K35" s="191">
        <f t="shared" si="29"/>
        <v>0.67499999999999971</v>
      </c>
      <c r="L35" s="191">
        <f t="shared" si="30"/>
        <v>0.72499999999999976</v>
      </c>
      <c r="M35" s="191">
        <f t="shared" si="31"/>
        <v>0.7749999999999998</v>
      </c>
      <c r="N35" s="191">
        <f t="shared" si="32"/>
        <v>0.82499999999999984</v>
      </c>
      <c r="O35" s="191">
        <f t="shared" si="33"/>
        <v>0.87499999999999989</v>
      </c>
      <c r="P35" s="191">
        <f t="shared" si="34"/>
        <v>0.92499999999999993</v>
      </c>
      <c r="Q35" s="191">
        <f>Q34-0.025</f>
        <v>0.97499999999999998</v>
      </c>
      <c r="R35" s="192">
        <v>1</v>
      </c>
      <c r="S35" s="193">
        <v>1</v>
      </c>
    </row>
    <row r="36" spans="1:31">
      <c r="A36" s="182">
        <v>85</v>
      </c>
      <c r="B36" s="190">
        <f t="shared" si="0"/>
        <v>0.24999999999999969</v>
      </c>
      <c r="C36" s="191">
        <f t="shared" si="21"/>
        <v>0.2249999999999997</v>
      </c>
      <c r="D36" s="191">
        <f t="shared" si="22"/>
        <v>0.27499999999999969</v>
      </c>
      <c r="E36" s="191">
        <f t="shared" si="23"/>
        <v>0.32499999999999962</v>
      </c>
      <c r="F36" s="191">
        <f t="shared" si="24"/>
        <v>0.37499999999999967</v>
      </c>
      <c r="G36" s="191">
        <f t="shared" si="25"/>
        <v>0.42499999999999971</v>
      </c>
      <c r="H36" s="191">
        <f t="shared" si="26"/>
        <v>0.47499999999999964</v>
      </c>
      <c r="I36" s="191">
        <f t="shared" si="27"/>
        <v>0.52499999999999969</v>
      </c>
      <c r="J36" s="191">
        <f t="shared" si="28"/>
        <v>0.57499999999999962</v>
      </c>
      <c r="K36" s="191">
        <f t="shared" si="29"/>
        <v>0.64999999999999969</v>
      </c>
      <c r="L36" s="191">
        <f t="shared" si="30"/>
        <v>0.69999999999999973</v>
      </c>
      <c r="M36" s="191">
        <f t="shared" si="31"/>
        <v>0.74999999999999978</v>
      </c>
      <c r="N36" s="191">
        <f t="shared" si="32"/>
        <v>0.79999999999999982</v>
      </c>
      <c r="O36" s="191">
        <f t="shared" si="33"/>
        <v>0.84999999999999987</v>
      </c>
      <c r="P36" s="191">
        <f t="shared" si="34"/>
        <v>0.89999999999999991</v>
      </c>
      <c r="Q36" s="191">
        <f t="shared" si="34"/>
        <v>0.95</v>
      </c>
      <c r="R36" s="192">
        <v>1</v>
      </c>
      <c r="S36" s="193">
        <v>1</v>
      </c>
    </row>
    <row r="37" spans="1:31">
      <c r="A37" s="182">
        <v>87.5</v>
      </c>
      <c r="B37" s="190">
        <f t="shared" si="0"/>
        <v>0.2249999999999997</v>
      </c>
      <c r="C37" s="191">
        <f t="shared" si="21"/>
        <v>0.19999999999999971</v>
      </c>
      <c r="D37" s="191">
        <f t="shared" si="22"/>
        <v>0.24999999999999969</v>
      </c>
      <c r="E37" s="191">
        <f t="shared" si="23"/>
        <v>0.2999999999999996</v>
      </c>
      <c r="F37" s="191">
        <f t="shared" si="24"/>
        <v>0.34999999999999964</v>
      </c>
      <c r="G37" s="191">
        <f t="shared" si="25"/>
        <v>0.39999999999999969</v>
      </c>
      <c r="H37" s="191">
        <f t="shared" si="26"/>
        <v>0.44999999999999962</v>
      </c>
      <c r="I37" s="191">
        <f t="shared" si="27"/>
        <v>0.49999999999999967</v>
      </c>
      <c r="J37" s="191">
        <f t="shared" si="28"/>
        <v>0.5499999999999996</v>
      </c>
      <c r="K37" s="191">
        <f t="shared" si="29"/>
        <v>0.62499999999999967</v>
      </c>
      <c r="L37" s="191">
        <f t="shared" si="30"/>
        <v>0.67499999999999971</v>
      </c>
      <c r="M37" s="191">
        <f t="shared" si="31"/>
        <v>0.72499999999999976</v>
      </c>
      <c r="N37" s="191">
        <f t="shared" si="32"/>
        <v>0.7749999999999998</v>
      </c>
      <c r="O37" s="191">
        <f t="shared" si="33"/>
        <v>0.82499999999999984</v>
      </c>
      <c r="P37" s="191">
        <f t="shared" si="34"/>
        <v>0.87499999999999989</v>
      </c>
      <c r="Q37" s="191">
        <f t="shared" si="34"/>
        <v>0.92499999999999993</v>
      </c>
      <c r="R37" s="192">
        <v>1</v>
      </c>
      <c r="S37" s="193">
        <v>1</v>
      </c>
    </row>
    <row r="38" spans="1:31" ht="13.8" thickBot="1">
      <c r="A38" s="182">
        <v>90</v>
      </c>
      <c r="B38" s="194">
        <f t="shared" si="0"/>
        <v>0.19999999999999971</v>
      </c>
      <c r="C38" s="195">
        <f t="shared" si="21"/>
        <v>0.17499999999999971</v>
      </c>
      <c r="D38" s="195">
        <f t="shared" si="22"/>
        <v>0.2249999999999997</v>
      </c>
      <c r="E38" s="195">
        <f t="shared" si="23"/>
        <v>0.27499999999999958</v>
      </c>
      <c r="F38" s="195">
        <f t="shared" si="24"/>
        <v>0.32499999999999962</v>
      </c>
      <c r="G38" s="195">
        <f t="shared" si="25"/>
        <v>0.37499999999999967</v>
      </c>
      <c r="H38" s="195">
        <f t="shared" si="26"/>
        <v>0.4249999999999996</v>
      </c>
      <c r="I38" s="195">
        <f t="shared" si="27"/>
        <v>0.47499999999999964</v>
      </c>
      <c r="J38" s="195">
        <f t="shared" si="28"/>
        <v>0.52499999999999958</v>
      </c>
      <c r="K38" s="195">
        <f t="shared" si="29"/>
        <v>0.59999999999999964</v>
      </c>
      <c r="L38" s="195">
        <f t="shared" si="30"/>
        <v>0.64999999999999969</v>
      </c>
      <c r="M38" s="195">
        <f t="shared" si="31"/>
        <v>0.69999999999999973</v>
      </c>
      <c r="N38" s="195">
        <f t="shared" si="32"/>
        <v>0.74999999999999978</v>
      </c>
      <c r="O38" s="195">
        <f t="shared" si="33"/>
        <v>0.79999999999999982</v>
      </c>
      <c r="P38" s="195">
        <f t="shared" si="34"/>
        <v>0.84999999999999987</v>
      </c>
      <c r="Q38" s="195">
        <f t="shared" si="34"/>
        <v>0.89999999999999991</v>
      </c>
      <c r="R38" s="196">
        <v>1</v>
      </c>
      <c r="S38" s="197">
        <v>1</v>
      </c>
    </row>
    <row r="39" spans="1:31">
      <c r="A39" s="182" t="s">
        <v>574</v>
      </c>
    </row>
    <row r="40" spans="1:31" hidden="1">
      <c r="B40" s="199">
        <f t="shared" ref="B40:R40" si="35">SUM(B2:B38)</f>
        <v>22.524999999999995</v>
      </c>
      <c r="C40" s="199">
        <f t="shared" si="35"/>
        <v>22.574999999999996</v>
      </c>
      <c r="D40" s="199">
        <f t="shared" si="35"/>
        <v>23.874999999999996</v>
      </c>
      <c r="E40" s="199">
        <f t="shared" si="35"/>
        <v>25.149999999999991</v>
      </c>
      <c r="F40" s="199">
        <f t="shared" si="35"/>
        <v>26.399999999999995</v>
      </c>
      <c r="G40" s="199">
        <f t="shared" si="35"/>
        <v>27.624999999999996</v>
      </c>
      <c r="H40" s="199">
        <f t="shared" si="35"/>
        <v>28.824999999999996</v>
      </c>
      <c r="I40" s="199">
        <f t="shared" si="35"/>
        <v>29.999999999999993</v>
      </c>
      <c r="J40" s="199">
        <f t="shared" si="35"/>
        <v>31.15</v>
      </c>
      <c r="K40" s="199">
        <f t="shared" si="35"/>
        <v>32.700000000000003</v>
      </c>
      <c r="L40" s="199">
        <f t="shared" si="35"/>
        <v>33.674999999999997</v>
      </c>
      <c r="M40" s="199">
        <f t="shared" si="35"/>
        <v>34.525000000000006</v>
      </c>
      <c r="N40" s="199">
        <f t="shared" si="35"/>
        <v>35.249999999999993</v>
      </c>
      <c r="O40" s="199">
        <f t="shared" si="35"/>
        <v>35.85</v>
      </c>
      <c r="P40" s="199">
        <f t="shared" si="35"/>
        <v>36.325000000000003</v>
      </c>
      <c r="Q40" s="199">
        <f t="shared" si="35"/>
        <v>36.674999999999997</v>
      </c>
      <c r="R40" s="199">
        <f t="shared" si="35"/>
        <v>37</v>
      </c>
      <c r="S40" s="199">
        <f>SUM(S2:S38)</f>
        <v>37</v>
      </c>
    </row>
    <row r="41" spans="1:31" hidden="1"/>
    <row r="42" spans="1:31" s="211" customFormat="1" ht="17.399999999999999">
      <c r="A42" s="209"/>
      <c r="B42" s="210">
        <f t="shared" ref="B42:N42" si="36">B40/$S$40</f>
        <v>0.60878378378378362</v>
      </c>
      <c r="C42" s="210">
        <f t="shared" si="36"/>
        <v>0.61013513513513506</v>
      </c>
      <c r="D42" s="210">
        <f t="shared" si="36"/>
        <v>0.64527027027027017</v>
      </c>
      <c r="E42" s="210">
        <f t="shared" si="36"/>
        <v>0.67972972972972945</v>
      </c>
      <c r="F42" s="210">
        <f t="shared" si="36"/>
        <v>0.71351351351351333</v>
      </c>
      <c r="G42" s="210">
        <f t="shared" si="36"/>
        <v>0.74662162162162149</v>
      </c>
      <c r="H42" s="210">
        <f t="shared" si="36"/>
        <v>0.77905405405405392</v>
      </c>
      <c r="I42" s="210">
        <f t="shared" si="36"/>
        <v>0.81081081081081063</v>
      </c>
      <c r="J42" s="210">
        <f t="shared" si="36"/>
        <v>0.84189189189189184</v>
      </c>
      <c r="K42" s="210">
        <f t="shared" si="36"/>
        <v>0.88378378378378386</v>
      </c>
      <c r="L42" s="210">
        <f t="shared" si="36"/>
        <v>0.91013513513513511</v>
      </c>
      <c r="M42" s="210">
        <f t="shared" si="36"/>
        <v>0.93310810810810829</v>
      </c>
      <c r="N42" s="210">
        <f t="shared" si="36"/>
        <v>0.95270270270270252</v>
      </c>
      <c r="O42" s="210">
        <f>O40/$S$40</f>
        <v>0.9689189189189189</v>
      </c>
      <c r="P42" s="210">
        <f>P40/$S$40</f>
        <v>0.98175675675675689</v>
      </c>
      <c r="Q42" s="210">
        <f>Q40/$S$40</f>
        <v>0.99121621621621614</v>
      </c>
      <c r="R42" s="210">
        <f>R40/$S$40</f>
        <v>1</v>
      </c>
      <c r="S42" s="210">
        <f>S40/$S$40</f>
        <v>1</v>
      </c>
      <c r="Z42" s="212"/>
      <c r="AA42" s="212"/>
      <c r="AB42" s="213"/>
      <c r="AE42" s="214"/>
    </row>
  </sheetData>
  <conditionalFormatting sqref="B2:S38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AV99"/>
  <sheetViews>
    <sheetView zoomScale="70" zoomScaleNormal="70" workbookViewId="0">
      <selection activeCell="H28" sqref="H28"/>
    </sheetView>
  </sheetViews>
  <sheetFormatPr defaultRowHeight="13.2"/>
  <cols>
    <col min="1" max="1" width="4.6640625" style="1" bestFit="1" customWidth="1"/>
    <col min="2" max="48" width="4.5546875" style="1" bestFit="1" customWidth="1"/>
    <col min="49" max="16384" width="8.88671875" style="1"/>
  </cols>
  <sheetData>
    <row r="1" spans="1:48">
      <c r="A1" s="5" t="s">
        <v>590</v>
      </c>
    </row>
    <row r="3" spans="1:48">
      <c r="B3" s="216">
        <v>17</v>
      </c>
      <c r="C3" s="216">
        <v>17.5</v>
      </c>
      <c r="D3" s="216">
        <v>18</v>
      </c>
      <c r="E3" s="216">
        <v>18.5</v>
      </c>
      <c r="F3" s="216">
        <v>19</v>
      </c>
      <c r="G3" s="216">
        <v>19.5</v>
      </c>
      <c r="H3" s="216">
        <v>20</v>
      </c>
      <c r="I3" s="216">
        <v>20.5</v>
      </c>
      <c r="J3" s="216">
        <v>21</v>
      </c>
      <c r="K3" s="216">
        <v>21.5</v>
      </c>
      <c r="L3" s="216">
        <v>22</v>
      </c>
      <c r="M3" s="216">
        <v>22.5</v>
      </c>
      <c r="N3" s="216">
        <v>23</v>
      </c>
      <c r="O3" s="216">
        <v>23.5</v>
      </c>
      <c r="P3" s="216">
        <v>24</v>
      </c>
      <c r="Q3" s="216">
        <v>24.5</v>
      </c>
      <c r="R3" s="216">
        <v>25</v>
      </c>
      <c r="S3" s="216">
        <v>25.5</v>
      </c>
      <c r="T3" s="216">
        <v>26</v>
      </c>
      <c r="U3" s="216">
        <v>26.5</v>
      </c>
      <c r="V3" s="216">
        <v>27</v>
      </c>
      <c r="W3" s="216">
        <v>27.5</v>
      </c>
      <c r="X3" s="216">
        <v>28</v>
      </c>
      <c r="Y3" s="216">
        <v>28.5</v>
      </c>
      <c r="Z3" s="216">
        <v>29</v>
      </c>
      <c r="AA3" s="216">
        <v>29.5</v>
      </c>
      <c r="AB3" s="216">
        <v>30</v>
      </c>
      <c r="AC3" s="216">
        <v>30.5</v>
      </c>
      <c r="AD3" s="216">
        <v>31</v>
      </c>
      <c r="AE3" s="216">
        <v>31.5</v>
      </c>
      <c r="AF3" s="216">
        <v>32</v>
      </c>
      <c r="AG3" s="216">
        <v>32.5</v>
      </c>
      <c r="AH3" s="216">
        <v>33</v>
      </c>
      <c r="AI3" s="216">
        <v>33.5</v>
      </c>
      <c r="AJ3" s="216">
        <v>34</v>
      </c>
      <c r="AK3" s="216">
        <v>34.5</v>
      </c>
      <c r="AL3" s="216">
        <v>35</v>
      </c>
      <c r="AM3" s="216">
        <v>35.5</v>
      </c>
      <c r="AN3" s="216">
        <v>36</v>
      </c>
      <c r="AO3" s="216">
        <v>36.5</v>
      </c>
      <c r="AP3" s="216">
        <v>37</v>
      </c>
      <c r="AQ3" s="216">
        <v>37.5</v>
      </c>
      <c r="AR3" s="216">
        <v>38</v>
      </c>
      <c r="AS3" s="216">
        <v>38.5</v>
      </c>
      <c r="AT3" s="216">
        <v>39</v>
      </c>
      <c r="AU3" s="216">
        <v>39.5</v>
      </c>
      <c r="AV3" s="216">
        <v>40</v>
      </c>
    </row>
    <row r="4" spans="1:48">
      <c r="A4" s="94">
        <v>0.05</v>
      </c>
    </row>
    <row r="5" spans="1:48">
      <c r="A5" s="94">
        <v>0.06</v>
      </c>
    </row>
    <row r="6" spans="1:48">
      <c r="A6" s="94">
        <v>7.0000000000000007E-2</v>
      </c>
    </row>
    <row r="7" spans="1:48">
      <c r="A7" s="94">
        <v>0.08</v>
      </c>
    </row>
    <row r="8" spans="1:48">
      <c r="A8" s="94">
        <v>0.09</v>
      </c>
    </row>
    <row r="9" spans="1:48">
      <c r="A9" s="94">
        <v>0.1</v>
      </c>
    </row>
    <row r="10" spans="1:48">
      <c r="A10" s="94">
        <v>0.11</v>
      </c>
    </row>
    <row r="11" spans="1:48">
      <c r="A11" s="94">
        <v>0.12</v>
      </c>
    </row>
    <row r="12" spans="1:48">
      <c r="A12" s="94">
        <v>0.13</v>
      </c>
    </row>
    <row r="13" spans="1:48">
      <c r="A13" s="94">
        <v>0.14000000000000001</v>
      </c>
      <c r="S13" s="1">
        <v>8</v>
      </c>
      <c r="T13" s="1">
        <v>7</v>
      </c>
    </row>
    <row r="14" spans="1:48">
      <c r="A14" s="94">
        <v>0.15</v>
      </c>
    </row>
    <row r="15" spans="1:48">
      <c r="A15" s="94">
        <v>0.16</v>
      </c>
    </row>
    <row r="16" spans="1:48">
      <c r="A16" s="94">
        <v>0.17</v>
      </c>
    </row>
    <row r="17" spans="1:1">
      <c r="A17" s="94">
        <v>0.18</v>
      </c>
    </row>
    <row r="18" spans="1:1">
      <c r="A18" s="94">
        <v>0.19</v>
      </c>
    </row>
    <row r="19" spans="1:1">
      <c r="A19" s="94">
        <v>0.2</v>
      </c>
    </row>
    <row r="20" spans="1:1">
      <c r="A20" s="94">
        <v>0.21</v>
      </c>
    </row>
    <row r="21" spans="1:1">
      <c r="A21" s="94">
        <v>0.22</v>
      </c>
    </row>
    <row r="22" spans="1:1">
      <c r="A22" s="94">
        <v>0.23</v>
      </c>
    </row>
    <row r="23" spans="1:1">
      <c r="A23" s="94">
        <v>0.24</v>
      </c>
    </row>
    <row r="24" spans="1:1">
      <c r="A24" s="94">
        <v>0.25</v>
      </c>
    </row>
    <row r="25" spans="1:1">
      <c r="A25" s="94">
        <v>0.26</v>
      </c>
    </row>
    <row r="26" spans="1:1">
      <c r="A26" s="94">
        <v>0.27</v>
      </c>
    </row>
    <row r="27" spans="1:1">
      <c r="A27" s="94">
        <v>0.28000000000000003</v>
      </c>
    </row>
    <row r="28" spans="1:1">
      <c r="A28" s="94">
        <v>0.28999999999999998</v>
      </c>
    </row>
    <row r="29" spans="1:1">
      <c r="A29" s="94">
        <v>0.3</v>
      </c>
    </row>
    <row r="30" spans="1:1">
      <c r="A30" s="94">
        <v>0.31</v>
      </c>
    </row>
    <row r="31" spans="1:1">
      <c r="A31" s="94">
        <v>0.32</v>
      </c>
    </row>
    <row r="32" spans="1:1">
      <c r="A32" s="94">
        <v>0.33</v>
      </c>
    </row>
    <row r="33" spans="1:1">
      <c r="A33" s="94">
        <v>0.34</v>
      </c>
    </row>
    <row r="34" spans="1:1">
      <c r="A34" s="94">
        <v>0.35</v>
      </c>
    </row>
    <row r="35" spans="1:1">
      <c r="A35" s="94">
        <v>0.36</v>
      </c>
    </row>
    <row r="36" spans="1:1">
      <c r="A36" s="94">
        <v>0.37</v>
      </c>
    </row>
    <row r="37" spans="1:1">
      <c r="A37" s="94">
        <v>0.38</v>
      </c>
    </row>
    <row r="38" spans="1:1">
      <c r="A38" s="94">
        <v>0.39</v>
      </c>
    </row>
    <row r="39" spans="1:1">
      <c r="A39" s="94">
        <v>0.4</v>
      </c>
    </row>
    <row r="40" spans="1:1">
      <c r="A40" s="94">
        <v>0.41</v>
      </c>
    </row>
    <row r="41" spans="1:1">
      <c r="A41" s="94">
        <v>0.42</v>
      </c>
    </row>
    <row r="42" spans="1:1">
      <c r="A42" s="94">
        <v>0.43</v>
      </c>
    </row>
    <row r="43" spans="1:1">
      <c r="A43" s="94">
        <v>0.44</v>
      </c>
    </row>
    <row r="44" spans="1:1">
      <c r="A44" s="94">
        <v>0.45</v>
      </c>
    </row>
    <row r="45" spans="1:1">
      <c r="A45" s="94">
        <v>0.46</v>
      </c>
    </row>
    <row r="46" spans="1:1">
      <c r="A46" s="94">
        <v>0.47</v>
      </c>
    </row>
    <row r="47" spans="1:1">
      <c r="A47" s="94">
        <v>0.48</v>
      </c>
    </row>
    <row r="48" spans="1:1">
      <c r="A48" s="94">
        <v>0.49</v>
      </c>
    </row>
    <row r="49" spans="1:48">
      <c r="A49" s="94">
        <v>0.5</v>
      </c>
    </row>
    <row r="51" spans="1:48">
      <c r="A51" s="5" t="s">
        <v>591</v>
      </c>
    </row>
    <row r="53" spans="1:48">
      <c r="B53" s="216">
        <v>17</v>
      </c>
      <c r="C53" s="216">
        <v>17.5</v>
      </c>
      <c r="D53" s="216">
        <v>18</v>
      </c>
      <c r="E53" s="216">
        <v>18.5</v>
      </c>
      <c r="F53" s="216">
        <v>19</v>
      </c>
      <c r="G53" s="216">
        <v>19.5</v>
      </c>
      <c r="H53" s="216">
        <v>20</v>
      </c>
      <c r="I53" s="216">
        <v>20.5</v>
      </c>
      <c r="J53" s="216">
        <v>21</v>
      </c>
      <c r="K53" s="216">
        <v>21.5</v>
      </c>
      <c r="L53" s="216">
        <v>22</v>
      </c>
      <c r="M53" s="216">
        <v>22.5</v>
      </c>
      <c r="N53" s="216">
        <v>23</v>
      </c>
      <c r="O53" s="216">
        <v>23.5</v>
      </c>
      <c r="P53" s="216">
        <v>24</v>
      </c>
      <c r="Q53" s="216">
        <v>24.5</v>
      </c>
      <c r="R53" s="216">
        <v>25</v>
      </c>
      <c r="S53" s="216">
        <v>25.5</v>
      </c>
      <c r="T53" s="216">
        <v>26</v>
      </c>
      <c r="U53" s="216">
        <v>26.5</v>
      </c>
      <c r="V53" s="216">
        <v>27</v>
      </c>
      <c r="W53" s="216">
        <v>27.5</v>
      </c>
      <c r="X53" s="216">
        <v>28</v>
      </c>
      <c r="Y53" s="216">
        <v>28.5</v>
      </c>
      <c r="Z53" s="216">
        <v>29</v>
      </c>
      <c r="AA53" s="216">
        <v>29.5</v>
      </c>
      <c r="AB53" s="216">
        <v>30</v>
      </c>
      <c r="AC53" s="216">
        <v>30.5</v>
      </c>
      <c r="AD53" s="216">
        <v>31</v>
      </c>
      <c r="AE53" s="216">
        <v>31.5</v>
      </c>
      <c r="AF53" s="216">
        <v>32</v>
      </c>
      <c r="AG53" s="216">
        <v>32.5</v>
      </c>
      <c r="AH53" s="216">
        <v>33</v>
      </c>
      <c r="AI53" s="216">
        <v>33.5</v>
      </c>
      <c r="AJ53" s="216">
        <v>34</v>
      </c>
      <c r="AK53" s="216">
        <v>34.5</v>
      </c>
      <c r="AL53" s="216">
        <v>35</v>
      </c>
      <c r="AM53" s="216">
        <v>35.5</v>
      </c>
      <c r="AN53" s="216">
        <v>36</v>
      </c>
      <c r="AO53" s="216">
        <v>36.5</v>
      </c>
      <c r="AP53" s="216">
        <v>37</v>
      </c>
      <c r="AQ53" s="216">
        <v>37.5</v>
      </c>
      <c r="AR53" s="216">
        <v>38</v>
      </c>
      <c r="AS53" s="216">
        <v>38.5</v>
      </c>
      <c r="AT53" s="216">
        <v>39</v>
      </c>
      <c r="AU53" s="216">
        <v>39.5</v>
      </c>
      <c r="AV53" s="216">
        <v>40</v>
      </c>
    </row>
    <row r="54" spans="1:48">
      <c r="A54" s="94">
        <v>0.05</v>
      </c>
    </row>
    <row r="55" spans="1:48">
      <c r="A55" s="94">
        <v>0.06</v>
      </c>
    </row>
    <row r="56" spans="1:48">
      <c r="A56" s="94">
        <v>7.0000000000000007E-2</v>
      </c>
    </row>
    <row r="57" spans="1:48">
      <c r="A57" s="94">
        <v>0.08</v>
      </c>
    </row>
    <row r="58" spans="1:48">
      <c r="A58" s="94">
        <v>0.09</v>
      </c>
    </row>
    <row r="59" spans="1:48">
      <c r="A59" s="94">
        <v>0.1</v>
      </c>
    </row>
    <row r="60" spans="1:48">
      <c r="A60" s="94">
        <v>0.11</v>
      </c>
    </row>
    <row r="61" spans="1:48">
      <c r="A61" s="94">
        <v>0.12</v>
      </c>
    </row>
    <row r="62" spans="1:48">
      <c r="A62" s="94">
        <v>0.13</v>
      </c>
    </row>
    <row r="63" spans="1:48">
      <c r="A63" s="94">
        <v>0.14000000000000001</v>
      </c>
      <c r="S63" s="1">
        <v>8</v>
      </c>
      <c r="T63" s="1">
        <v>7</v>
      </c>
    </row>
    <row r="64" spans="1:48">
      <c r="A64" s="94">
        <v>0.15</v>
      </c>
    </row>
    <row r="65" spans="1:1">
      <c r="A65" s="94">
        <v>0.16</v>
      </c>
    </row>
    <row r="66" spans="1:1">
      <c r="A66" s="94">
        <v>0.17</v>
      </c>
    </row>
    <row r="67" spans="1:1">
      <c r="A67" s="94">
        <v>0.18</v>
      </c>
    </row>
    <row r="68" spans="1:1">
      <c r="A68" s="94">
        <v>0.19</v>
      </c>
    </row>
    <row r="69" spans="1:1">
      <c r="A69" s="94">
        <v>0.2</v>
      </c>
    </row>
    <row r="70" spans="1:1">
      <c r="A70" s="94">
        <v>0.21</v>
      </c>
    </row>
    <row r="71" spans="1:1">
      <c r="A71" s="94">
        <v>0.22</v>
      </c>
    </row>
    <row r="72" spans="1:1">
      <c r="A72" s="94">
        <v>0.23</v>
      </c>
    </row>
    <row r="73" spans="1:1">
      <c r="A73" s="94">
        <v>0.24</v>
      </c>
    </row>
    <row r="74" spans="1:1">
      <c r="A74" s="94">
        <v>0.25</v>
      </c>
    </row>
    <row r="75" spans="1:1">
      <c r="A75" s="94">
        <v>0.26</v>
      </c>
    </row>
    <row r="76" spans="1:1">
      <c r="A76" s="94">
        <v>0.27</v>
      </c>
    </row>
    <row r="77" spans="1:1">
      <c r="A77" s="94">
        <v>0.28000000000000003</v>
      </c>
    </row>
    <row r="78" spans="1:1">
      <c r="A78" s="94">
        <v>0.28999999999999998</v>
      </c>
    </row>
    <row r="79" spans="1:1">
      <c r="A79" s="94">
        <v>0.3</v>
      </c>
    </row>
    <row r="80" spans="1:1">
      <c r="A80" s="94">
        <v>0.31</v>
      </c>
    </row>
    <row r="81" spans="1:1">
      <c r="A81" s="94">
        <v>0.32</v>
      </c>
    </row>
    <row r="82" spans="1:1">
      <c r="A82" s="94">
        <v>0.33</v>
      </c>
    </row>
    <row r="83" spans="1:1">
      <c r="A83" s="94">
        <v>0.34</v>
      </c>
    </row>
    <row r="84" spans="1:1">
      <c r="A84" s="94">
        <v>0.35</v>
      </c>
    </row>
    <row r="85" spans="1:1">
      <c r="A85" s="94">
        <v>0.36</v>
      </c>
    </row>
    <row r="86" spans="1:1">
      <c r="A86" s="94">
        <v>0.37</v>
      </c>
    </row>
    <row r="87" spans="1:1">
      <c r="A87" s="94">
        <v>0.38</v>
      </c>
    </row>
    <row r="88" spans="1:1">
      <c r="A88" s="94">
        <v>0.39</v>
      </c>
    </row>
    <row r="89" spans="1:1">
      <c r="A89" s="94">
        <v>0.4</v>
      </c>
    </row>
    <row r="90" spans="1:1">
      <c r="A90" s="94">
        <v>0.41</v>
      </c>
    </row>
    <row r="91" spans="1:1">
      <c r="A91" s="94">
        <v>0.42</v>
      </c>
    </row>
    <row r="92" spans="1:1">
      <c r="A92" s="94">
        <v>0.43</v>
      </c>
    </row>
    <row r="93" spans="1:1">
      <c r="A93" s="94">
        <v>0.44</v>
      </c>
    </row>
    <row r="94" spans="1:1">
      <c r="A94" s="94">
        <v>0.45</v>
      </c>
    </row>
    <row r="95" spans="1:1">
      <c r="A95" s="94">
        <v>0.46</v>
      </c>
    </row>
    <row r="96" spans="1:1">
      <c r="A96" s="94">
        <v>0.47</v>
      </c>
    </row>
    <row r="97" spans="1:1">
      <c r="A97" s="94">
        <v>0.48</v>
      </c>
    </row>
    <row r="98" spans="1:1">
      <c r="A98" s="94">
        <v>0.49</v>
      </c>
    </row>
    <row r="99" spans="1:1">
      <c r="A99" s="94">
        <v>0.5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B1:S18"/>
  <sheetViews>
    <sheetView workbookViewId="0">
      <selection activeCell="C4" sqref="C4"/>
    </sheetView>
  </sheetViews>
  <sheetFormatPr defaultRowHeight="13.2"/>
  <cols>
    <col min="1" max="1" width="2.5546875" style="189" customWidth="1"/>
    <col min="2" max="2" width="13.21875" style="183" bestFit="1" customWidth="1"/>
    <col min="3" max="19" width="8.88671875" style="189"/>
    <col min="20" max="20" width="2.6640625" style="189" customWidth="1"/>
    <col min="21" max="16384" width="8.88671875" style="189"/>
  </cols>
  <sheetData>
    <row r="1" spans="2:19" ht="8.4" customHeight="1" thickBot="1"/>
    <row r="2" spans="2:19" s="184" customFormat="1" ht="13.8" thickBot="1">
      <c r="B2" s="217" t="s">
        <v>592</v>
      </c>
      <c r="C2" s="218">
        <v>8.5</v>
      </c>
      <c r="D2" s="218">
        <v>8</v>
      </c>
      <c r="E2" s="218">
        <v>7.5</v>
      </c>
      <c r="F2" s="218">
        <v>7</v>
      </c>
      <c r="G2" s="218">
        <v>6.5</v>
      </c>
      <c r="H2" s="218">
        <v>6</v>
      </c>
      <c r="I2" s="218">
        <v>5.5</v>
      </c>
      <c r="J2" s="218">
        <v>5</v>
      </c>
      <c r="K2" s="218">
        <v>4.5</v>
      </c>
      <c r="L2" s="218">
        <v>4</v>
      </c>
      <c r="M2" s="218">
        <v>3.5</v>
      </c>
      <c r="N2" s="218">
        <v>3</v>
      </c>
      <c r="O2" s="218">
        <v>2.5</v>
      </c>
      <c r="P2" s="218">
        <v>2</v>
      </c>
      <c r="Q2" s="218">
        <v>1.5</v>
      </c>
      <c r="R2" s="218">
        <v>1</v>
      </c>
      <c r="S2" s="219">
        <v>0.5</v>
      </c>
    </row>
    <row r="3" spans="2:19">
      <c r="B3" s="220">
        <v>8</v>
      </c>
      <c r="C3" s="221">
        <f>POWER((C$2+6.5)/14,0.6)/POWER((15/14),0.6)*(SQRT($B3)/SQRT(8))</f>
        <v>1</v>
      </c>
      <c r="D3" s="222">
        <f t="shared" ref="D3:S18" si="0">POWER((D$2+6.5)/14,0.6)/POWER((15/14),0.6)*(SQRT($B3)/SQRT(8))</f>
        <v>0.97986455014727314</v>
      </c>
      <c r="E3" s="222">
        <f t="shared" si="0"/>
        <v>0.95944937873158653</v>
      </c>
      <c r="F3" s="222">
        <f t="shared" si="0"/>
        <v>0.93874039335956949</v>
      </c>
      <c r="G3" s="222">
        <f t="shared" si="0"/>
        <v>0.91772223886856297</v>
      </c>
      <c r="H3" s="222">
        <f t="shared" si="0"/>
        <v>0.8963781307771419</v>
      </c>
      <c r="I3" s="222">
        <f t="shared" si="0"/>
        <v>0.87468965915462238</v>
      </c>
      <c r="J3" s="222">
        <f t="shared" si="0"/>
        <v>0.85263655618876089</v>
      </c>
      <c r="K3" s="222">
        <f t="shared" si="0"/>
        <v>0.83019641884114292</v>
      </c>
      <c r="L3" s="222">
        <f t="shared" si="0"/>
        <v>0.8073443754472972</v>
      </c>
      <c r="M3" s="222">
        <f t="shared" si="0"/>
        <v>0.78405268168311582</v>
      </c>
      <c r="N3" s="222">
        <f t="shared" si="0"/>
        <v>0.76029022659663359</v>
      </c>
      <c r="O3" s="222">
        <f t="shared" si="0"/>
        <v>0.73602192281783341</v>
      </c>
      <c r="P3" s="222">
        <f t="shared" si="0"/>
        <v>0.71120794572645207</v>
      </c>
      <c r="Q3" s="222">
        <f t="shared" si="0"/>
        <v>0.68580277290067215</v>
      </c>
      <c r="R3" s="222">
        <f t="shared" si="0"/>
        <v>0.6597539553864471</v>
      </c>
      <c r="S3" s="223">
        <f t="shared" si="0"/>
        <v>0.63300052261123352</v>
      </c>
    </row>
    <row r="4" spans="2:19">
      <c r="B4" s="220">
        <v>7.5</v>
      </c>
      <c r="C4" s="224">
        <f>POWER((C$2+6.5)/14,0.6)/POWER((15/14),0.6)*(SQRT($B4)/SQRT(8))</f>
        <v>0.96824583655185414</v>
      </c>
      <c r="D4" s="225">
        <f t="shared" si="0"/>
        <v>0.9487497710648527</v>
      </c>
      <c r="E4" s="225">
        <f t="shared" si="0"/>
        <v>0.92898286633912175</v>
      </c>
      <c r="F4" s="225">
        <f t="shared" si="0"/>
        <v>0.90893147747345304</v>
      </c>
      <c r="G4" s="225">
        <f t="shared" si="0"/>
        <v>0.8885807368955323</v>
      </c>
      <c r="H4" s="225">
        <f t="shared" si="0"/>
        <v>0.86791439310110108</v>
      </c>
      <c r="I4" s="225">
        <f t="shared" si="0"/>
        <v>0.84691462075142354</v>
      </c>
      <c r="J4" s="225">
        <f t="shared" si="0"/>
        <v>0.82556179562167875</v>
      </c>
      <c r="K4" s="225">
        <f t="shared" si="0"/>
        <v>0.80383422606319588</v>
      </c>
      <c r="L4" s="225">
        <f t="shared" si="0"/>
        <v>0.78170783019040246</v>
      </c>
      <c r="M4" s="225">
        <f t="shared" si="0"/>
        <v>0.75915574467699309</v>
      </c>
      <c r="N4" s="225">
        <f t="shared" si="0"/>
        <v>0.73614784647325626</v>
      </c>
      <c r="O4" s="225">
        <f t="shared" si="0"/>
        <v>0.71265016237925738</v>
      </c>
      <c r="P4" s="225">
        <f t="shared" si="0"/>
        <v>0.6886241323722343</v>
      </c>
      <c r="Q4" s="225">
        <f t="shared" si="0"/>
        <v>0.66402567955679259</v>
      </c>
      <c r="R4" s="225">
        <f t="shared" si="0"/>
        <v>0.63880402045154516</v>
      </c>
      <c r="S4" s="226">
        <f t="shared" si="0"/>
        <v>0.61290012055347465</v>
      </c>
    </row>
    <row r="5" spans="2:19">
      <c r="B5" s="220">
        <v>7</v>
      </c>
      <c r="C5" s="224">
        <f t="shared" ref="C5:R18" si="1">POWER((C$2+6.5)/14,0.6)/POWER((15/14),0.6)*(SQRT($B5)/SQRT(8))</f>
        <v>0.93541434669348533</v>
      </c>
      <c r="D5" s="225">
        <f t="shared" si="1"/>
        <v>0.91657935802411739</v>
      </c>
      <c r="E5" s="225">
        <f t="shared" si="1"/>
        <v>0.89748271379167743</v>
      </c>
      <c r="F5" s="225">
        <f t="shared" si="1"/>
        <v>0.87811123176922712</v>
      </c>
      <c r="G5" s="225">
        <f t="shared" si="1"/>
        <v>0.8584505485173195</v>
      </c>
      <c r="H5" s="225">
        <f t="shared" si="1"/>
        <v>0.83848496359122771</v>
      </c>
      <c r="I5" s="225">
        <f t="shared" si="1"/>
        <v>0.81819725607766847</v>
      </c>
      <c r="J5" s="225">
        <f t="shared" si="1"/>
        <v>0.79756846717429297</v>
      </c>
      <c r="K5" s="225">
        <f t="shared" si="1"/>
        <v>0.77657764075755886</v>
      </c>
      <c r="L5" s="225">
        <f t="shared" si="1"/>
        <v>0.75520151151569348</v>
      </c>
      <c r="M5" s="225">
        <f t="shared" si="1"/>
        <v>0.73341412700988695</v>
      </c>
      <c r="N5" s="225">
        <f t="shared" si="1"/>
        <v>0.71118638560933189</v>
      </c>
      <c r="O5" s="225">
        <f t="shared" si="1"/>
        <v>0.68848546608472649</v>
      </c>
      <c r="P5" s="225">
        <f t="shared" si="1"/>
        <v>0.66527411591492491</v>
      </c>
      <c r="Q5" s="225">
        <f t="shared" si="1"/>
        <v>0.64150975277346289</v>
      </c>
      <c r="R5" s="225">
        <f t="shared" si="1"/>
        <v>0.61714331515625631</v>
      </c>
      <c r="S5" s="226">
        <f t="shared" si="0"/>
        <v>0.59211777031502177</v>
      </c>
    </row>
    <row r="6" spans="2:19">
      <c r="B6" s="220">
        <v>6.5</v>
      </c>
      <c r="C6" s="224">
        <f t="shared" si="1"/>
        <v>0.90138781886599717</v>
      </c>
      <c r="D6" s="225">
        <f t="shared" si="0"/>
        <v>0.88323796964136203</v>
      </c>
      <c r="E6" s="225">
        <f t="shared" si="0"/>
        <v>0.86483598280720086</v>
      </c>
      <c r="F6" s="225">
        <f t="shared" si="0"/>
        <v>0.84616915565179052</v>
      </c>
      <c r="G6" s="225">
        <f t="shared" si="0"/>
        <v>0.82722364721855357</v>
      </c>
      <c r="H6" s="225">
        <f t="shared" si="0"/>
        <v>0.80798432818038746</v>
      </c>
      <c r="I6" s="225">
        <f t="shared" si="0"/>
        <v>0.78843460405002752</v>
      </c>
      <c r="J6" s="225">
        <f t="shared" si="0"/>
        <v>0.76855620566840244</v>
      </c>
      <c r="K6" s="225">
        <f t="shared" si="0"/>
        <v>0.74832893920957966</v>
      </c>
      <c r="L6" s="225">
        <f t="shared" si="0"/>
        <v>0.72773038565816994</v>
      </c>
      <c r="M6" s="225">
        <f t="shared" si="0"/>
        <v>0.70673553661837973</v>
      </c>
      <c r="N6" s="225">
        <f t="shared" si="0"/>
        <v>0.68531634905707428</v>
      </c>
      <c r="O6" s="225">
        <f t="shared" si="0"/>
        <v>0.6634411956463242</v>
      </c>
      <c r="P6" s="225">
        <f t="shared" si="0"/>
        <v>0.64107417895853314</v>
      </c>
      <c r="Q6" s="225">
        <f t="shared" si="0"/>
        <v>0.61817426563718969</v>
      </c>
      <c r="R6" s="225">
        <f t="shared" si="0"/>
        <v>0.59469417883400399</v>
      </c>
      <c r="S6" s="226">
        <f t="shared" si="0"/>
        <v>0.57057896041757605</v>
      </c>
    </row>
    <row r="7" spans="2:19">
      <c r="B7" s="220">
        <v>6</v>
      </c>
      <c r="C7" s="224">
        <f t="shared" si="1"/>
        <v>0.86602540378443849</v>
      </c>
      <c r="D7" s="225">
        <f t="shared" si="0"/>
        <v>0.84858759269534945</v>
      </c>
      <c r="E7" s="225">
        <f t="shared" si="0"/>
        <v>0.8309075356267509</v>
      </c>
      <c r="F7" s="225">
        <f t="shared" si="0"/>
        <v>0.81297302820798378</v>
      </c>
      <c r="G7" s="225">
        <f t="shared" si="0"/>
        <v>0.79477077247810612</v>
      </c>
      <c r="H7" s="225">
        <f t="shared" si="0"/>
        <v>0.77628623264981456</v>
      </c>
      <c r="I7" s="225">
        <f t="shared" si="0"/>
        <v>0.75750346525545476</v>
      </c>
      <c r="J7" s="225">
        <f t="shared" si="0"/>
        <v>0.73840491785474471</v>
      </c>
      <c r="K7" s="225">
        <f t="shared" si="0"/>
        <v>0.71897118884729561</v>
      </c>
      <c r="L7" s="225">
        <f t="shared" si="0"/>
        <v>0.69918073873984088</v>
      </c>
      <c r="M7" s="225">
        <f t="shared" si="0"/>
        <v>0.67900954024289217</v>
      </c>
      <c r="N7" s="225">
        <f t="shared" si="0"/>
        <v>0.65843065048171179</v>
      </c>
      <c r="O7" s="225">
        <f t="shared" si="0"/>
        <v>0.63741368290251299</v>
      </c>
      <c r="P7" s="225">
        <f t="shared" si="0"/>
        <v>0.61592414837245169</v>
      </c>
      <c r="Q7" s="225">
        <f t="shared" si="0"/>
        <v>0.59392262331779222</v>
      </c>
      <c r="R7" s="225">
        <f t="shared" si="0"/>
        <v>0.5713636856119283</v>
      </c>
      <c r="S7" s="226">
        <f t="shared" si="0"/>
        <v>0.5481945331901541</v>
      </c>
    </row>
    <row r="8" spans="2:19">
      <c r="B8" s="220">
        <v>5.5</v>
      </c>
      <c r="C8" s="224">
        <f t="shared" si="1"/>
        <v>0.82915619758884995</v>
      </c>
      <c r="D8" s="225">
        <f t="shared" si="0"/>
        <v>0.81246076455222194</v>
      </c>
      <c r="E8" s="225">
        <f t="shared" si="0"/>
        <v>0.79553339864806671</v>
      </c>
      <c r="F8" s="225">
        <f t="shared" si="0"/>
        <v>0.77836241508108195</v>
      </c>
      <c r="G8" s="225">
        <f t="shared" si="0"/>
        <v>0.76093508202298399</v>
      </c>
      <c r="H8" s="225">
        <f t="shared" si="0"/>
        <v>0.74323748251697586</v>
      </c>
      <c r="I8" s="225">
        <f t="shared" si="0"/>
        <v>0.72525435185493392</v>
      </c>
      <c r="J8" s="225">
        <f t="shared" si="0"/>
        <v>0.70696888485472476</v>
      </c>
      <c r="K8" s="225">
        <f t="shared" si="0"/>
        <v>0.68836250589820236</v>
      </c>
      <c r="L8" s="225">
        <f t="shared" si="0"/>
        <v>0.66941459249062585</v>
      </c>
      <c r="M8" s="225">
        <f t="shared" si="0"/>
        <v>0.65010214025371327</v>
      </c>
      <c r="N8" s="225">
        <f t="shared" si="0"/>
        <v>0.63039935334882979</v>
      </c>
      <c r="O8" s="225">
        <f t="shared" si="0"/>
        <v>0.6102771388656687</v>
      </c>
      <c r="P8" s="225">
        <f t="shared" si="0"/>
        <v>0.58970247597352221</v>
      </c>
      <c r="Q8" s="225">
        <f t="shared" si="0"/>
        <v>0.56863761947421088</v>
      </c>
      <c r="R8" s="225">
        <f t="shared" si="0"/>
        <v>0.54703908099243026</v>
      </c>
      <c r="S8" s="226">
        <f t="shared" si="0"/>
        <v>0.52485630640008518</v>
      </c>
    </row>
    <row r="9" spans="2:19">
      <c r="B9" s="220">
        <v>5</v>
      </c>
      <c r="C9" s="224">
        <f t="shared" si="1"/>
        <v>0.79056941504209477</v>
      </c>
      <c r="D9" s="225">
        <f t="shared" si="0"/>
        <v>0.77465094423041503</v>
      </c>
      <c r="E9" s="225">
        <f t="shared" si="0"/>
        <v>0.75851133410633165</v>
      </c>
      <c r="F9" s="225">
        <f t="shared" si="0"/>
        <v>0.74213944365466078</v>
      </c>
      <c r="G9" s="225">
        <f t="shared" si="0"/>
        <v>0.72552313355344145</v>
      </c>
      <c r="H9" s="225">
        <f t="shared" si="0"/>
        <v>0.70864913450501144</v>
      </c>
      <c r="I9" s="225">
        <f t="shared" si="0"/>
        <v>0.69150289218123906</v>
      </c>
      <c r="J9" s="225">
        <f t="shared" si="0"/>
        <v>0.67406838346965481</v>
      </c>
      <c r="K9" s="225">
        <f t="shared" si="0"/>
        <v>0.65632789721328422</v>
      </c>
      <c r="L9" s="225">
        <f t="shared" si="0"/>
        <v>0.63826177063489509</v>
      </c>
      <c r="M9" s="225">
        <f t="shared" si="0"/>
        <v>0.61984806992040664</v>
      </c>
      <c r="N9" s="225">
        <f t="shared" si="0"/>
        <v>0.60106219970272234</v>
      </c>
      <c r="O9" s="225">
        <f t="shared" si="0"/>
        <v>0.58187642098025238</v>
      </c>
      <c r="P9" s="225">
        <f t="shared" si="0"/>
        <v>0.56225924962625107</v>
      </c>
      <c r="Q9" s="225">
        <f t="shared" si="0"/>
        <v>0.54217469700633092</v>
      </c>
      <c r="R9" s="225">
        <f t="shared" si="0"/>
        <v>0.52158129858157176</v>
      </c>
      <c r="S9" s="226">
        <f t="shared" si="0"/>
        <v>0.50043085288210321</v>
      </c>
    </row>
    <row r="10" spans="2:19">
      <c r="B10" s="220">
        <v>4.5</v>
      </c>
      <c r="C10" s="224">
        <f t="shared" si="1"/>
        <v>0.74999999999999989</v>
      </c>
      <c r="D10" s="225">
        <f t="shared" si="0"/>
        <v>0.73489841261045474</v>
      </c>
      <c r="E10" s="225">
        <f t="shared" si="0"/>
        <v>0.71958703404868984</v>
      </c>
      <c r="F10" s="225">
        <f t="shared" si="0"/>
        <v>0.70405529501967701</v>
      </c>
      <c r="G10" s="225">
        <f t="shared" si="0"/>
        <v>0.68829167915142209</v>
      </c>
      <c r="H10" s="225">
        <f t="shared" si="0"/>
        <v>0.67228359808285632</v>
      </c>
      <c r="I10" s="225">
        <f t="shared" si="0"/>
        <v>0.65601724436596665</v>
      </c>
      <c r="J10" s="225">
        <f t="shared" si="0"/>
        <v>0.63947741714157058</v>
      </c>
      <c r="K10" s="225">
        <f t="shared" si="0"/>
        <v>0.62264731413085705</v>
      </c>
      <c r="L10" s="225">
        <f t="shared" si="0"/>
        <v>0.60550828158547276</v>
      </c>
      <c r="M10" s="225">
        <f t="shared" si="0"/>
        <v>0.58803951126233678</v>
      </c>
      <c r="N10" s="225">
        <f t="shared" si="0"/>
        <v>0.57021766994747514</v>
      </c>
      <c r="O10" s="225">
        <f t="shared" si="0"/>
        <v>0.55201644211337497</v>
      </c>
      <c r="P10" s="225">
        <f t="shared" si="0"/>
        <v>0.53340595929483903</v>
      </c>
      <c r="Q10" s="225">
        <f t="shared" si="0"/>
        <v>0.514352079675504</v>
      </c>
      <c r="R10" s="225">
        <f t="shared" si="0"/>
        <v>0.49481546653983527</v>
      </c>
      <c r="S10" s="226">
        <f t="shared" si="0"/>
        <v>0.47475039195842506</v>
      </c>
    </row>
    <row r="11" spans="2:19">
      <c r="B11" s="220">
        <v>4</v>
      </c>
      <c r="C11" s="224">
        <f t="shared" si="1"/>
        <v>0.70710678118654746</v>
      </c>
      <c r="D11" s="225">
        <f t="shared" si="0"/>
        <v>0.69286886805344261</v>
      </c>
      <c r="E11" s="225">
        <f t="shared" si="0"/>
        <v>0.67843316190632486</v>
      </c>
      <c r="F11" s="225">
        <f t="shared" si="0"/>
        <v>0.66378969791827858</v>
      </c>
      <c r="G11" s="225">
        <f t="shared" si="0"/>
        <v>0.64892761834966139</v>
      </c>
      <c r="H11" s="225">
        <f t="shared" si="0"/>
        <v>0.63383505477983892</v>
      </c>
      <c r="I11" s="225">
        <f t="shared" si="0"/>
        <v>0.61849898942198334</v>
      </c>
      <c r="J11" s="225">
        <f t="shared" si="0"/>
        <v>0.60290509076861754</v>
      </c>
      <c r="K11" s="225">
        <f t="shared" si="0"/>
        <v>0.58703751747935939</v>
      </c>
      <c r="L11" s="225">
        <f t="shared" si="0"/>
        <v>0.5708786826316018</v>
      </c>
      <c r="M11" s="225">
        <f t="shared" si="0"/>
        <v>0.55440896802562878</v>
      </c>
      <c r="N11" s="225">
        <f t="shared" si="0"/>
        <v>0.53760637489633634</v>
      </c>
      <c r="O11" s="225">
        <f t="shared" si="0"/>
        <v>0.5204460927264517</v>
      </c>
      <c r="P11" s="225">
        <f t="shared" si="0"/>
        <v>0.50289996125692826</v>
      </c>
      <c r="Q11" s="225">
        <f t="shared" si="0"/>
        <v>0.48493579127460307</v>
      </c>
      <c r="R11" s="225">
        <f t="shared" si="0"/>
        <v>0.46651649576840365</v>
      </c>
      <c r="S11" s="226">
        <f t="shared" si="0"/>
        <v>0.44759896203303168</v>
      </c>
    </row>
    <row r="12" spans="2:19">
      <c r="B12" s="220">
        <v>3.5</v>
      </c>
      <c r="C12" s="224">
        <f t="shared" si="1"/>
        <v>0.66143782776614757</v>
      </c>
      <c r="D12" s="225">
        <f t="shared" si="0"/>
        <v>0.64811947955446569</v>
      </c>
      <c r="E12" s="225">
        <f t="shared" si="0"/>
        <v>0.63461611291980047</v>
      </c>
      <c r="F12" s="225">
        <f t="shared" si="0"/>
        <v>0.62091840662009257</v>
      </c>
      <c r="G12" s="225">
        <f t="shared" si="0"/>
        <v>0.60701620416990787</v>
      </c>
      <c r="H12" s="225">
        <f t="shared" si="0"/>
        <v>0.59289840367831248</v>
      </c>
      <c r="I12" s="225">
        <f t="shared" si="0"/>
        <v>0.57855282812074549</v>
      </c>
      <c r="J12" s="225">
        <f t="shared" si="0"/>
        <v>0.56396607159950285</v>
      </c>
      <c r="K12" s="225">
        <f t="shared" si="0"/>
        <v>0.54912331589752039</v>
      </c>
      <c r="L12" s="225">
        <f t="shared" si="0"/>
        <v>0.5340081099550773</v>
      </c>
      <c r="M12" s="225">
        <f t="shared" si="0"/>
        <v>0.51860210262670292</v>
      </c>
      <c r="N12" s="225">
        <f t="shared" si="0"/>
        <v>0.50288471595190942</v>
      </c>
      <c r="O12" s="225">
        <f t="shared" si="0"/>
        <v>0.48683274181689085</v>
      </c>
      <c r="P12" s="225">
        <f t="shared" si="0"/>
        <v>0.47041983871132864</v>
      </c>
      <c r="Q12" s="225">
        <f t="shared" si="0"/>
        <v>0.4536158963834212</v>
      </c>
      <c r="R12" s="225">
        <f t="shared" si="0"/>
        <v>0.43638622311093539</v>
      </c>
      <c r="S12" s="226">
        <f t="shared" si="0"/>
        <v>0.41869049065081049</v>
      </c>
    </row>
    <row r="13" spans="2:19">
      <c r="B13" s="220">
        <v>3</v>
      </c>
      <c r="C13" s="224">
        <f t="shared" si="1"/>
        <v>0.61237243569579447</v>
      </c>
      <c r="D13" s="225">
        <f t="shared" si="0"/>
        <v>0.60004204122564964</v>
      </c>
      <c r="E13" s="225">
        <f t="shared" si="0"/>
        <v>0.58754035298067842</v>
      </c>
      <c r="F13" s="225">
        <f t="shared" si="0"/>
        <v>0.57485874116762781</v>
      </c>
      <c r="G13" s="225">
        <f t="shared" si="0"/>
        <v>0.56198780270813964</v>
      </c>
      <c r="H13" s="225">
        <f t="shared" si="0"/>
        <v>0.54891725924844181</v>
      </c>
      <c r="I13" s="225">
        <f t="shared" si="0"/>
        <v>0.5356358370544404</v>
      </c>
      <c r="J13" s="225">
        <f t="shared" si="0"/>
        <v>0.52213112467658562</v>
      </c>
      <c r="K13" s="225">
        <f t="shared" si="0"/>
        <v>0.50838940311167669</v>
      </c>
      <c r="L13" s="225">
        <f t="shared" si="0"/>
        <v>0.49439544163796134</v>
      </c>
      <c r="M13" s="225">
        <f t="shared" si="0"/>
        <v>0.48013225039610907</v>
      </c>
      <c r="N13" s="225">
        <f t="shared" si="0"/>
        <v>0.465580777896688</v>
      </c>
      <c r="O13" s="225">
        <f t="shared" si="0"/>
        <v>0.45071953760145866</v>
      </c>
      <c r="P13" s="225">
        <f t="shared" si="0"/>
        <v>0.43552414201070988</v>
      </c>
      <c r="Q13" s="225">
        <f t="shared" si="0"/>
        <v>0.4199667144481144</v>
      </c>
      <c r="R13" s="225">
        <f t="shared" si="0"/>
        <v>0.40401513661993316</v>
      </c>
      <c r="S13" s="226">
        <f t="shared" si="0"/>
        <v>0.3876320718281519</v>
      </c>
    </row>
    <row r="14" spans="2:19">
      <c r="B14" s="220">
        <v>2.5</v>
      </c>
      <c r="C14" s="224">
        <f t="shared" si="1"/>
        <v>0.55901699437494745</v>
      </c>
      <c r="D14" s="225">
        <f t="shared" si="0"/>
        <v>0.54776093571788864</v>
      </c>
      <c r="E14" s="225">
        <f t="shared" si="0"/>
        <v>0.53634850795344213</v>
      </c>
      <c r="F14" s="225">
        <f t="shared" si="0"/>
        <v>0.52477183319422238</v>
      </c>
      <c r="G14" s="225">
        <f t="shared" si="0"/>
        <v>0.51302232764335165</v>
      </c>
      <c r="H14" s="225">
        <f t="shared" si="0"/>
        <v>0.50109060849047149</v>
      </c>
      <c r="I14" s="225">
        <f t="shared" si="0"/>
        <v>0.48896638427146422</v>
      </c>
      <c r="J14" s="225">
        <f t="shared" si="0"/>
        <v>0.47663832493484709</v>
      </c>
      <c r="K14" s="225">
        <f t="shared" si="0"/>
        <v>0.46409390680142071</v>
      </c>
      <c r="L14" s="225">
        <f t="shared" si="0"/>
        <v>0.45131922618806719</v>
      </c>
      <c r="M14" s="225">
        <f t="shared" si="0"/>
        <v>0.4382987735461128</v>
      </c>
      <c r="N14" s="225">
        <f t="shared" si="0"/>
        <v>0.42501515732469786</v>
      </c>
      <c r="O14" s="225">
        <f t="shared" si="0"/>
        <v>0.41144876308769479</v>
      </c>
      <c r="P14" s="225">
        <f t="shared" si="0"/>
        <v>0.397577328195582</v>
      </c>
      <c r="Q14" s="225">
        <f t="shared" si="0"/>
        <v>0.38337540484093841</v>
      </c>
      <c r="R14" s="225">
        <f t="shared" si="0"/>
        <v>0.36881367316711483</v>
      </c>
      <c r="S14" s="226">
        <f t="shared" si="0"/>
        <v>0.35385804958790273</v>
      </c>
    </row>
    <row r="15" spans="2:19">
      <c r="B15" s="220">
        <v>2</v>
      </c>
      <c r="C15" s="224">
        <f t="shared" si="1"/>
        <v>0.5</v>
      </c>
      <c r="D15" s="225">
        <f t="shared" si="0"/>
        <v>0.48993227507363657</v>
      </c>
      <c r="E15" s="225">
        <f t="shared" si="0"/>
        <v>0.47972468936579327</v>
      </c>
      <c r="F15" s="225">
        <f t="shared" si="0"/>
        <v>0.46937019667978475</v>
      </c>
      <c r="G15" s="225">
        <f t="shared" si="0"/>
        <v>0.45886111943428148</v>
      </c>
      <c r="H15" s="225">
        <f t="shared" si="0"/>
        <v>0.44818906538857095</v>
      </c>
      <c r="I15" s="225">
        <f t="shared" si="0"/>
        <v>0.43734482957731119</v>
      </c>
      <c r="J15" s="225">
        <f t="shared" si="0"/>
        <v>0.42631827809438044</v>
      </c>
      <c r="K15" s="225">
        <f t="shared" si="0"/>
        <v>0.41509820942057146</v>
      </c>
      <c r="L15" s="225">
        <f t="shared" si="0"/>
        <v>0.4036721877236486</v>
      </c>
      <c r="M15" s="225">
        <f t="shared" si="0"/>
        <v>0.39202634084155791</v>
      </c>
      <c r="N15" s="225">
        <f t="shared" si="0"/>
        <v>0.38014511329831679</v>
      </c>
      <c r="O15" s="225">
        <f t="shared" si="0"/>
        <v>0.3680109614089167</v>
      </c>
      <c r="P15" s="225">
        <f t="shared" si="0"/>
        <v>0.35560397286322604</v>
      </c>
      <c r="Q15" s="225">
        <f t="shared" si="0"/>
        <v>0.34290138645033608</v>
      </c>
      <c r="R15" s="225">
        <f t="shared" si="0"/>
        <v>0.32987697769322355</v>
      </c>
      <c r="S15" s="226">
        <f t="shared" si="0"/>
        <v>0.31650026130561676</v>
      </c>
    </row>
    <row r="16" spans="2:19">
      <c r="B16" s="220">
        <v>1.5</v>
      </c>
      <c r="C16" s="224">
        <f t="shared" si="1"/>
        <v>0.43301270189221924</v>
      </c>
      <c r="D16" s="225">
        <f t="shared" si="0"/>
        <v>0.42429379634767472</v>
      </c>
      <c r="E16" s="225">
        <f t="shared" si="0"/>
        <v>0.41545376781337545</v>
      </c>
      <c r="F16" s="225">
        <f t="shared" si="0"/>
        <v>0.40648651410399189</v>
      </c>
      <c r="G16" s="225">
        <f t="shared" si="0"/>
        <v>0.39738538623905306</v>
      </c>
      <c r="H16" s="225">
        <f t="shared" si="0"/>
        <v>0.38814311632490728</v>
      </c>
      <c r="I16" s="225">
        <f t="shared" si="0"/>
        <v>0.37875173262772738</v>
      </c>
      <c r="J16" s="225">
        <f t="shared" si="0"/>
        <v>0.36920245892737236</v>
      </c>
      <c r="K16" s="225">
        <f t="shared" si="0"/>
        <v>0.3594855944236478</v>
      </c>
      <c r="L16" s="225">
        <f t="shared" si="0"/>
        <v>0.34959036936992044</v>
      </c>
      <c r="M16" s="225">
        <f t="shared" si="0"/>
        <v>0.33950477012144609</v>
      </c>
      <c r="N16" s="225">
        <f t="shared" si="0"/>
        <v>0.32921532524085589</v>
      </c>
      <c r="O16" s="225">
        <f t="shared" si="0"/>
        <v>0.3187068414512565</v>
      </c>
      <c r="P16" s="225">
        <f t="shared" si="0"/>
        <v>0.30796207418622584</v>
      </c>
      <c r="Q16" s="225">
        <f t="shared" si="0"/>
        <v>0.29696131165889611</v>
      </c>
      <c r="R16" s="225">
        <f t="shared" si="0"/>
        <v>0.28568184280596415</v>
      </c>
      <c r="S16" s="226">
        <f t="shared" si="0"/>
        <v>0.27409726659507705</v>
      </c>
    </row>
    <row r="17" spans="2:19">
      <c r="B17" s="220">
        <v>1</v>
      </c>
      <c r="C17" s="224">
        <f t="shared" si="1"/>
        <v>0.35355339059327373</v>
      </c>
      <c r="D17" s="225">
        <f t="shared" si="0"/>
        <v>0.34643443402672131</v>
      </c>
      <c r="E17" s="225">
        <f t="shared" si="0"/>
        <v>0.33921658095316243</v>
      </c>
      <c r="F17" s="225">
        <f t="shared" si="0"/>
        <v>0.33189484895913929</v>
      </c>
      <c r="G17" s="225">
        <f t="shared" si="0"/>
        <v>0.3244638091748307</v>
      </c>
      <c r="H17" s="225">
        <f t="shared" si="0"/>
        <v>0.31691752738991946</v>
      </c>
      <c r="I17" s="225">
        <f t="shared" si="0"/>
        <v>0.30924949471099167</v>
      </c>
      <c r="J17" s="225">
        <f t="shared" si="0"/>
        <v>0.30145254538430877</v>
      </c>
      <c r="K17" s="225">
        <f t="shared" si="0"/>
        <v>0.2935187587396797</v>
      </c>
      <c r="L17" s="225">
        <f t="shared" si="0"/>
        <v>0.2854393413158009</v>
      </c>
      <c r="M17" s="225">
        <f t="shared" si="0"/>
        <v>0.27720448401281439</v>
      </c>
      <c r="N17" s="225">
        <f t="shared" si="0"/>
        <v>0.26880318744816817</v>
      </c>
      <c r="O17" s="225">
        <f t="shared" si="0"/>
        <v>0.26022304636322585</v>
      </c>
      <c r="P17" s="225">
        <f t="shared" si="0"/>
        <v>0.25144998062846413</v>
      </c>
      <c r="Q17" s="225">
        <f t="shared" si="0"/>
        <v>0.24246789563730153</v>
      </c>
      <c r="R17" s="225">
        <f t="shared" si="0"/>
        <v>0.23325824788420182</v>
      </c>
      <c r="S17" s="226">
        <f t="shared" si="0"/>
        <v>0.22379948101651584</v>
      </c>
    </row>
    <row r="18" spans="2:19" ht="13.8" thickBot="1">
      <c r="B18" s="227">
        <v>0.5</v>
      </c>
      <c r="C18" s="228">
        <f t="shared" si="1"/>
        <v>0.25</v>
      </c>
      <c r="D18" s="229">
        <f t="shared" si="0"/>
        <v>0.24496613753681828</v>
      </c>
      <c r="E18" s="229">
        <f t="shared" si="0"/>
        <v>0.23986234468289663</v>
      </c>
      <c r="F18" s="229">
        <f t="shared" si="0"/>
        <v>0.23468509833989237</v>
      </c>
      <c r="G18" s="229">
        <f t="shared" si="0"/>
        <v>0.22943055971714074</v>
      </c>
      <c r="H18" s="229">
        <f t="shared" si="0"/>
        <v>0.22409453269428548</v>
      </c>
      <c r="I18" s="229">
        <f t="shared" si="0"/>
        <v>0.21867241478865559</v>
      </c>
      <c r="J18" s="229">
        <f t="shared" si="0"/>
        <v>0.21315913904719022</v>
      </c>
      <c r="K18" s="229">
        <f t="shared" si="0"/>
        <v>0.20754910471028573</v>
      </c>
      <c r="L18" s="229">
        <f t="shared" si="0"/>
        <v>0.2018360938618243</v>
      </c>
      <c r="M18" s="229">
        <f t="shared" si="0"/>
        <v>0.19601317042077895</v>
      </c>
      <c r="N18" s="229">
        <f t="shared" si="0"/>
        <v>0.1900725566491584</v>
      </c>
      <c r="O18" s="229">
        <f t="shared" si="0"/>
        <v>0.18400548070445835</v>
      </c>
      <c r="P18" s="229">
        <f t="shared" si="0"/>
        <v>0.17780198643161302</v>
      </c>
      <c r="Q18" s="229">
        <f t="shared" si="0"/>
        <v>0.17145069322516804</v>
      </c>
      <c r="R18" s="229">
        <f t="shared" si="0"/>
        <v>0.16493848884661177</v>
      </c>
      <c r="S18" s="230">
        <f t="shared" si="0"/>
        <v>0.15825013065280838</v>
      </c>
    </row>
  </sheetData>
  <conditionalFormatting sqref="C3:S18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B1:T35"/>
  <sheetViews>
    <sheetView workbookViewId="0">
      <selection activeCell="E35" sqref="E35"/>
    </sheetView>
  </sheetViews>
  <sheetFormatPr defaultRowHeight="13.2"/>
  <cols>
    <col min="1" max="1" width="3.21875" style="236" customWidth="1"/>
    <col min="2" max="2" width="17" style="235" bestFit="1" customWidth="1"/>
    <col min="3" max="3" width="2.21875" style="235" customWidth="1"/>
    <col min="4" max="4" width="9.21875" style="236" bestFit="1" customWidth="1"/>
    <col min="5" max="20" width="8.88671875" style="236"/>
    <col min="21" max="21" width="3.5546875" style="236" customWidth="1"/>
    <col min="22" max="16384" width="8.88671875" style="236"/>
  </cols>
  <sheetData>
    <row r="1" spans="2:20" ht="13.8" thickBot="1">
      <c r="B1" s="237"/>
    </row>
    <row r="2" spans="2:20" ht="13.8" thickBot="1">
      <c r="B2" s="231" t="s">
        <v>593</v>
      </c>
      <c r="C2" s="233"/>
      <c r="D2" s="218">
        <v>8</v>
      </c>
      <c r="E2" s="218">
        <v>7.5</v>
      </c>
      <c r="F2" s="218">
        <v>7</v>
      </c>
      <c r="G2" s="218">
        <v>6.5</v>
      </c>
      <c r="H2" s="218">
        <v>6</v>
      </c>
      <c r="I2" s="218">
        <v>5.5</v>
      </c>
      <c r="J2" s="218">
        <v>5</v>
      </c>
      <c r="K2" s="218">
        <v>4.5</v>
      </c>
      <c r="L2" s="218">
        <v>4</v>
      </c>
      <c r="M2" s="218">
        <v>3.5</v>
      </c>
      <c r="N2" s="218">
        <v>3</v>
      </c>
      <c r="O2" s="218">
        <v>2.5</v>
      </c>
      <c r="P2" s="218">
        <v>2</v>
      </c>
      <c r="Q2" s="218">
        <v>1.5</v>
      </c>
      <c r="R2" s="218">
        <v>1</v>
      </c>
      <c r="S2" s="218">
        <v>0.5</v>
      </c>
      <c r="T2" s="241"/>
    </row>
    <row r="3" spans="2:20">
      <c r="B3" s="232">
        <v>1</v>
      </c>
      <c r="C3" s="234"/>
      <c r="D3" s="249">
        <f>(1+SQRT(($B3-1))*9/100)*(SQRT(D$2)/SQRT(8))*VLOOKUP($D$34, Parser!$N$5:'Parser'!$O$24, 2, FALSE)</f>
        <v>18</v>
      </c>
      <c r="E3" s="250">
        <f>(1+SQRT(($B3-1))*9/100)*(SQRT(E$2)/SQRT(8))*VLOOKUP($D$34, Parser!$N$5:'Parser'!$O$24, 2, FALSE)</f>
        <v>17.428425057933374</v>
      </c>
      <c r="F3" s="250">
        <f>(1+SQRT(($B3-1))*9/100)*(SQRT(F$2)/SQRT(8))*VLOOKUP($D$34, Parser!$N$5:'Parser'!$O$24, 2, FALSE)</f>
        <v>16.837458240482736</v>
      </c>
      <c r="G3" s="250">
        <f>(1+SQRT(($B3-1))*9/100)*(SQRT(G$2)/SQRT(8))*VLOOKUP($D$34, Parser!$N$5:'Parser'!$O$24, 2, FALSE)</f>
        <v>16.224980739587949</v>
      </c>
      <c r="H3" s="250">
        <f>(1+SQRT(($B3-1))*9/100)*(SQRT(H$2)/SQRT(8))*VLOOKUP($D$34, Parser!$N$5:'Parser'!$O$24, 2, FALSE)</f>
        <v>15.588457268119893</v>
      </c>
      <c r="I3" s="250">
        <f>(1+SQRT(($B3-1))*9/100)*(SQRT(I$2)/SQRT(8))*VLOOKUP($D$34, Parser!$N$5:'Parser'!$O$24, 2, FALSE)</f>
        <v>14.924811556599298</v>
      </c>
      <c r="J3" s="250">
        <f>(1+SQRT(($B3-1))*9/100)*(SQRT(J$2)/SQRT(8))*VLOOKUP($D$34, Parser!$N$5:'Parser'!$O$24, 2, FALSE)</f>
        <v>14.230249470757705</v>
      </c>
      <c r="K3" s="250">
        <f>(1+SQRT(($B3-1))*9/100)*(SQRT(K$2)/SQRT(8))*VLOOKUP($D$34, Parser!$N$5:'Parser'!$O$24, 2, FALSE)</f>
        <v>13.499999999999998</v>
      </c>
      <c r="L3" s="250">
        <f>(1+SQRT(($B3-1))*9/100)*(SQRT(L$2)/SQRT(8))*VLOOKUP($D$34, Parser!$N$5:'Parser'!$O$24, 2, FALSE)</f>
        <v>12.727922061357855</v>
      </c>
      <c r="M3" s="250">
        <f>(1+SQRT(($B3-1))*9/100)*(SQRT(M$2)/SQRT(8))*VLOOKUP($D$34, Parser!$N$5:'Parser'!$O$24, 2, FALSE)</f>
        <v>11.905880899790656</v>
      </c>
      <c r="N3" s="250">
        <f>(1+SQRT(($B3-1))*9/100)*(SQRT(N$2)/SQRT(8))*VLOOKUP($D$34, Parser!$N$5:'Parser'!$O$24, 2, FALSE)</f>
        <v>11.022703842524301</v>
      </c>
      <c r="O3" s="250">
        <f>(1+SQRT(($B3-1))*9/100)*(SQRT(O$2)/SQRT(8))*VLOOKUP($D$34, Parser!$N$5:'Parser'!$O$24, 2, FALSE)</f>
        <v>10.062305898749054</v>
      </c>
      <c r="P3" s="250">
        <f>(1+SQRT(($B3-1))*9/100)*(SQRT(P$2)/SQRT(8))*VLOOKUP($D$34, Parser!$N$5:'Parser'!$O$24, 2, FALSE)</f>
        <v>9</v>
      </c>
      <c r="Q3" s="250">
        <f>(1+SQRT(($B3-1))*9/100)*(SQRT(Q$2)/SQRT(8))*VLOOKUP($D$34, Parser!$N$5:'Parser'!$O$24, 2, FALSE)</f>
        <v>7.7942286340599463</v>
      </c>
      <c r="R3" s="250">
        <f>(1+SQRT(($B3-1))*9/100)*(SQRT(R$2)/SQRT(8))*VLOOKUP($D$34, Parser!$N$5:'Parser'!$O$24, 2, FALSE)</f>
        <v>6.3639610306789276</v>
      </c>
      <c r="S3" s="251">
        <f>(1+SQRT(($B3-1))*9/100)*(SQRT(S$2)/SQRT(8))*VLOOKUP($D$34, Parser!$N$5:'Parser'!$O$24, 2, FALSE)</f>
        <v>4.5</v>
      </c>
      <c r="T3" s="242"/>
    </row>
    <row r="4" spans="2:20">
      <c r="B4" s="232">
        <v>2</v>
      </c>
      <c r="C4" s="234"/>
      <c r="D4" s="252">
        <f>(1+SQRT(($B4-1))*9/100)*(SQRT(D$2)/SQRT(8))*VLOOKUP($D$34, Parser!$N$5:'Parser'!$O$24, 2, FALSE)</f>
        <v>19.62</v>
      </c>
      <c r="E4" s="240">
        <f>(1+SQRT(($B4-1))*9/100)*(SQRT(E$2)/SQRT(8))*VLOOKUP($D$34, Parser!$N$5:'Parser'!$O$24, 2, FALSE)</f>
        <v>18.996983313147382</v>
      </c>
      <c r="F4" s="240">
        <f>(1+SQRT(($B4-1))*9/100)*(SQRT(F$2)/SQRT(8))*VLOOKUP($D$34, Parser!$N$5:'Parser'!$O$24, 2, FALSE)</f>
        <v>18.352829482126186</v>
      </c>
      <c r="G4" s="240">
        <f>(1+SQRT(($B4-1))*9/100)*(SQRT(G$2)/SQRT(8))*VLOOKUP($D$34, Parser!$N$5:'Parser'!$O$24, 2, FALSE)</f>
        <v>17.685229006150866</v>
      </c>
      <c r="H4" s="240">
        <f>(1+SQRT(($B4-1))*9/100)*(SQRT(H$2)/SQRT(8))*VLOOKUP($D$34, Parser!$N$5:'Parser'!$O$24, 2, FALSE)</f>
        <v>16.991418422250685</v>
      </c>
      <c r="I4" s="240">
        <f>(1+SQRT(($B4-1))*9/100)*(SQRT(I$2)/SQRT(8))*VLOOKUP($D$34, Parser!$N$5:'Parser'!$O$24, 2, FALSE)</f>
        <v>16.268044596693237</v>
      </c>
      <c r="J4" s="240">
        <f>(1+SQRT(($B4-1))*9/100)*(SQRT(J$2)/SQRT(8))*VLOOKUP($D$34, Parser!$N$5:'Parser'!$O$24, 2, FALSE)</f>
        <v>15.510971923125901</v>
      </c>
      <c r="K4" s="240">
        <f>(1+SQRT(($B4-1))*9/100)*(SQRT(K$2)/SQRT(8))*VLOOKUP($D$34, Parser!$N$5:'Parser'!$O$24, 2, FALSE)</f>
        <v>14.714999999999998</v>
      </c>
      <c r="L4" s="240">
        <f>(1+SQRT(($B4-1))*9/100)*(SQRT(L$2)/SQRT(8))*VLOOKUP($D$34, Parser!$N$5:'Parser'!$O$24, 2, FALSE)</f>
        <v>13.873435046880061</v>
      </c>
      <c r="M4" s="240">
        <f>(1+SQRT(($B4-1))*9/100)*(SQRT(M$2)/SQRT(8))*VLOOKUP($D$34, Parser!$N$5:'Parser'!$O$24, 2, FALSE)</f>
        <v>12.977410180771818</v>
      </c>
      <c r="N4" s="240">
        <f>(1+SQRT(($B4-1))*9/100)*(SQRT(N$2)/SQRT(8))*VLOOKUP($D$34, Parser!$N$5:'Parser'!$O$24, 2, FALSE)</f>
        <v>12.014747188351489</v>
      </c>
      <c r="O4" s="240">
        <f>(1+SQRT(($B4-1))*9/100)*(SQRT(O$2)/SQRT(8))*VLOOKUP($D$34, Parser!$N$5:'Parser'!$O$24, 2, FALSE)</f>
        <v>10.96791342963647</v>
      </c>
      <c r="P4" s="240">
        <f>(1+SQRT(($B4-1))*9/100)*(SQRT(P$2)/SQRT(8))*VLOOKUP($D$34, Parser!$N$5:'Parser'!$O$24, 2, FALSE)</f>
        <v>9.81</v>
      </c>
      <c r="Q4" s="240">
        <f>(1+SQRT(($B4-1))*9/100)*(SQRT(Q$2)/SQRT(8))*VLOOKUP($D$34, Parser!$N$5:'Parser'!$O$24, 2, FALSE)</f>
        <v>8.4957092111253427</v>
      </c>
      <c r="R4" s="240">
        <f>(1+SQRT(($B4-1))*9/100)*(SQRT(R$2)/SQRT(8))*VLOOKUP($D$34, Parser!$N$5:'Parser'!$O$24, 2, FALSE)</f>
        <v>6.9367175234400307</v>
      </c>
      <c r="S4" s="253">
        <f>(1+SQRT(($B4-1))*9/100)*(SQRT(S$2)/SQRT(8))*VLOOKUP($D$34, Parser!$N$5:'Parser'!$O$24, 2, FALSE)</f>
        <v>4.9050000000000002</v>
      </c>
      <c r="T4" s="242"/>
    </row>
    <row r="5" spans="2:20">
      <c r="B5" s="232">
        <v>3</v>
      </c>
      <c r="C5" s="234"/>
      <c r="D5" s="252">
        <f>(1+SQRT(($B5-1))*9/100)*(SQRT(D$2)/SQRT(8))*VLOOKUP($D$34, Parser!$N$5:'Parser'!$O$24, 2, FALSE)</f>
        <v>20.291025971044416</v>
      </c>
      <c r="E5" s="240">
        <f>(1+SQRT(($B5-1))*9/100)*(SQRT(E$2)/SQRT(8))*VLOOKUP($D$34, Parser!$N$5:'Parser'!$O$24, 2, FALSE)</f>
        <v>19.646701415829298</v>
      </c>
      <c r="F5" s="240">
        <f>(1+SQRT(($B5-1))*9/100)*(SQRT(F$2)/SQRT(8))*VLOOKUP($D$34, Parser!$N$5:'Parser'!$O$24, 2, FALSE)</f>
        <v>18.980516802445056</v>
      </c>
      <c r="G5" s="240">
        <f>(1+SQRT(($B5-1))*9/100)*(SQRT(G$2)/SQRT(8))*VLOOKUP($D$34, Parser!$N$5:'Parser'!$O$24, 2, FALSE)</f>
        <v>18.290083642593029</v>
      </c>
      <c r="H5" s="240">
        <f>(1+SQRT(($B5-1))*9/100)*(SQRT(H$2)/SQRT(8))*VLOOKUP($D$34, Parser!$N$5:'Parser'!$O$24, 2, FALSE)</f>
        <v>17.572543959774269</v>
      </c>
      <c r="I5" s="240">
        <f>(1+SQRT(($B5-1))*9/100)*(SQRT(I$2)/SQRT(8))*VLOOKUP($D$34, Parser!$N$5:'Parser'!$O$24, 2, FALSE)</f>
        <v>16.824429939327789</v>
      </c>
      <c r="J5" s="240">
        <f>(1+SQRT(($B5-1))*9/100)*(SQRT(J$2)/SQRT(8))*VLOOKUP($D$34, Parser!$N$5:'Parser'!$O$24, 2, FALSE)</f>
        <v>16.041464532532537</v>
      </c>
      <c r="K5" s="240">
        <f>(1+SQRT(($B5-1))*9/100)*(SQRT(K$2)/SQRT(8))*VLOOKUP($D$34, Parser!$N$5:'Parser'!$O$24, 2, FALSE)</f>
        <v>15.218269478283309</v>
      </c>
      <c r="L5" s="240">
        <f>(1+SQRT(($B5-1))*9/100)*(SQRT(L$2)/SQRT(8))*VLOOKUP($D$34, Parser!$N$5:'Parser'!$O$24, 2, FALSE)</f>
        <v>14.347922061357856</v>
      </c>
      <c r="M5" s="240">
        <f>(1+SQRT(($B5-1))*9/100)*(SQRT(M$2)/SQRT(8))*VLOOKUP($D$34, Parser!$N$5:'Parser'!$O$24, 2, FALSE)</f>
        <v>13.421252141434104</v>
      </c>
      <c r="N5" s="240">
        <f>(1+SQRT(($B5-1))*9/100)*(SQRT(N$2)/SQRT(8))*VLOOKUP($D$34, Parser!$N$5:'Parser'!$O$24, 2, FALSE)</f>
        <v>12.425664996655092</v>
      </c>
      <c r="O5" s="240">
        <f>(1+SQRT(($B5-1))*9/100)*(SQRT(O$2)/SQRT(8))*VLOOKUP($D$34, Parser!$N$5:'Parser'!$O$24, 2, FALSE)</f>
        <v>11.343028351117249</v>
      </c>
      <c r="P5" s="240">
        <f>(1+SQRT(($B5-1))*9/100)*(SQRT(P$2)/SQRT(8))*VLOOKUP($D$34, Parser!$N$5:'Parser'!$O$24, 2, FALSE)</f>
        <v>10.145512985522208</v>
      </c>
      <c r="Q5" s="240">
        <f>(1+SQRT(($B5-1))*9/100)*(SQRT(Q$2)/SQRT(8))*VLOOKUP($D$34, Parser!$N$5:'Parser'!$O$24, 2, FALSE)</f>
        <v>8.7862719798871343</v>
      </c>
      <c r="R5" s="240">
        <f>(1+SQRT(($B5-1))*9/100)*(SQRT(R$2)/SQRT(8))*VLOOKUP($D$34, Parser!$N$5:'Parser'!$O$24, 2, FALSE)</f>
        <v>7.1739610306789281</v>
      </c>
      <c r="S5" s="253">
        <f>(1+SQRT(($B5-1))*9/100)*(SQRT(S$2)/SQRT(8))*VLOOKUP($D$34, Parser!$N$5:'Parser'!$O$24, 2, FALSE)</f>
        <v>5.072756492761104</v>
      </c>
      <c r="T5" s="242"/>
    </row>
    <row r="6" spans="2:20">
      <c r="B6" s="232">
        <v>4</v>
      </c>
      <c r="C6" s="234"/>
      <c r="D6" s="252">
        <f>(1+SQRT(($B6-1))*9/100)*(SQRT(D$2)/SQRT(8))*VLOOKUP($D$34, Parser!$N$5:'Parser'!$O$24, 2, FALSE)</f>
        <v>20.805922308261579</v>
      </c>
      <c r="E6" s="240">
        <f>(1+SQRT(($B6-1))*9/100)*(SQRT(E$2)/SQRT(8))*VLOOKUP($D$34, Parser!$N$5:'Parser'!$O$24, 2, FALSE)</f>
        <v>20.145247650595618</v>
      </c>
      <c r="F6" s="240">
        <f>(1+SQRT(($B6-1))*9/100)*(SQRT(F$2)/SQRT(8))*VLOOKUP($D$34, Parser!$N$5:'Parser'!$O$24, 2, FALSE)</f>
        <v>19.462158223337916</v>
      </c>
      <c r="G6" s="240">
        <f>(1+SQRT(($B6-1))*9/100)*(SQRT(G$2)/SQRT(8))*VLOOKUP($D$34, Parser!$N$5:'Parser'!$O$24, 2, FALSE)</f>
        <v>18.754204928939298</v>
      </c>
      <c r="H6" s="240">
        <f>(1+SQRT(($B6-1))*9/100)*(SQRT(H$2)/SQRT(8))*VLOOKUP($D$34, Parser!$N$5:'Parser'!$O$24, 2, FALSE)</f>
        <v>18.018457268119892</v>
      </c>
      <c r="I6" s="240">
        <f>(1+SQRT(($B6-1))*9/100)*(SQRT(I$2)/SQRT(8))*VLOOKUP($D$34, Parser!$N$5:'Parser'!$O$24, 2, FALSE)</f>
        <v>17.251359428447198</v>
      </c>
      <c r="J6" s="240">
        <f>(1+SQRT(($B6-1))*9/100)*(SQRT(J$2)/SQRT(8))*VLOOKUP($D$34, Parser!$N$5:'Parser'!$O$24, 2, FALSE)</f>
        <v>16.448525828653626</v>
      </c>
      <c r="K6" s="240">
        <f>(1+SQRT(($B6-1))*9/100)*(SQRT(K$2)/SQRT(8))*VLOOKUP($D$34, Parser!$N$5:'Parser'!$O$24, 2, FALSE)</f>
        <v>15.604441731196182</v>
      </c>
      <c r="L6" s="240">
        <f>(1+SQRT(($B6-1))*9/100)*(SQRT(L$2)/SQRT(8))*VLOOKUP($D$34, Parser!$N$5:'Parser'!$O$24, 2, FALSE)</f>
        <v>14.712008753012228</v>
      </c>
      <c r="M6" s="240">
        <f>(1+SQRT(($B6-1))*9/100)*(SQRT(M$2)/SQRT(8))*VLOOKUP($D$34, Parser!$N$5:'Parser'!$O$24, 2, FALSE)</f>
        <v>13.76182405624777</v>
      </c>
      <c r="N6" s="240">
        <f>(1+SQRT(($B6-1))*9/100)*(SQRT(N$2)/SQRT(8))*VLOOKUP($D$34, Parser!$N$5:'Parser'!$O$24, 2, FALSE)</f>
        <v>12.740973320807608</v>
      </c>
      <c r="O6" s="240">
        <f>(1+SQRT(($B6-1))*9/100)*(SQRT(O$2)/SQRT(8))*VLOOKUP($D$34, Parser!$N$5:'Parser'!$O$24, 2, FALSE)</f>
        <v>11.630864153963056</v>
      </c>
      <c r="P6" s="240">
        <f>(1+SQRT(($B6-1))*9/100)*(SQRT(P$2)/SQRT(8))*VLOOKUP($D$34, Parser!$N$5:'Parser'!$O$24, 2, FALSE)</f>
        <v>10.402961154130789</v>
      </c>
      <c r="Q6" s="240">
        <f>(1+SQRT(($B6-1))*9/100)*(SQRT(Q$2)/SQRT(8))*VLOOKUP($D$34, Parser!$N$5:'Parser'!$O$24, 2, FALSE)</f>
        <v>9.0092286340599461</v>
      </c>
      <c r="R6" s="240">
        <f>(1+SQRT(($B6-1))*9/100)*(SQRT(R$2)/SQRT(8))*VLOOKUP($D$34, Parser!$N$5:'Parser'!$O$24, 2, FALSE)</f>
        <v>7.3560043765061138</v>
      </c>
      <c r="S6" s="253">
        <f>(1+SQRT(($B6-1))*9/100)*(SQRT(S$2)/SQRT(8))*VLOOKUP($D$34, Parser!$N$5:'Parser'!$O$24, 2, FALSE)</f>
        <v>5.2014805770653947</v>
      </c>
      <c r="T6" s="242"/>
    </row>
    <row r="7" spans="2:20">
      <c r="B7" s="232">
        <v>5</v>
      </c>
      <c r="C7" s="234"/>
      <c r="D7" s="252">
        <f>(1+SQRT(($B7-1))*9/100)*(SQRT(D$2)/SQRT(8))*VLOOKUP($D$34, Parser!$N$5:'Parser'!$O$24, 2, FALSE)</f>
        <v>21.24</v>
      </c>
      <c r="E7" s="240">
        <f>(1+SQRT(($B7-1))*9/100)*(SQRT(E$2)/SQRT(8))*VLOOKUP($D$34, Parser!$N$5:'Parser'!$O$24, 2, FALSE)</f>
        <v>20.565541568361382</v>
      </c>
      <c r="F7" s="240">
        <f>(1+SQRT(($B7-1))*9/100)*(SQRT(F$2)/SQRT(8))*VLOOKUP($D$34, Parser!$N$5:'Parser'!$O$24, 2, FALSE)</f>
        <v>19.868200723769629</v>
      </c>
      <c r="G7" s="240">
        <f>(1+SQRT(($B7-1))*9/100)*(SQRT(G$2)/SQRT(8))*VLOOKUP($D$34, Parser!$N$5:'Parser'!$O$24, 2, FALSE)</f>
        <v>19.145477272713777</v>
      </c>
      <c r="H7" s="240">
        <f>(1+SQRT(($B7-1))*9/100)*(SQRT(H$2)/SQRT(8))*VLOOKUP($D$34, Parser!$N$5:'Parser'!$O$24, 2, FALSE)</f>
        <v>18.394379576381475</v>
      </c>
      <c r="I7" s="240">
        <f>(1+SQRT(($B7-1))*9/100)*(SQRT(I$2)/SQRT(8))*VLOOKUP($D$34, Parser!$N$5:'Parser'!$O$24, 2, FALSE)</f>
        <v>17.611277636787172</v>
      </c>
      <c r="J7" s="240">
        <f>(1+SQRT(($B7-1))*9/100)*(SQRT(J$2)/SQRT(8))*VLOOKUP($D$34, Parser!$N$5:'Parser'!$O$24, 2, FALSE)</f>
        <v>16.791694375494092</v>
      </c>
      <c r="K7" s="240">
        <f>(1+SQRT(($B7-1))*9/100)*(SQRT(K$2)/SQRT(8))*VLOOKUP($D$34, Parser!$N$5:'Parser'!$O$24, 2, FALSE)</f>
        <v>15.929999999999996</v>
      </c>
      <c r="L7" s="240">
        <f>(1+SQRT(($B7-1))*9/100)*(SQRT(L$2)/SQRT(8))*VLOOKUP($D$34, Parser!$N$5:'Parser'!$O$24, 2, FALSE)</f>
        <v>15.018948032402268</v>
      </c>
      <c r="M7" s="240">
        <f>(1+SQRT(($B7-1))*9/100)*(SQRT(M$2)/SQRT(8))*VLOOKUP($D$34, Parser!$N$5:'Parser'!$O$24, 2, FALSE)</f>
        <v>14.048939461752974</v>
      </c>
      <c r="N7" s="240">
        <f>(1+SQRT(($B7-1))*9/100)*(SQRT(N$2)/SQRT(8))*VLOOKUP($D$34, Parser!$N$5:'Parser'!$O$24, 2, FALSE)</f>
        <v>13.006790534178673</v>
      </c>
      <c r="O7" s="240">
        <f>(1+SQRT(($B7-1))*9/100)*(SQRT(O$2)/SQRT(8))*VLOOKUP($D$34, Parser!$N$5:'Parser'!$O$24, 2, FALSE)</f>
        <v>11.873520960523882</v>
      </c>
      <c r="P7" s="240">
        <f>(1+SQRT(($B7-1))*9/100)*(SQRT(P$2)/SQRT(8))*VLOOKUP($D$34, Parser!$N$5:'Parser'!$O$24, 2, FALSE)</f>
        <v>10.62</v>
      </c>
      <c r="Q7" s="240">
        <f>(1+SQRT(($B7-1))*9/100)*(SQRT(Q$2)/SQRT(8))*VLOOKUP($D$34, Parser!$N$5:'Parser'!$O$24, 2, FALSE)</f>
        <v>9.1971897881907374</v>
      </c>
      <c r="R7" s="240">
        <f>(1+SQRT(($B7-1))*9/100)*(SQRT(R$2)/SQRT(8))*VLOOKUP($D$34, Parser!$N$5:'Parser'!$O$24, 2, FALSE)</f>
        <v>7.5094740162011338</v>
      </c>
      <c r="S7" s="253">
        <f>(1+SQRT(($B7-1))*9/100)*(SQRT(S$2)/SQRT(8))*VLOOKUP($D$34, Parser!$N$5:'Parser'!$O$24, 2, FALSE)</f>
        <v>5.31</v>
      </c>
      <c r="T7" s="242"/>
    </row>
    <row r="8" spans="2:20">
      <c r="B8" s="232">
        <v>6</v>
      </c>
      <c r="C8" s="234"/>
      <c r="D8" s="252">
        <f>(1+SQRT(($B8-1))*9/100)*(SQRT(D$2)/SQRT(8))*VLOOKUP($D$34, Parser!$N$5:'Parser'!$O$24, 2, FALSE)</f>
        <v>21.622430123549663</v>
      </c>
      <c r="E8" s="240">
        <f>(1+SQRT(($B8-1))*9/100)*(SQRT(E$2)/SQRT(8))*VLOOKUP($D$34, Parser!$N$5:'Parser'!$O$24, 2, FALSE)</f>
        <v>20.935827943260353</v>
      </c>
      <c r="F8" s="240">
        <f>(1+SQRT(($B8-1))*9/100)*(SQRT(F$2)/SQRT(8))*VLOOKUP($D$34, Parser!$N$5:'Parser'!$O$24, 2, FALSE)</f>
        <v>20.225931347945746</v>
      </c>
      <c r="G8" s="240">
        <f>(1+SQRT(($B8-1))*9/100)*(SQRT(G$2)/SQRT(8))*VLOOKUP($D$34, Parser!$N$5:'Parser'!$O$24, 2, FALSE)</f>
        <v>19.490195127648864</v>
      </c>
      <c r="H8" s="240">
        <f>(1+SQRT(($B8-1))*9/100)*(SQRT(H$2)/SQRT(8))*VLOOKUP($D$34, Parser!$N$5:'Parser'!$O$24, 2, FALSE)</f>
        <v>18.725573778547901</v>
      </c>
      <c r="I8" s="240">
        <f>(1+SQRT(($B8-1))*9/100)*(SQRT(I$2)/SQRT(8))*VLOOKUP($D$34, Parser!$N$5:'Parser'!$O$24, 2, FALSE)</f>
        <v>17.928371943873042</v>
      </c>
      <c r="J8" s="240">
        <f>(1+SQRT(($B8-1))*9/100)*(SQRT(J$2)/SQRT(8))*VLOOKUP($D$34, Parser!$N$5:'Parser'!$O$24, 2, FALSE)</f>
        <v>17.094031934563223</v>
      </c>
      <c r="K8" s="240">
        <f>(1+SQRT(($B8-1))*9/100)*(SQRT(K$2)/SQRT(8))*VLOOKUP($D$34, Parser!$N$5:'Parser'!$O$24, 2, FALSE)</f>
        <v>16.216822592662243</v>
      </c>
      <c r="L8" s="240">
        <f>(1+SQRT(($B8-1))*9/100)*(SQRT(L$2)/SQRT(8))*VLOOKUP($D$34, Parser!$N$5:'Parser'!$O$24, 2, FALSE)</f>
        <v>15.289366966094244</v>
      </c>
      <c r="M8" s="240">
        <f>(1+SQRT(($B8-1))*9/100)*(SQRT(M$2)/SQRT(8))*VLOOKUP($D$34, Parser!$N$5:'Parser'!$O$24, 2, FALSE)</f>
        <v>14.301893211946</v>
      </c>
      <c r="N8" s="240">
        <f>(1+SQRT(($B8-1))*9/100)*(SQRT(N$2)/SQRT(8))*VLOOKUP($D$34, Parser!$N$5:'Parser'!$O$24, 2, FALSE)</f>
        <v>13.240980200420225</v>
      </c>
      <c r="O8" s="240">
        <f>(1+SQRT(($B8-1))*9/100)*(SQRT(O$2)/SQRT(8))*VLOOKUP($D$34, Parser!$N$5:'Parser'!$O$24, 2, FALSE)</f>
        <v>12.087305898749054</v>
      </c>
      <c r="P8" s="240">
        <f>(1+SQRT(($B8-1))*9/100)*(SQRT(P$2)/SQRT(8))*VLOOKUP($D$34, Parser!$N$5:'Parser'!$O$24, 2, FALSE)</f>
        <v>10.811215061774831</v>
      </c>
      <c r="Q8" s="240">
        <f>(1+SQRT(($B8-1))*9/100)*(SQRT(Q$2)/SQRT(8))*VLOOKUP($D$34, Parser!$N$5:'Parser'!$O$24, 2, FALSE)</f>
        <v>9.3627868892739503</v>
      </c>
      <c r="R8" s="240">
        <f>(1+SQRT(($B8-1))*9/100)*(SQRT(R$2)/SQRT(8))*VLOOKUP($D$34, Parser!$N$5:'Parser'!$O$24, 2, FALSE)</f>
        <v>7.644683483047122</v>
      </c>
      <c r="S8" s="253">
        <f>(1+SQRT(($B8-1))*9/100)*(SQRT(S$2)/SQRT(8))*VLOOKUP($D$34, Parser!$N$5:'Parser'!$O$24, 2, FALSE)</f>
        <v>5.4056075308874156</v>
      </c>
      <c r="T8" s="242"/>
    </row>
    <row r="9" spans="2:20">
      <c r="B9" s="232">
        <v>7</v>
      </c>
      <c r="C9" s="234"/>
      <c r="D9" s="252">
        <f>(1+SQRT(($B9-1))*9/100)*(SQRT(D$2)/SQRT(8))*VLOOKUP($D$34, Parser!$N$5:'Parser'!$O$24, 2, FALSE)</f>
        <v>21.968173383308752</v>
      </c>
      <c r="E9" s="240">
        <f>(1+SQRT(($B9-1))*9/100)*(SQRT(E$2)/SQRT(8))*VLOOKUP($D$34, Parser!$N$5:'Parser'!$O$24, 2, FALSE)</f>
        <v>21.270592415037957</v>
      </c>
      <c r="F9" s="240">
        <f>(1+SQRT(($B9-1))*9/100)*(SQRT(F$2)/SQRT(8))*VLOOKUP($D$34, Parser!$N$5:'Parser'!$O$24, 2, FALSE)</f>
        <v>20.549344553396967</v>
      </c>
      <c r="G9" s="240">
        <f>(1+SQRT(($B9-1))*9/100)*(SQRT(G$2)/SQRT(8))*VLOOKUP($D$34, Parser!$N$5:'Parser'!$O$24, 2, FALSE)</f>
        <v>19.801843890450726</v>
      </c>
      <c r="H9" s="240">
        <f>(1+SQRT(($B9-1))*9/100)*(SQRT(H$2)/SQRT(8))*VLOOKUP($D$34, Parser!$N$5:'Parser'!$O$24, 2, FALSE)</f>
        <v>19.024996224686515</v>
      </c>
      <c r="I9" s="240">
        <f>(1+SQRT(($B9-1))*9/100)*(SQRT(I$2)/SQRT(8))*VLOOKUP($D$34, Parser!$N$5:'Parser'!$O$24, 2, FALSE)</f>
        <v>18.215047110476867</v>
      </c>
      <c r="J9" s="240">
        <f>(1+SQRT(($B9-1))*9/100)*(SQRT(J$2)/SQRT(8))*VLOOKUP($D$34, Parser!$N$5:'Parser'!$O$24, 2, FALSE)</f>
        <v>17.367365981185714</v>
      </c>
      <c r="K9" s="240">
        <f>(1+SQRT(($B9-1))*9/100)*(SQRT(K$2)/SQRT(8))*VLOOKUP($D$34, Parser!$N$5:'Parser'!$O$24, 2, FALSE)</f>
        <v>16.47613003748156</v>
      </c>
      <c r="L9" s="240">
        <f>(1+SQRT(($B9-1))*9/100)*(SQRT(L$2)/SQRT(8))*VLOOKUP($D$34, Parser!$N$5:'Parser'!$O$24, 2, FALSE)</f>
        <v>15.533844369619437</v>
      </c>
      <c r="M9" s="240">
        <f>(1+SQRT(($B9-1))*9/100)*(SQRT(M$2)/SQRT(8))*VLOOKUP($D$34, Parser!$N$5:'Parser'!$O$24, 2, FALSE)</f>
        <v>14.530580882645841</v>
      </c>
      <c r="N9" s="240">
        <f>(1+SQRT(($B9-1))*9/100)*(SQRT(N$2)/SQRT(8))*VLOOKUP($D$34, Parser!$N$5:'Parser'!$O$24, 2, FALSE)</f>
        <v>13.452703842524301</v>
      </c>
      <c r="O9" s="240">
        <f>(1+SQRT(($B9-1))*9/100)*(SQRT(O$2)/SQRT(8))*VLOOKUP($D$34, Parser!$N$5:'Parser'!$O$24, 2, FALSE)</f>
        <v>12.280582256644978</v>
      </c>
      <c r="P9" s="240">
        <f>(1+SQRT(($B9-1))*9/100)*(SQRT(P$2)/SQRT(8))*VLOOKUP($D$34, Parser!$N$5:'Parser'!$O$24, 2, FALSE)</f>
        <v>10.984086691654376</v>
      </c>
      <c r="Q9" s="240">
        <f>(1+SQRT(($B9-1))*9/100)*(SQRT(Q$2)/SQRT(8))*VLOOKUP($D$34, Parser!$N$5:'Parser'!$O$24, 2, FALSE)</f>
        <v>9.5124981123432573</v>
      </c>
      <c r="R9" s="240">
        <f>(1+SQRT(($B9-1))*9/100)*(SQRT(R$2)/SQRT(8))*VLOOKUP($D$34, Parser!$N$5:'Parser'!$O$24, 2, FALSE)</f>
        <v>7.7669221848097187</v>
      </c>
      <c r="S9" s="253">
        <f>(1+SQRT(($B9-1))*9/100)*(SQRT(S$2)/SQRT(8))*VLOOKUP($D$34, Parser!$N$5:'Parser'!$O$24, 2, FALSE)</f>
        <v>5.492043345827188</v>
      </c>
      <c r="T9" s="242"/>
    </row>
    <row r="10" spans="2:20">
      <c r="B10" s="232">
        <v>8</v>
      </c>
      <c r="C10" s="234"/>
      <c r="D10" s="252">
        <f>(1+SQRT(($B10-1))*9/100)*(SQRT(D$2)/SQRT(8))*VLOOKUP($D$34, Parser!$N$5:'Parser'!$O$24, 2, FALSE)</f>
        <v>22.286117123924637</v>
      </c>
      <c r="E10" s="240">
        <f>(1+SQRT(($B10-1))*9/100)*(SQRT(E$2)/SQRT(8))*VLOOKUP($D$34, Parser!$N$5:'Parser'!$O$24, 2, FALSE)</f>
        <v>21.578440118147011</v>
      </c>
      <c r="F10" s="240">
        <f>(1+SQRT(($B10-1))*9/100)*(SQRT(F$2)/SQRT(8))*VLOOKUP($D$34, Parser!$N$5:'Parser'!$O$24, 2, FALSE)</f>
        <v>20.846753689810459</v>
      </c>
      <c r="G10" s="240">
        <f>(1+SQRT(($B10-1))*9/100)*(SQRT(G$2)/SQRT(8))*VLOOKUP($D$34, Parser!$N$5:'Parser'!$O$24, 2, FALSE)</f>
        <v>20.088434505326575</v>
      </c>
      <c r="H10" s="240">
        <f>(1+SQRT(($B10-1))*9/100)*(SQRT(H$2)/SQRT(8))*VLOOKUP($D$34, Parser!$N$5:'Parser'!$O$24, 2, FALSE)</f>
        <v>19.300343581034124</v>
      </c>
      <c r="I10" s="240">
        <f>(1+SQRT(($B10-1))*9/100)*(SQRT(I$2)/SQRT(8))*VLOOKUP($D$34, Parser!$N$5:'Parser'!$O$24, 2, FALSE)</f>
        <v>18.478672133493109</v>
      </c>
      <c r="J10" s="240">
        <f>(1+SQRT(($B10-1))*9/100)*(SQRT(J$2)/SQRT(8))*VLOOKUP($D$34, Parser!$N$5:'Parser'!$O$24, 2, FALSE)</f>
        <v>17.618722578220712</v>
      </c>
      <c r="K10" s="240">
        <f>(1+SQRT(($B10-1))*9/100)*(SQRT(K$2)/SQRT(8))*VLOOKUP($D$34, Parser!$N$5:'Parser'!$O$24, 2, FALSE)</f>
        <v>16.714587842943473</v>
      </c>
      <c r="L10" s="240">
        <f>(1+SQRT(($B10-1))*9/100)*(SQRT(L$2)/SQRT(8))*VLOOKUP($D$34, Parser!$N$5:'Parser'!$O$24, 2, FALSE)</f>
        <v>15.758664544644745</v>
      </c>
      <c r="M10" s="240">
        <f>(1+SQRT(($B10-1))*9/100)*(SQRT(M$2)/SQRT(8))*VLOOKUP($D$34, Parser!$N$5:'Parser'!$O$24, 2, FALSE)</f>
        <v>14.740880899790655</v>
      </c>
      <c r="N10" s="240">
        <f>(1+SQRT(($B10-1))*9/100)*(SQRT(N$2)/SQRT(8))*VLOOKUP($D$34, Parser!$N$5:'Parser'!$O$24, 2, FALSE)</f>
        <v>13.647403825379484</v>
      </c>
      <c r="O10" s="240">
        <f>(1+SQRT(($B10-1))*9/100)*(SQRT(O$2)/SQRT(8))*VLOOKUP($D$34, Parser!$N$5:'Parser'!$O$24, 2, FALSE)</f>
        <v>12.458318210904398</v>
      </c>
      <c r="P10" s="240">
        <f>(1+SQRT(($B10-1))*9/100)*(SQRT(P$2)/SQRT(8))*VLOOKUP($D$34, Parser!$N$5:'Parser'!$O$24, 2, FALSE)</f>
        <v>11.143058561962318</v>
      </c>
      <c r="Q10" s="240">
        <f>(1+SQRT(($B10-1))*9/100)*(SQRT(Q$2)/SQRT(8))*VLOOKUP($D$34, Parser!$N$5:'Parser'!$O$24, 2, FALSE)</f>
        <v>9.6501717905170619</v>
      </c>
      <c r="R10" s="240">
        <f>(1+SQRT(($B10-1))*9/100)*(SQRT(R$2)/SQRT(8))*VLOOKUP($D$34, Parser!$N$5:'Parser'!$O$24, 2, FALSE)</f>
        <v>7.8793322723223724</v>
      </c>
      <c r="S10" s="253">
        <f>(1+SQRT(($B10-1))*9/100)*(SQRT(S$2)/SQRT(8))*VLOOKUP($D$34, Parser!$N$5:'Parser'!$O$24, 2, FALSE)</f>
        <v>5.5715292809811592</v>
      </c>
      <c r="T10" s="242"/>
    </row>
    <row r="11" spans="2:20">
      <c r="B11" s="232">
        <v>9</v>
      </c>
      <c r="C11" s="234"/>
      <c r="D11" s="252">
        <f>(1+SQRT(($B11-1))*9/100)*(SQRT(D$2)/SQRT(8))*VLOOKUP($D$34, Parser!$N$5:'Parser'!$O$24, 2, FALSE)</f>
        <v>22.582051942088828</v>
      </c>
      <c r="E11" s="240">
        <f>(1+SQRT(($B11-1))*9/100)*(SQRT(E$2)/SQRT(8))*VLOOKUP($D$34, Parser!$N$5:'Parser'!$O$24, 2, FALSE)</f>
        <v>21.864977773725219</v>
      </c>
      <c r="F11" s="240">
        <f>(1+SQRT(($B11-1))*9/100)*(SQRT(F$2)/SQRT(8))*VLOOKUP($D$34, Parser!$N$5:'Parser'!$O$24, 2, FALSE)</f>
        <v>21.123575364407372</v>
      </c>
      <c r="G11" s="240">
        <f>(1+SQRT(($B11-1))*9/100)*(SQRT(G$2)/SQRT(8))*VLOOKUP($D$34, Parser!$N$5:'Parser'!$O$24, 2, FALSE)</f>
        <v>20.355186545598105</v>
      </c>
      <c r="H11" s="240">
        <f>(1+SQRT(($B11-1))*9/100)*(SQRT(H$2)/SQRT(8))*VLOOKUP($D$34, Parser!$N$5:'Parser'!$O$24, 2, FALSE)</f>
        <v>19.556630651428641</v>
      </c>
      <c r="I11" s="240">
        <f>(1+SQRT(($B11-1))*9/100)*(SQRT(I$2)/SQRT(8))*VLOOKUP($D$34, Parser!$N$5:'Parser'!$O$24, 2, FALSE)</f>
        <v>18.724048322056277</v>
      </c>
      <c r="J11" s="240">
        <f>(1+SQRT(($B11-1))*9/100)*(SQRT(J$2)/SQRT(8))*VLOOKUP($D$34, Parser!$N$5:'Parser'!$O$24, 2, FALSE)</f>
        <v>17.852679594307364</v>
      </c>
      <c r="K11" s="240">
        <f>(1+SQRT(($B11-1))*9/100)*(SQRT(K$2)/SQRT(8))*VLOOKUP($D$34, Parser!$N$5:'Parser'!$O$24, 2, FALSE)</f>
        <v>16.936538956566618</v>
      </c>
      <c r="L11" s="240">
        <f>(1+SQRT(($B11-1))*9/100)*(SQRT(L$2)/SQRT(8))*VLOOKUP($D$34, Parser!$N$5:'Parser'!$O$24, 2, FALSE)</f>
        <v>15.967922061357854</v>
      </c>
      <c r="M11" s="240">
        <f>(1+SQRT(($B11-1))*9/100)*(SQRT(M$2)/SQRT(8))*VLOOKUP($D$34, Parser!$N$5:'Parser'!$O$24, 2, FALSE)</f>
        <v>14.936623383077547</v>
      </c>
      <c r="N11" s="240">
        <f>(1+SQRT(($B11-1))*9/100)*(SQRT(N$2)/SQRT(8))*VLOOKUP($D$34, Parser!$N$5:'Parser'!$O$24, 2, FALSE)</f>
        <v>13.828626150785881</v>
      </c>
      <c r="O11" s="240">
        <f>(1+SQRT(($B11-1))*9/100)*(SQRT(O$2)/SQRT(8))*VLOOKUP($D$34, Parser!$N$5:'Parser'!$O$24, 2, FALSE)</f>
        <v>12.623750803485441</v>
      </c>
      <c r="P11" s="240">
        <f>(1+SQRT(($B11-1))*9/100)*(SQRT(P$2)/SQRT(8))*VLOOKUP($D$34, Parser!$N$5:'Parser'!$O$24, 2, FALSE)</f>
        <v>11.291025971044414</v>
      </c>
      <c r="Q11" s="240">
        <f>(1+SQRT(($B11-1))*9/100)*(SQRT(Q$2)/SQRT(8))*VLOOKUP($D$34, Parser!$N$5:'Parser'!$O$24, 2, FALSE)</f>
        <v>9.7783153257143205</v>
      </c>
      <c r="R11" s="240">
        <f>(1+SQRT(($B11-1))*9/100)*(SQRT(R$2)/SQRT(8))*VLOOKUP($D$34, Parser!$N$5:'Parser'!$O$24, 2, FALSE)</f>
        <v>7.9839610306789268</v>
      </c>
      <c r="S11" s="253">
        <f>(1+SQRT(($B11-1))*9/100)*(SQRT(S$2)/SQRT(8))*VLOOKUP($D$34, Parser!$N$5:'Parser'!$O$24, 2, FALSE)</f>
        <v>5.645512985522207</v>
      </c>
      <c r="T11" s="242"/>
    </row>
    <row r="12" spans="2:20">
      <c r="B12" s="232">
        <v>10</v>
      </c>
      <c r="C12" s="234"/>
      <c r="D12" s="252">
        <f>(1+SQRT(($B12-1))*9/100)*(SQRT(D$2)/SQRT(8))*VLOOKUP($D$34, Parser!$N$5:'Parser'!$O$24, 2, FALSE)</f>
        <v>22.86</v>
      </c>
      <c r="E12" s="240">
        <f>(1+SQRT(($B12-1))*9/100)*(SQRT(E$2)/SQRT(8))*VLOOKUP($D$34, Parser!$N$5:'Parser'!$O$24, 2, FALSE)</f>
        <v>22.134099823575387</v>
      </c>
      <c r="F12" s="240">
        <f>(1+SQRT(($B12-1))*9/100)*(SQRT(F$2)/SQRT(8))*VLOOKUP($D$34, Parser!$N$5:'Parser'!$O$24, 2, FALSE)</f>
        <v>21.383571965413076</v>
      </c>
      <c r="G12" s="240">
        <f>(1+SQRT(($B12-1))*9/100)*(SQRT(G$2)/SQRT(8))*VLOOKUP($D$34, Parser!$N$5:'Parser'!$O$24, 2, FALSE)</f>
        <v>20.605725539276698</v>
      </c>
      <c r="H12" s="240">
        <f>(1+SQRT(($B12-1))*9/100)*(SQRT(H$2)/SQRT(8))*VLOOKUP($D$34, Parser!$N$5:'Parser'!$O$24, 2, FALSE)</f>
        <v>19.797340730512264</v>
      </c>
      <c r="I12" s="240">
        <f>(1+SQRT(($B12-1))*9/100)*(SQRT(I$2)/SQRT(8))*VLOOKUP($D$34, Parser!$N$5:'Parser'!$O$24, 2, FALSE)</f>
        <v>18.95451067688111</v>
      </c>
      <c r="J12" s="240">
        <f>(1+SQRT(($B12-1))*9/100)*(SQRT(J$2)/SQRT(8))*VLOOKUP($D$34, Parser!$N$5:'Parser'!$O$24, 2, FALSE)</f>
        <v>18.072416827862288</v>
      </c>
      <c r="K12" s="240">
        <f>(1+SQRT(($B12-1))*9/100)*(SQRT(K$2)/SQRT(8))*VLOOKUP($D$34, Parser!$N$5:'Parser'!$O$24, 2, FALSE)</f>
        <v>17.145</v>
      </c>
      <c r="L12" s="240">
        <f>(1+SQRT(($B12-1))*9/100)*(SQRT(L$2)/SQRT(8))*VLOOKUP($D$34, Parser!$N$5:'Parser'!$O$24, 2, FALSE)</f>
        <v>16.164461017924477</v>
      </c>
      <c r="M12" s="240">
        <f>(1+SQRT(($B12-1))*9/100)*(SQRT(M$2)/SQRT(8))*VLOOKUP($D$34, Parser!$N$5:'Parser'!$O$24, 2, FALSE)</f>
        <v>15.120468742734133</v>
      </c>
      <c r="N12" s="240">
        <f>(1+SQRT(($B12-1))*9/100)*(SQRT(N$2)/SQRT(8))*VLOOKUP($D$34, Parser!$N$5:'Parser'!$O$24, 2, FALSE)</f>
        <v>13.998833880005861</v>
      </c>
      <c r="O12" s="240">
        <f>(1+SQRT(($B12-1))*9/100)*(SQRT(O$2)/SQRT(8))*VLOOKUP($D$34, Parser!$N$5:'Parser'!$O$24, 2, FALSE)</f>
        <v>12.779128491411299</v>
      </c>
      <c r="P12" s="240">
        <f>(1+SQRT(($B12-1))*9/100)*(SQRT(P$2)/SQRT(8))*VLOOKUP($D$34, Parser!$N$5:'Parser'!$O$24, 2, FALSE)</f>
        <v>11.43</v>
      </c>
      <c r="Q12" s="240">
        <f>(1+SQRT(($B12-1))*9/100)*(SQRT(Q$2)/SQRT(8))*VLOOKUP($D$34, Parser!$N$5:'Parser'!$O$24, 2, FALSE)</f>
        <v>9.8986703652561321</v>
      </c>
      <c r="R12" s="240">
        <f>(1+SQRT(($B12-1))*9/100)*(SQRT(R$2)/SQRT(8))*VLOOKUP($D$34, Parser!$N$5:'Parser'!$O$24, 2, FALSE)</f>
        <v>8.0822305089622386</v>
      </c>
      <c r="S12" s="253">
        <f>(1+SQRT(($B12-1))*9/100)*(SQRT(S$2)/SQRT(8))*VLOOKUP($D$34, Parser!$N$5:'Parser'!$O$24, 2, FALSE)</f>
        <v>5.7149999999999999</v>
      </c>
      <c r="T12" s="242"/>
    </row>
    <row r="13" spans="2:20">
      <c r="B13" s="232">
        <v>11</v>
      </c>
      <c r="C13" s="234"/>
      <c r="D13" s="252">
        <f>(1+SQRT(($B13-1))*9/100)*(SQRT(D$2)/SQRT(8))*VLOOKUP($D$34, Parser!$N$5:'Parser'!$O$24, 2, FALSE)</f>
        <v>23.122889809472774</v>
      </c>
      <c r="E13" s="240">
        <f>(1+SQRT(($B13-1))*9/100)*(SQRT(E$2)/SQRT(8))*VLOOKUP($D$34, Parser!$N$5:'Parser'!$O$24, 2, FALSE)</f>
        <v>22.388641787069311</v>
      </c>
      <c r="F13" s="240">
        <f>(1+SQRT(($B13-1))*9/100)*(SQRT(F$2)/SQRT(8))*VLOOKUP($D$34, Parser!$N$5:'Parser'!$O$24, 2, FALSE)</f>
        <v>21.629482864793424</v>
      </c>
      <c r="G13" s="240">
        <f>(1+SQRT(($B13-1))*9/100)*(SQRT(G$2)/SQRT(8))*VLOOKUP($D$34, Parser!$N$5:'Parser'!$O$24, 2, FALSE)</f>
        <v>20.842691211239455</v>
      </c>
      <c r="H13" s="240">
        <f>(1+SQRT(($B13-1))*9/100)*(SQRT(H$2)/SQRT(8))*VLOOKUP($D$34, Parser!$N$5:'Parser'!$O$24, 2, FALSE)</f>
        <v>20.025009983911737</v>
      </c>
      <c r="I13" s="240">
        <f>(1+SQRT(($B13-1))*9/100)*(SQRT(I$2)/SQRT(8))*VLOOKUP($D$34, Parser!$N$5:'Parser'!$O$24, 2, FALSE)</f>
        <v>19.172487391688414</v>
      </c>
      <c r="J13" s="240">
        <f>(1+SQRT(($B13-1))*9/100)*(SQRT(J$2)/SQRT(8))*VLOOKUP($D$34, Parser!$N$5:'Parser'!$O$24, 2, FALSE)</f>
        <v>18.280249470757703</v>
      </c>
      <c r="K13" s="240">
        <f>(1+SQRT(($B13-1))*9/100)*(SQRT(K$2)/SQRT(8))*VLOOKUP($D$34, Parser!$N$5:'Parser'!$O$24, 2, FALSE)</f>
        <v>17.342167357104579</v>
      </c>
      <c r="L13" s="240">
        <f>(1+SQRT(($B13-1))*9/100)*(SQRT(L$2)/SQRT(8))*VLOOKUP($D$34, Parser!$N$5:'Parser'!$O$24, 2, FALSE)</f>
        <v>16.350352184907514</v>
      </c>
      <c r="M13" s="240">
        <f>(1+SQRT(($B13-1))*9/100)*(SQRT(M$2)/SQRT(8))*VLOOKUP($D$34, Parser!$N$5:'Parser'!$O$24, 2, FALSE)</f>
        <v>15.294354007253661</v>
      </c>
      <c r="N13" s="240">
        <f>(1+SQRT(($B13-1))*9/100)*(SQRT(N$2)/SQRT(8))*VLOOKUP($D$34, Parser!$N$5:'Parser'!$O$24, 2, FALSE)</f>
        <v>14.159820352952307</v>
      </c>
      <c r="O13" s="240">
        <f>(1+SQRT(($B13-1))*9/100)*(SQRT(O$2)/SQRT(8))*VLOOKUP($D$34, Parser!$N$5:'Parser'!$O$24, 2, FALSE)</f>
        <v>12.926088362554571</v>
      </c>
      <c r="P13" s="240">
        <f>(1+SQRT(($B13-1))*9/100)*(SQRT(P$2)/SQRT(8))*VLOOKUP($D$34, Parser!$N$5:'Parser'!$O$24, 2, FALSE)</f>
        <v>11.561444904736387</v>
      </c>
      <c r="Q13" s="240">
        <f>(1+SQRT(($B13-1))*9/100)*(SQRT(Q$2)/SQRT(8))*VLOOKUP($D$34, Parser!$N$5:'Parser'!$O$24, 2, FALSE)</f>
        <v>10.012504991955868</v>
      </c>
      <c r="R13" s="240">
        <f>(1+SQRT(($B13-1))*9/100)*(SQRT(R$2)/SQRT(8))*VLOOKUP($D$34, Parser!$N$5:'Parser'!$O$24, 2, FALSE)</f>
        <v>8.1751760924537571</v>
      </c>
      <c r="S13" s="253">
        <f>(1+SQRT(($B13-1))*9/100)*(SQRT(S$2)/SQRT(8))*VLOOKUP($D$34, Parser!$N$5:'Parser'!$O$24, 2, FALSE)</f>
        <v>5.7807224523681935</v>
      </c>
      <c r="T13" s="242"/>
    </row>
    <row r="14" spans="2:20">
      <c r="B14" s="232">
        <v>12</v>
      </c>
      <c r="C14" s="234"/>
      <c r="D14" s="252">
        <f>(1+SQRT(($B14-1))*9/100)*(SQRT(D$2)/SQRT(8))*VLOOKUP($D$34, Parser!$N$5:'Parser'!$O$24, 2, FALSE)</f>
        <v>23.37293216037575</v>
      </c>
      <c r="E14" s="240">
        <f>(1+SQRT(($B14-1))*9/100)*(SQRT(E$2)/SQRT(8))*VLOOKUP($D$34, Parser!$N$5:'Parser'!$O$24, 2, FALSE)</f>
        <v>22.630744252292754</v>
      </c>
      <c r="F14" s="240">
        <f>(1+SQRT(($B14-1))*9/100)*(SQRT(F$2)/SQRT(8))*VLOOKUP($D$34, Parser!$N$5:'Parser'!$O$24, 2, FALSE)</f>
        <v>21.863376067109034</v>
      </c>
      <c r="G14" s="240">
        <f>(1+SQRT(($B14-1))*9/100)*(SQRT(G$2)/SQRT(8))*VLOOKUP($D$34, Parser!$N$5:'Parser'!$O$24, 2, FALSE)</f>
        <v>21.068076340544017</v>
      </c>
      <c r="H14" s="240">
        <f>(1+SQRT(($B14-1))*9/100)*(SQRT(H$2)/SQRT(8))*VLOOKUP($D$34, Parser!$N$5:'Parser'!$O$24, 2, FALSE)</f>
        <v>20.241553011815697</v>
      </c>
      <c r="I14" s="240">
        <f>(1+SQRT(($B14-1))*9/100)*(SQRT(I$2)/SQRT(8))*VLOOKUP($D$34, Parser!$N$5:'Parser'!$O$24, 2, FALSE)</f>
        <v>19.3798115565993</v>
      </c>
      <c r="J14" s="240">
        <f>(1+SQRT(($B14-1))*9/100)*(SQRT(J$2)/SQRT(8))*VLOOKUP($D$34, Parser!$N$5:'Parser'!$O$24, 2, FALSE)</f>
        <v>18.477925305846821</v>
      </c>
      <c r="K14" s="240">
        <f>(1+SQRT(($B14-1))*9/100)*(SQRT(K$2)/SQRT(8))*VLOOKUP($D$34, Parser!$N$5:'Parser'!$O$24, 2, FALSE)</f>
        <v>17.529699120281812</v>
      </c>
      <c r="L14" s="240">
        <f>(1+SQRT(($B14-1))*9/100)*(SQRT(L$2)/SQRT(8))*VLOOKUP($D$34, Parser!$N$5:'Parser'!$O$24, 2, FALSE)</f>
        <v>16.527158826814834</v>
      </c>
      <c r="M14" s="240">
        <f>(1+SQRT(($B14-1))*9/100)*(SQRT(M$2)/SQRT(8))*VLOOKUP($D$34, Parser!$N$5:'Parser'!$O$24, 2, FALSE)</f>
        <v>15.459741476684465</v>
      </c>
      <c r="N14" s="240">
        <f>(1+SQRT(($B14-1))*9/100)*(SQRT(N$2)/SQRT(8))*VLOOKUP($D$34, Parser!$N$5:'Parser'!$O$24, 2, FALSE)</f>
        <v>14.312939396401864</v>
      </c>
      <c r="O14" s="240">
        <f>(1+SQRT(($B14-1))*9/100)*(SQRT(O$2)/SQRT(8))*VLOOKUP($D$34, Parser!$N$5:'Parser'!$O$24, 2, FALSE)</f>
        <v>13.065866286022798</v>
      </c>
      <c r="P14" s="240">
        <f>(1+SQRT(($B14-1))*9/100)*(SQRT(P$2)/SQRT(8))*VLOOKUP($D$34, Parser!$N$5:'Parser'!$O$24, 2, FALSE)</f>
        <v>11.686466080187875</v>
      </c>
      <c r="Q14" s="240">
        <f>(1+SQRT(($B14-1))*9/100)*(SQRT(Q$2)/SQRT(8))*VLOOKUP($D$34, Parser!$N$5:'Parser'!$O$24, 2, FALSE)</f>
        <v>10.120776505907848</v>
      </c>
      <c r="R14" s="240">
        <f>(1+SQRT(($B14-1))*9/100)*(SQRT(R$2)/SQRT(8))*VLOOKUP($D$34, Parser!$N$5:'Parser'!$O$24, 2, FALSE)</f>
        <v>8.2635794134074168</v>
      </c>
      <c r="S14" s="253">
        <f>(1+SQRT(($B14-1))*9/100)*(SQRT(S$2)/SQRT(8))*VLOOKUP($D$34, Parser!$N$5:'Parser'!$O$24, 2, FALSE)</f>
        <v>5.8432330400939376</v>
      </c>
      <c r="T14" s="242"/>
    </row>
    <row r="15" spans="2:20">
      <c r="B15" s="232">
        <v>13</v>
      </c>
      <c r="C15" s="234"/>
      <c r="D15" s="252">
        <f>(1+SQRT(($B15-1))*9/100)*(SQRT(D$2)/SQRT(8))*VLOOKUP($D$34, Parser!$N$5:'Parser'!$O$24, 2, FALSE)</f>
        <v>23.611844616523161</v>
      </c>
      <c r="E15" s="240">
        <f>(1+SQRT(($B15-1))*9/100)*(SQRT(E$2)/SQRT(8))*VLOOKUP($D$34, Parser!$N$5:'Parser'!$O$24, 2, FALSE)</f>
        <v>22.862070243257865</v>
      </c>
      <c r="F15" s="240">
        <f>(1+SQRT(($B15-1))*9/100)*(SQRT(F$2)/SQRT(8))*VLOOKUP($D$34, Parser!$N$5:'Parser'!$O$24, 2, FALSE)</f>
        <v>22.086858206193099</v>
      </c>
      <c r="G15" s="240">
        <f>(1+SQRT(($B15-1))*9/100)*(SQRT(G$2)/SQRT(8))*VLOOKUP($D$34, Parser!$N$5:'Parser'!$O$24, 2, FALSE)</f>
        <v>21.283429118290648</v>
      </c>
      <c r="H15" s="240">
        <f>(1+SQRT(($B15-1))*9/100)*(SQRT(H$2)/SQRT(8))*VLOOKUP($D$34, Parser!$N$5:'Parser'!$O$24, 2, FALSE)</f>
        <v>20.448457268119892</v>
      </c>
      <c r="I15" s="240">
        <f>(1+SQRT(($B15-1))*9/100)*(SQRT(I$2)/SQRT(8))*VLOOKUP($D$34, Parser!$N$5:'Parser'!$O$24, 2, FALSE)</f>
        <v>19.577907300295102</v>
      </c>
      <c r="J15" s="240">
        <f>(1+SQRT(($B15-1))*9/100)*(SQRT(J$2)/SQRT(8))*VLOOKUP($D$34, Parser!$N$5:'Parser'!$O$24, 2, FALSE)</f>
        <v>18.66680218654955</v>
      </c>
      <c r="K15" s="240">
        <f>(1+SQRT(($B15-1))*9/100)*(SQRT(K$2)/SQRT(8))*VLOOKUP($D$34, Parser!$N$5:'Parser'!$O$24, 2, FALSE)</f>
        <v>17.708883462392368</v>
      </c>
      <c r="L15" s="240">
        <f>(1+SQRT(($B15-1))*9/100)*(SQRT(L$2)/SQRT(8))*VLOOKUP($D$34, Parser!$N$5:'Parser'!$O$24, 2, FALSE)</f>
        <v>16.696095444666604</v>
      </c>
      <c r="M15" s="240">
        <f>(1+SQRT(($B15-1))*9/100)*(SQRT(M$2)/SQRT(8))*VLOOKUP($D$34, Parser!$N$5:'Parser'!$O$24, 2, FALSE)</f>
        <v>15.617767212704887</v>
      </c>
      <c r="N15" s="240">
        <f>(1+SQRT(($B15-1))*9/100)*(SQRT(N$2)/SQRT(8))*VLOOKUP($D$34, Parser!$N$5:'Parser'!$O$24, 2, FALSE)</f>
        <v>14.459242799090919</v>
      </c>
      <c r="O15" s="240">
        <f>(1+SQRT(($B15-1))*9/100)*(SQRT(O$2)/SQRT(8))*VLOOKUP($D$34, Parser!$N$5:'Parser'!$O$24, 2, FALSE)</f>
        <v>13.19942240917706</v>
      </c>
      <c r="P15" s="240">
        <f>(1+SQRT(($B15-1))*9/100)*(SQRT(P$2)/SQRT(8))*VLOOKUP($D$34, Parser!$N$5:'Parser'!$O$24, 2, FALSE)</f>
        <v>11.805922308261581</v>
      </c>
      <c r="Q15" s="240">
        <f>(1+SQRT(($B15-1))*9/100)*(SQRT(Q$2)/SQRT(8))*VLOOKUP($D$34, Parser!$N$5:'Parser'!$O$24, 2, FALSE)</f>
        <v>10.224228634059946</v>
      </c>
      <c r="R15" s="240">
        <f>(1+SQRT(($B15-1))*9/100)*(SQRT(R$2)/SQRT(8))*VLOOKUP($D$34, Parser!$N$5:'Parser'!$O$24, 2, FALSE)</f>
        <v>8.3480477223333018</v>
      </c>
      <c r="S15" s="253">
        <f>(1+SQRT(($B15-1))*9/100)*(SQRT(S$2)/SQRT(8))*VLOOKUP($D$34, Parser!$N$5:'Parser'!$O$24, 2, FALSE)</f>
        <v>5.9029611541307903</v>
      </c>
      <c r="T15" s="242"/>
    </row>
    <row r="16" spans="2:20">
      <c r="B16" s="232">
        <v>14</v>
      </c>
      <c r="C16" s="234"/>
      <c r="D16" s="252">
        <f>(1+SQRT(($B16-1))*9/100)*(SQRT(D$2)/SQRT(8))*VLOOKUP($D$34, Parser!$N$5:'Parser'!$O$24, 2, FALSE)</f>
        <v>23.840993066251663</v>
      </c>
      <c r="E16" s="240">
        <f>(1+SQRT(($B16-1))*9/100)*(SQRT(E$2)/SQRT(8))*VLOOKUP($D$34, Parser!$N$5:'Parser'!$O$24, 2, FALSE)</f>
        <v>23.083942275659798</v>
      </c>
      <c r="F16" s="240">
        <f>(1+SQRT(($B16-1))*9/100)*(SQRT(F$2)/SQRT(8))*VLOOKUP($D$34, Parser!$N$5:'Parser'!$O$24, 2, FALSE)</f>
        <v>22.301206953591716</v>
      </c>
      <c r="G16" s="240">
        <f>(1+SQRT(($B16-1))*9/100)*(SQRT(G$2)/SQRT(8))*VLOOKUP($D$34, Parser!$N$5:'Parser'!$O$24, 2, FALSE)</f>
        <v>21.489980739587949</v>
      </c>
      <c r="H16" s="240">
        <f>(1+SQRT(($B16-1))*9/100)*(SQRT(H$2)/SQRT(8))*VLOOKUP($D$34, Parser!$N$5:'Parser'!$O$24, 2, FALSE)</f>
        <v>20.646905646822596</v>
      </c>
      <c r="I16" s="240">
        <f>(1+SQRT(($B16-1))*9/100)*(SQRT(I$2)/SQRT(8))*VLOOKUP($D$34, Parser!$N$5:'Parser'!$O$24, 2, FALSE)</f>
        <v>19.767907157555367</v>
      </c>
      <c r="J16" s="240">
        <f>(1+SQRT(($B16-1))*9/100)*(SQRT(J$2)/SQRT(8))*VLOOKUP($D$34, Parser!$N$5:'Parser'!$O$24, 2, FALSE)</f>
        <v>18.847959942409215</v>
      </c>
      <c r="K16" s="240">
        <f>(1+SQRT(($B16-1))*9/100)*(SQRT(K$2)/SQRT(8))*VLOOKUP($D$34, Parser!$N$5:'Parser'!$O$24, 2, FALSE)</f>
        <v>17.880744799688745</v>
      </c>
      <c r="L16" s="240">
        <f>(1+SQRT(($B16-1))*9/100)*(SQRT(L$2)/SQRT(8))*VLOOKUP($D$34, Parser!$N$5:'Parser'!$O$24, 2, FALSE)</f>
        <v>16.858127867368012</v>
      </c>
      <c r="M16" s="240">
        <f>(1+SQRT(($B16-1))*9/100)*(SQRT(M$2)/SQRT(8))*VLOOKUP($D$34, Parser!$N$5:'Parser'!$O$24, 2, FALSE)</f>
        <v>15.769334665529287</v>
      </c>
      <c r="N16" s="240">
        <f>(1+SQRT(($B16-1))*9/100)*(SQRT(N$2)/SQRT(8))*VLOOKUP($D$34, Parser!$N$5:'Parser'!$O$24, 2, FALSE)</f>
        <v>14.599566993387079</v>
      </c>
      <c r="O16" s="240">
        <f>(1+SQRT(($B16-1))*9/100)*(SQRT(O$2)/SQRT(8))*VLOOKUP($D$34, Parser!$N$5:'Parser'!$O$24, 2, FALSE)</f>
        <v>13.327520286809969</v>
      </c>
      <c r="P16" s="240">
        <f>(1+SQRT(($B16-1))*9/100)*(SQRT(P$2)/SQRT(8))*VLOOKUP($D$34, Parser!$N$5:'Parser'!$O$24, 2, FALSE)</f>
        <v>11.920496533125831</v>
      </c>
      <c r="Q16" s="240">
        <f>(1+SQRT(($B16-1))*9/100)*(SQRT(Q$2)/SQRT(8))*VLOOKUP($D$34, Parser!$N$5:'Parser'!$O$24, 2, FALSE)</f>
        <v>10.323452823411298</v>
      </c>
      <c r="R16" s="240">
        <f>(1+SQRT(($B16-1))*9/100)*(SQRT(R$2)/SQRT(8))*VLOOKUP($D$34, Parser!$N$5:'Parser'!$O$24, 2, FALSE)</f>
        <v>8.4290639336840059</v>
      </c>
      <c r="S16" s="253">
        <f>(1+SQRT(($B16-1))*9/100)*(SQRT(S$2)/SQRT(8))*VLOOKUP($D$34, Parser!$N$5:'Parser'!$O$24, 2, FALSE)</f>
        <v>5.9602482665629157</v>
      </c>
      <c r="T16" s="242"/>
    </row>
    <row r="17" spans="2:20">
      <c r="B17" s="232">
        <v>15</v>
      </c>
      <c r="C17" s="234"/>
      <c r="D17" s="252">
        <f>(1+SQRT(($B17-1))*9/100)*(SQRT(D$2)/SQRT(8))*VLOOKUP($D$34, Parser!$N$5:'Parser'!$O$24, 2, FALSE)</f>
        <v>24.061484966573786</v>
      </c>
      <c r="E17" s="240">
        <f>(1+SQRT(($B17-1))*9/100)*(SQRT(E$2)/SQRT(8))*VLOOKUP($D$34, Parser!$N$5:'Parser'!$O$24, 2, FALSE)</f>
        <v>23.297432640140098</v>
      </c>
      <c r="F17" s="240">
        <f>(1+SQRT(($B17-1))*9/100)*(SQRT(F$2)/SQRT(8))*VLOOKUP($D$34, Parser!$N$5:'Parser'!$O$24, 2, FALSE)</f>
        <v>22.507458240482737</v>
      </c>
      <c r="G17" s="240">
        <f>(1+SQRT(($B17-1))*9/100)*(SQRT(G$2)/SQRT(8))*VLOOKUP($D$34, Parser!$N$5:'Parser'!$O$24, 2, FALSE)</f>
        <v>21.688729452696926</v>
      </c>
      <c r="H17" s="240">
        <f>(1+SQRT(($B17-1))*9/100)*(SQRT(H$2)/SQRT(8))*VLOOKUP($D$34, Parser!$N$5:'Parser'!$O$24, 2, FALSE)</f>
        <v>20.83785723383026</v>
      </c>
      <c r="I17" s="240">
        <f>(1+SQRT(($B17-1))*9/100)*(SQRT(I$2)/SQRT(8))*VLOOKUP($D$34, Parser!$N$5:'Parser'!$O$24, 2, FALSE)</f>
        <v>19.9507293832256</v>
      </c>
      <c r="J17" s="240">
        <f>(1+SQRT(($B17-1))*9/100)*(SQRT(J$2)/SQRT(8))*VLOOKUP($D$34, Parser!$N$5:'Parser'!$O$24, 2, FALSE)</f>
        <v>19.022274095068394</v>
      </c>
      <c r="K17" s="240">
        <f>(1+SQRT(($B17-1))*9/100)*(SQRT(K$2)/SQRT(8))*VLOOKUP($D$34, Parser!$N$5:'Parser'!$O$24, 2, FALSE)</f>
        <v>18.04611372493034</v>
      </c>
      <c r="L17" s="240">
        <f>(1+SQRT(($B17-1))*9/100)*(SQRT(L$2)/SQRT(8))*VLOOKUP($D$34, Parser!$N$5:'Parser'!$O$24, 2, FALSE)</f>
        <v>17.014039185282492</v>
      </c>
      <c r="M17" s="240">
        <f>(1+SQRT(($B17-1))*9/100)*(SQRT(M$2)/SQRT(8))*VLOOKUP($D$34, Parser!$N$5:'Parser'!$O$24, 2, FALSE)</f>
        <v>15.915176349118379</v>
      </c>
      <c r="N17" s="240">
        <f>(1+SQRT(($B17-1))*9/100)*(SQRT(N$2)/SQRT(8))*VLOOKUP($D$34, Parser!$N$5:'Parser'!$O$24, 2, FALSE)</f>
        <v>14.73459015543853</v>
      </c>
      <c r="O17" s="240">
        <f>(1+SQRT(($B17-1))*9/100)*(SQRT(O$2)/SQRT(8))*VLOOKUP($D$34, Parser!$N$5:'Parser'!$O$24, 2, FALSE)</f>
        <v>13.450779006212061</v>
      </c>
      <c r="P17" s="240">
        <f>(1+SQRT(($B17-1))*9/100)*(SQRT(P$2)/SQRT(8))*VLOOKUP($D$34, Parser!$N$5:'Parser'!$O$24, 2, FALSE)</f>
        <v>12.030742483286893</v>
      </c>
      <c r="Q17" s="240">
        <f>(1+SQRT(($B17-1))*9/100)*(SQRT(Q$2)/SQRT(8))*VLOOKUP($D$34, Parser!$N$5:'Parser'!$O$24, 2, FALSE)</f>
        <v>10.41892861691513</v>
      </c>
      <c r="R17" s="240">
        <f>(1+SQRT(($B17-1))*9/100)*(SQRT(R$2)/SQRT(8))*VLOOKUP($D$34, Parser!$N$5:'Parser'!$O$24, 2, FALSE)</f>
        <v>8.507019592641246</v>
      </c>
      <c r="S17" s="253">
        <f>(1+SQRT(($B17-1))*9/100)*(SQRT(S$2)/SQRT(8))*VLOOKUP($D$34, Parser!$N$5:'Parser'!$O$24, 2, FALSE)</f>
        <v>6.0153712416434466</v>
      </c>
      <c r="T17" s="242"/>
    </row>
    <row r="18" spans="2:20">
      <c r="B18" s="232">
        <v>16</v>
      </c>
      <c r="C18" s="234"/>
      <c r="D18" s="252">
        <f>(1+SQRT(($B18-1))*9/100)*(SQRT(D$2)/SQRT(8))*VLOOKUP($D$34, Parser!$N$5:'Parser'!$O$24, 2, FALSE)</f>
        <v>24.274233020856016</v>
      </c>
      <c r="E18" s="240">
        <f>(1+SQRT(($B18-1))*9/100)*(SQRT(E$2)/SQRT(8))*VLOOKUP($D$34, Parser!$N$5:'Parser'!$O$24, 2, FALSE)</f>
        <v>23.503425057933374</v>
      </c>
      <c r="F18" s="240">
        <f>(1+SQRT(($B18-1))*9/100)*(SQRT(F$2)/SQRT(8))*VLOOKUP($D$34, Parser!$N$5:'Parser'!$O$24, 2, FALSE)</f>
        <v>22.706465822689459</v>
      </c>
      <c r="G18" s="240">
        <f>(1+SQRT(($B18-1))*9/100)*(SQRT(G$2)/SQRT(8))*VLOOKUP($D$34, Parser!$N$5:'Parser'!$O$24, 2, FALSE)</f>
        <v>21.880497957314375</v>
      </c>
      <c r="H18" s="240">
        <f>(1+SQRT(($B18-1))*9/100)*(SQRT(H$2)/SQRT(8))*VLOOKUP($D$34, Parser!$N$5:'Parser'!$O$24, 2, FALSE)</f>
        <v>21.022102453444383</v>
      </c>
      <c r="I18" s="240">
        <f>(1+SQRT(($B18-1))*9/100)*(SQRT(I$2)/SQRT(8))*VLOOKUP($D$34, Parser!$N$5:'Parser'!$O$24, 2, FALSE)</f>
        <v>20.127130750958678</v>
      </c>
      <c r="J18" s="240">
        <f>(1+SQRT(($B18-1))*9/100)*(SQRT(J$2)/SQRT(8))*VLOOKUP($D$34, Parser!$N$5:'Parser'!$O$24, 2, FALSE)</f>
        <v>19.190466199893642</v>
      </c>
      <c r="K18" s="240">
        <f>(1+SQRT(($B18-1))*9/100)*(SQRT(K$2)/SQRT(8))*VLOOKUP($D$34, Parser!$N$5:'Parser'!$O$24, 2, FALSE)</f>
        <v>18.205674765642009</v>
      </c>
      <c r="L18" s="240">
        <f>(1+SQRT(($B18-1))*9/100)*(SQRT(L$2)/SQRT(8))*VLOOKUP($D$34, Parser!$N$5:'Parser'!$O$24, 2, FALSE)</f>
        <v>17.164474777149703</v>
      </c>
      <c r="M18" s="240">
        <f>(1+SQRT(($B18-1))*9/100)*(SQRT(M$2)/SQRT(8))*VLOOKUP($D$34, Parser!$N$5:'Parser'!$O$24, 2, FALSE)</f>
        <v>16.055895960004296</v>
      </c>
      <c r="N18" s="240">
        <f>(1+SQRT(($B18-1))*9/100)*(SQRT(N$2)/SQRT(8))*VLOOKUP($D$34, Parser!$N$5:'Parser'!$O$24, 2, FALSE)</f>
        <v>14.864871199628883</v>
      </c>
      <c r="O18" s="240">
        <f>(1+SQRT(($B18-1))*9/100)*(SQRT(O$2)/SQRT(8))*VLOOKUP($D$34, Parser!$N$5:'Parser'!$O$24, 2, FALSE)</f>
        <v>13.569708784076031</v>
      </c>
      <c r="P18" s="240">
        <f>(1+SQRT(($B18-1))*9/100)*(SQRT(P$2)/SQRT(8))*VLOOKUP($D$34, Parser!$N$5:'Parser'!$O$24, 2, FALSE)</f>
        <v>12.137116510428008</v>
      </c>
      <c r="Q18" s="240">
        <f>(1+SQRT(($B18-1))*9/100)*(SQRT(Q$2)/SQRT(8))*VLOOKUP($D$34, Parser!$N$5:'Parser'!$O$24, 2, FALSE)</f>
        <v>10.511051226722191</v>
      </c>
      <c r="R18" s="240">
        <f>(1+SQRT(($B18-1))*9/100)*(SQRT(R$2)/SQRT(8))*VLOOKUP($D$34, Parser!$N$5:'Parser'!$O$24, 2, FALSE)</f>
        <v>8.5822373885748515</v>
      </c>
      <c r="S18" s="253">
        <f>(1+SQRT(($B18-1))*9/100)*(SQRT(S$2)/SQRT(8))*VLOOKUP($D$34, Parser!$N$5:'Parser'!$O$24, 2, FALSE)</f>
        <v>6.068558255214004</v>
      </c>
      <c r="T18" s="242"/>
    </row>
    <row r="19" spans="2:20">
      <c r="B19" s="232">
        <v>17</v>
      </c>
      <c r="C19" s="234"/>
      <c r="D19" s="252">
        <f>(1+SQRT(($B19-1))*9/100)*(SQRT(D$2)/SQRT(8))*VLOOKUP($D$34, Parser!$N$5:'Parser'!$O$24, 2, FALSE)</f>
        <v>24.479999999999997</v>
      </c>
      <c r="E19" s="240">
        <f>(1+SQRT(($B19-1))*9/100)*(SQRT(E$2)/SQRT(8))*VLOOKUP($D$34, Parser!$N$5:'Parser'!$O$24, 2, FALSE)</f>
        <v>23.702658078789387</v>
      </c>
      <c r="F19" s="240">
        <f>(1+SQRT(($B19-1))*9/100)*(SQRT(F$2)/SQRT(8))*VLOOKUP($D$34, Parser!$N$5:'Parser'!$O$24, 2, FALSE)</f>
        <v>22.898943207056519</v>
      </c>
      <c r="G19" s="240">
        <f>(1+SQRT(($B19-1))*9/100)*(SQRT(G$2)/SQRT(8))*VLOOKUP($D$34, Parser!$N$5:'Parser'!$O$24, 2, FALSE)</f>
        <v>22.065973805839612</v>
      </c>
      <c r="H19" s="240">
        <f>(1+SQRT(($B19-1))*9/100)*(SQRT(H$2)/SQRT(8))*VLOOKUP($D$34, Parser!$N$5:'Parser'!$O$24, 2, FALSE)</f>
        <v>21.200301884643054</v>
      </c>
      <c r="I19" s="240">
        <f>(1+SQRT(($B19-1))*9/100)*(SQRT(I$2)/SQRT(8))*VLOOKUP($D$34, Parser!$N$5:'Parser'!$O$24, 2, FALSE)</f>
        <v>20.297743716975045</v>
      </c>
      <c r="J19" s="240">
        <f>(1+SQRT(($B19-1))*9/100)*(SQRT(J$2)/SQRT(8))*VLOOKUP($D$34, Parser!$N$5:'Parser'!$O$24, 2, FALSE)</f>
        <v>19.353139280230479</v>
      </c>
      <c r="K19" s="240">
        <f>(1+SQRT(($B19-1))*9/100)*(SQRT(K$2)/SQRT(8))*VLOOKUP($D$34, Parser!$N$5:'Parser'!$O$24, 2, FALSE)</f>
        <v>18.359999999999996</v>
      </c>
      <c r="L19" s="240">
        <f>(1+SQRT(($B19-1))*9/100)*(SQRT(L$2)/SQRT(8))*VLOOKUP($D$34, Parser!$N$5:'Parser'!$O$24, 2, FALSE)</f>
        <v>17.30997400344668</v>
      </c>
      <c r="M19" s="240">
        <f>(1+SQRT(($B19-1))*9/100)*(SQRT(M$2)/SQRT(8))*VLOOKUP($D$34, Parser!$N$5:'Parser'!$O$24, 2, FALSE)</f>
        <v>16.191998023715289</v>
      </c>
      <c r="N19" s="240">
        <f>(1+SQRT(($B19-1))*9/100)*(SQRT(N$2)/SQRT(8))*VLOOKUP($D$34, Parser!$N$5:'Parser'!$O$24, 2, FALSE)</f>
        <v>14.990877225833046</v>
      </c>
      <c r="O19" s="240">
        <f>(1+SQRT(($B19-1))*9/100)*(SQRT(O$2)/SQRT(8))*VLOOKUP($D$34, Parser!$N$5:'Parser'!$O$24, 2, FALSE)</f>
        <v>13.684736022298713</v>
      </c>
      <c r="P19" s="240">
        <f>(1+SQRT(($B19-1))*9/100)*(SQRT(P$2)/SQRT(8))*VLOOKUP($D$34, Parser!$N$5:'Parser'!$O$24, 2, FALSE)</f>
        <v>12.239999999999998</v>
      </c>
      <c r="Q19" s="240">
        <f>(1+SQRT(($B19-1))*9/100)*(SQRT(Q$2)/SQRT(8))*VLOOKUP($D$34, Parser!$N$5:'Parser'!$O$24, 2, FALSE)</f>
        <v>10.600150942321527</v>
      </c>
      <c r="R19" s="240">
        <f>(1+SQRT(($B19-1))*9/100)*(SQRT(R$2)/SQRT(8))*VLOOKUP($D$34, Parser!$N$5:'Parser'!$O$24, 2, FALSE)</f>
        <v>8.6549870017233399</v>
      </c>
      <c r="S19" s="253">
        <f>(1+SQRT(($B19-1))*9/100)*(SQRT(S$2)/SQRT(8))*VLOOKUP($D$34, Parser!$N$5:'Parser'!$O$24, 2, FALSE)</f>
        <v>6.1199999999999992</v>
      </c>
      <c r="T19" s="242"/>
    </row>
    <row r="20" spans="2:20">
      <c r="B20" s="232">
        <v>18</v>
      </c>
      <c r="C20" s="234"/>
      <c r="D20" s="252">
        <f>(1+SQRT(($B20-1))*9/100)*(SQRT(D$2)/SQRT(8))*VLOOKUP($D$34, Parser!$N$5:'Parser'!$O$24, 2, FALSE)</f>
        <v>24.679431113500609</v>
      </c>
      <c r="E20" s="240">
        <f>(1+SQRT(($B20-1))*9/100)*(SQRT(E$2)/SQRT(8))*VLOOKUP($D$34, Parser!$N$5:'Parser'!$O$24, 2, FALSE)</f>
        <v>23.895756424115255</v>
      </c>
      <c r="F20" s="240">
        <f>(1+SQRT(($B20-1))*9/100)*(SQRT(F$2)/SQRT(8))*VLOOKUP($D$34, Parser!$N$5:'Parser'!$O$24, 2, FALSE)</f>
        <v>23.085493931802048</v>
      </c>
      <c r="G20" s="240">
        <f>(1+SQRT(($B20-1))*9/100)*(SQRT(G$2)/SQRT(8))*VLOOKUP($D$34, Parser!$N$5:'Parser'!$O$24, 2, FALSE)</f>
        <v>22.245738582251942</v>
      </c>
      <c r="H20" s="240">
        <f>(1+SQRT(($B20-1))*9/100)*(SQRT(H$2)/SQRT(8))*VLOOKUP($D$34, Parser!$N$5:'Parser'!$O$24, 2, FALSE)</f>
        <v>21.373014295239599</v>
      </c>
      <c r="I20" s="240">
        <f>(1+SQRT(($B20-1))*9/100)*(SQRT(I$2)/SQRT(8))*VLOOKUP($D$34, Parser!$N$5:'Parser'!$O$24, 2, FALSE)</f>
        <v>20.463103260726122</v>
      </c>
      <c r="J20" s="240">
        <f>(1+SQRT(($B20-1))*9/100)*(SQRT(J$2)/SQRT(8))*VLOOKUP($D$34, Parser!$N$5:'Parser'!$O$24, 2, FALSE)</f>
        <v>19.51080341897185</v>
      </c>
      <c r="K20" s="240">
        <f>(1+SQRT(($B20-1))*9/100)*(SQRT(K$2)/SQRT(8))*VLOOKUP($D$34, Parser!$N$5:'Parser'!$O$24, 2, FALSE)</f>
        <v>18.509573335125452</v>
      </c>
      <c r="L20" s="240">
        <f>(1+SQRT(($B20-1))*9/100)*(SQRT(L$2)/SQRT(8))*VLOOKUP($D$34, Parser!$N$5:'Parser'!$O$24, 2, FALSE)</f>
        <v>17.450993096182547</v>
      </c>
      <c r="M20" s="240">
        <f>(1+SQRT(($B20-1))*9/100)*(SQRT(M$2)/SQRT(8))*VLOOKUP($D$34, Parser!$N$5:'Parser'!$O$24, 2, FALSE)</f>
        <v>16.32390930621812</v>
      </c>
      <c r="N20" s="240">
        <f>(1+SQRT(($B20-1))*9/100)*(SQRT(N$2)/SQRT(8))*VLOOKUP($D$34, Parser!$N$5:'Parser'!$O$24, 2, FALSE)</f>
        <v>15.113003342560942</v>
      </c>
      <c r="O20" s="240">
        <f>(1+SQRT(($B20-1))*9/100)*(SQRT(O$2)/SQRT(8))*VLOOKUP($D$34, Parser!$N$5:'Parser'!$O$24, 2, FALSE)</f>
        <v>13.796221403952671</v>
      </c>
      <c r="P20" s="240">
        <f>(1+SQRT(($B20-1))*9/100)*(SQRT(P$2)/SQRT(8))*VLOOKUP($D$34, Parser!$N$5:'Parser'!$O$24, 2, FALSE)</f>
        <v>12.339715556750305</v>
      </c>
      <c r="Q20" s="240">
        <f>(1+SQRT(($B20-1))*9/100)*(SQRT(Q$2)/SQRT(8))*VLOOKUP($D$34, Parser!$N$5:'Parser'!$O$24, 2, FALSE)</f>
        <v>10.6865071476198</v>
      </c>
      <c r="R20" s="240">
        <f>(1+SQRT(($B20-1))*9/100)*(SQRT(R$2)/SQRT(8))*VLOOKUP($D$34, Parser!$N$5:'Parser'!$O$24, 2, FALSE)</f>
        <v>8.7254965480912734</v>
      </c>
      <c r="S20" s="253">
        <f>(1+SQRT(($B20-1))*9/100)*(SQRT(S$2)/SQRT(8))*VLOOKUP($D$34, Parser!$N$5:'Parser'!$O$24, 2, FALSE)</f>
        <v>6.1698577783751523</v>
      </c>
      <c r="T20" s="242"/>
    </row>
    <row r="21" spans="2:20">
      <c r="B21" s="232">
        <v>19</v>
      </c>
      <c r="C21" s="234"/>
      <c r="D21" s="252">
        <f>(1+SQRT(($B21-1))*9/100)*(SQRT(D$2)/SQRT(8))*VLOOKUP($D$34, Parser!$N$5:'Parser'!$O$24, 2, FALSE)</f>
        <v>24.87307791313324</v>
      </c>
      <c r="E21" s="240">
        <f>(1+SQRT(($B21-1))*9/100)*(SQRT(E$2)/SQRT(8))*VLOOKUP($D$34, Parser!$N$5:'Parser'!$O$24, 2, FALSE)</f>
        <v>24.083254131621143</v>
      </c>
      <c r="F21" s="240">
        <f>(1+SQRT(($B21-1))*9/100)*(SQRT(F$2)/SQRT(8))*VLOOKUP($D$34, Parser!$N$5:'Parser'!$O$24, 2, FALSE)</f>
        <v>23.266633926369689</v>
      </c>
      <c r="G21" s="240">
        <f>(1+SQRT(($B21-1))*9/100)*(SQRT(G$2)/SQRT(8))*VLOOKUP($D$34, Parser!$N$5:'Parser'!$O$24, 2, FALSE)</f>
        <v>22.420289448603182</v>
      </c>
      <c r="H21" s="240">
        <f>(1+SQRT(($B21-1))*9/100)*(SQRT(H$2)/SQRT(8))*VLOOKUP($D$34, Parser!$N$5:'Parser'!$O$24, 2, FALSE)</f>
        <v>21.540717343083013</v>
      </c>
      <c r="I21" s="240">
        <f>(1+SQRT(($B21-1))*9/100)*(SQRT(I$2)/SQRT(8))*VLOOKUP($D$34, Parser!$N$5:'Parser'!$O$24, 2, FALSE)</f>
        <v>20.623666704784764</v>
      </c>
      <c r="J21" s="240">
        <f>(1+SQRT(($B21-1))*9/100)*(SQRT(J$2)/SQRT(8))*VLOOKUP($D$34, Parser!$N$5:'Parser'!$O$24, 2, FALSE)</f>
        <v>19.663894656082192</v>
      </c>
      <c r="K21" s="240">
        <f>(1+SQRT(($B21-1))*9/100)*(SQRT(K$2)/SQRT(8))*VLOOKUP($D$34, Parser!$N$5:'Parser'!$O$24, 2, FALSE)</f>
        <v>18.654808434849926</v>
      </c>
      <c r="L21" s="240">
        <f>(1+SQRT(($B21-1))*9/100)*(SQRT(L$2)/SQRT(8))*VLOOKUP($D$34, Parser!$N$5:'Parser'!$O$24, 2, FALSE)</f>
        <v>17.587922061357851</v>
      </c>
      <c r="M21" s="240">
        <f>(1+SQRT(($B21-1))*9/100)*(SQRT(M$2)/SQRT(8))*VLOOKUP($D$34, Parser!$N$5:'Parser'!$O$24, 2, FALSE)</f>
        <v>16.451994624720992</v>
      </c>
      <c r="N21" s="240">
        <f>(1+SQRT(($B21-1))*9/100)*(SQRT(N$2)/SQRT(8))*VLOOKUP($D$34, Parser!$N$5:'Parser'!$O$24, 2, FALSE)</f>
        <v>15.231587304916671</v>
      </c>
      <c r="O21" s="240">
        <f>(1+SQRT(($B21-1))*9/100)*(SQRT(O$2)/SQRT(8))*VLOOKUP($D$34, Parser!$N$5:'Parser'!$O$24, 2, FALSE)</f>
        <v>13.904473255853635</v>
      </c>
      <c r="P21" s="240">
        <f>(1+SQRT(($B21-1))*9/100)*(SQRT(P$2)/SQRT(8))*VLOOKUP($D$34, Parser!$N$5:'Parser'!$O$24, 2, FALSE)</f>
        <v>12.43653895656662</v>
      </c>
      <c r="Q21" s="240">
        <f>(1+SQRT(($B21-1))*9/100)*(SQRT(Q$2)/SQRT(8))*VLOOKUP($D$34, Parser!$N$5:'Parser'!$O$24, 2, FALSE)</f>
        <v>10.770358671541507</v>
      </c>
      <c r="R21" s="240">
        <f>(1+SQRT(($B21-1))*9/100)*(SQRT(R$2)/SQRT(8))*VLOOKUP($D$34, Parser!$N$5:'Parser'!$O$24, 2, FALSE)</f>
        <v>8.7939610306789255</v>
      </c>
      <c r="S21" s="253">
        <f>(1+SQRT(($B21-1))*9/100)*(SQRT(S$2)/SQRT(8))*VLOOKUP($D$34, Parser!$N$5:'Parser'!$O$24, 2, FALSE)</f>
        <v>6.2182694782833101</v>
      </c>
      <c r="T21" s="242"/>
    </row>
    <row r="22" spans="2:20">
      <c r="B22" s="232">
        <v>20</v>
      </c>
      <c r="C22" s="234"/>
      <c r="D22" s="252">
        <f>(1+SQRT(($B22-1))*9/100)*(SQRT(D$2)/SQRT(8))*VLOOKUP($D$34, Parser!$N$5:'Parser'!$O$24, 2, FALSE)</f>
        <v>25.061416288535888</v>
      </c>
      <c r="E22" s="240">
        <f>(1+SQRT(($B22-1))*9/100)*(SQRT(E$2)/SQRT(8))*VLOOKUP($D$34, Parser!$N$5:'Parser'!$O$24, 2, FALSE)</f>
        <v>24.2656119794677</v>
      </c>
      <c r="F22" s="240">
        <f>(1+SQRT(($B22-1))*9/100)*(SQRT(F$2)/SQRT(8))*VLOOKUP($D$34, Parser!$N$5:'Parser'!$O$24, 2, FALSE)</f>
        <v>23.442808344754273</v>
      </c>
      <c r="G22" s="240">
        <f>(1+SQRT(($B22-1))*9/100)*(SQRT(G$2)/SQRT(8))*VLOOKUP($D$34, Parser!$N$5:'Parser'!$O$24, 2, FALSE)</f>
        <v>22.590055366016138</v>
      </c>
      <c r="H22" s="240">
        <f>(1+SQRT(($B22-1))*9/100)*(SQRT(H$2)/SQRT(8))*VLOOKUP($D$34, Parser!$N$5:'Parser'!$O$24, 2, FALSE)</f>
        <v>21.703823160689197</v>
      </c>
      <c r="I22" s="240">
        <f>(1+SQRT(($B22-1))*9/100)*(SQRT(I$2)/SQRT(8))*VLOOKUP($D$34, Parser!$N$5:'Parser'!$O$24, 2, FALSE)</f>
        <v>20.779828635993685</v>
      </c>
      <c r="J22" s="240">
        <f>(1+SQRT(($B22-1))*9/100)*(SQRT(J$2)/SQRT(8))*VLOOKUP($D$34, Parser!$N$5:'Parser'!$O$24, 2, FALSE)</f>
        <v>19.812789215354243</v>
      </c>
      <c r="K22" s="240">
        <f>(1+SQRT(($B22-1))*9/100)*(SQRT(K$2)/SQRT(8))*VLOOKUP($D$34, Parser!$N$5:'Parser'!$O$24, 2, FALSE)</f>
        <v>18.796062216401914</v>
      </c>
      <c r="L22" s="240">
        <f>(1+SQRT(($B22-1))*9/100)*(SQRT(L$2)/SQRT(8))*VLOOKUP($D$34, Parser!$N$5:'Parser'!$O$24, 2, FALSE)</f>
        <v>17.721097403762723</v>
      </c>
      <c r="M22" s="240">
        <f>(1+SQRT(($B22-1))*9/100)*(SQRT(M$2)/SQRT(8))*VLOOKUP($D$34, Parser!$N$5:'Parser'!$O$24, 2, FALSE)</f>
        <v>16.57656875063233</v>
      </c>
      <c r="N22" s="240">
        <f>(1+SQRT(($B22-1))*9/100)*(SQRT(N$2)/SQRT(8))*VLOOKUP($D$34, Parser!$N$5:'Parser'!$O$24, 2, FALSE)</f>
        <v>15.346920534596979</v>
      </c>
      <c r="O22" s="240">
        <f>(1+SQRT(($B22-1))*9/100)*(SQRT(O$2)/SQRT(8))*VLOOKUP($D$34, Parser!$N$5:'Parser'!$O$24, 2, FALSE)</f>
        <v>14.009757608396685</v>
      </c>
      <c r="P22" s="240">
        <f>(1+SQRT(($B22-1))*9/100)*(SQRT(P$2)/SQRT(8))*VLOOKUP($D$34, Parser!$N$5:'Parser'!$O$24, 2, FALSE)</f>
        <v>12.530708144267944</v>
      </c>
      <c r="Q22" s="240">
        <f>(1+SQRT(($B22-1))*9/100)*(SQRT(Q$2)/SQRT(8))*VLOOKUP($D$34, Parser!$N$5:'Parser'!$O$24, 2, FALSE)</f>
        <v>10.851911580344598</v>
      </c>
      <c r="R22" s="240">
        <f>(1+SQRT(($B22-1))*9/100)*(SQRT(R$2)/SQRT(8))*VLOOKUP($D$34, Parser!$N$5:'Parser'!$O$24, 2, FALSE)</f>
        <v>8.8605487018813616</v>
      </c>
      <c r="S22" s="253">
        <f>(1+SQRT(($B22-1))*9/100)*(SQRT(S$2)/SQRT(8))*VLOOKUP($D$34, Parser!$N$5:'Parser'!$O$24, 2, FALSE)</f>
        <v>6.265354072133972</v>
      </c>
      <c r="T22" s="242"/>
    </row>
    <row r="23" spans="2:20">
      <c r="B23" s="232">
        <v>21</v>
      </c>
      <c r="C23" s="234"/>
      <c r="D23" s="252">
        <f>(1+SQRT(($B23-1))*9/100)*(SQRT(D$2)/SQRT(8))*VLOOKUP($D$34, Parser!$N$5:'Parser'!$O$24, 2, FALSE)</f>
        <v>25.244860247099318</v>
      </c>
      <c r="E23" s="240">
        <f>(1+SQRT(($B23-1))*9/100)*(SQRT(E$2)/SQRT(8))*VLOOKUP($D$34, Parser!$N$5:'Parser'!$O$24, 2, FALSE)</f>
        <v>24.443230828587328</v>
      </c>
      <c r="F23" s="240">
        <f>(1+SQRT(($B23-1))*9/100)*(SQRT(F$2)/SQRT(8))*VLOOKUP($D$34, Parser!$N$5:'Parser'!$O$24, 2, FALSE)</f>
        <v>23.614404455408749</v>
      </c>
      <c r="G23" s="240">
        <f>(1+SQRT(($B23-1))*9/100)*(SQRT(G$2)/SQRT(8))*VLOOKUP($D$34, Parser!$N$5:'Parser'!$O$24, 2, FALSE)</f>
        <v>22.755409515709772</v>
      </c>
      <c r="H23" s="240">
        <f>(1+SQRT(($B23-1))*9/100)*(SQRT(H$2)/SQRT(8))*VLOOKUP($D$34, Parser!$N$5:'Parser'!$O$24, 2, FALSE)</f>
        <v>21.862690288975905</v>
      </c>
      <c r="I23" s="240">
        <f>(1+SQRT(($B23-1))*9/100)*(SQRT(I$2)/SQRT(8))*VLOOKUP($D$34, Parser!$N$5:'Parser'!$O$24, 2, FALSE)</f>
        <v>20.931932331146786</v>
      </c>
      <c r="J23" s="240">
        <f>(1+SQRT(($B23-1))*9/100)*(SQRT(J$2)/SQRT(8))*VLOOKUP($D$34, Parser!$N$5:'Parser'!$O$24, 2, FALSE)</f>
        <v>19.957814398368736</v>
      </c>
      <c r="K23" s="240">
        <f>(1+SQRT(($B23-1))*9/100)*(SQRT(K$2)/SQRT(8))*VLOOKUP($D$34, Parser!$N$5:'Parser'!$O$24, 2, FALSE)</f>
        <v>18.933645185324487</v>
      </c>
      <c r="L23" s="240">
        <f>(1+SQRT(($B23-1))*9/100)*(SQRT(L$2)/SQRT(8))*VLOOKUP($D$34, Parser!$N$5:'Parser'!$O$24, 2, FALSE)</f>
        <v>17.850811870830629</v>
      </c>
      <c r="M23" s="240">
        <f>(1+SQRT(($B23-1))*9/100)*(SQRT(M$2)/SQRT(8))*VLOOKUP($D$34, Parser!$N$5:'Parser'!$O$24, 2, FALSE)</f>
        <v>16.697905524101344</v>
      </c>
      <c r="N23" s="240">
        <f>(1+SQRT(($B23-1))*9/100)*(SQRT(N$2)/SQRT(8))*VLOOKUP($D$34, Parser!$N$5:'Parser'!$O$24, 2, FALSE)</f>
        <v>15.459256558316145</v>
      </c>
      <c r="O23" s="240">
        <f>(1+SQRT(($B23-1))*9/100)*(SQRT(O$2)/SQRT(8))*VLOOKUP($D$34, Parser!$N$5:'Parser'!$O$24, 2, FALSE)</f>
        <v>14.112305898749053</v>
      </c>
      <c r="P23" s="240">
        <f>(1+SQRT(($B23-1))*9/100)*(SQRT(P$2)/SQRT(8))*VLOOKUP($D$34, Parser!$N$5:'Parser'!$O$24, 2, FALSE)</f>
        <v>12.622430123549659</v>
      </c>
      <c r="Q23" s="240">
        <f>(1+SQRT(($B23-1))*9/100)*(SQRT(Q$2)/SQRT(8))*VLOOKUP($D$34, Parser!$N$5:'Parser'!$O$24, 2, FALSE)</f>
        <v>10.931345144487953</v>
      </c>
      <c r="R23" s="240">
        <f>(1+SQRT(($B23-1))*9/100)*(SQRT(R$2)/SQRT(8))*VLOOKUP($D$34, Parser!$N$5:'Parser'!$O$24, 2, FALSE)</f>
        <v>8.9254059354153146</v>
      </c>
      <c r="S23" s="253">
        <f>(1+SQRT(($B23-1))*9/100)*(SQRT(S$2)/SQRT(8))*VLOOKUP($D$34, Parser!$N$5:'Parser'!$O$24, 2, FALSE)</f>
        <v>6.3112150617748295</v>
      </c>
      <c r="T23" s="242"/>
    </row>
    <row r="24" spans="2:20">
      <c r="B24" s="232">
        <v>22</v>
      </c>
      <c r="C24" s="234"/>
      <c r="D24" s="252">
        <f>(1+SQRT(($B24-1))*9/100)*(SQRT(D$2)/SQRT(8))*VLOOKUP($D$34, Parser!$N$5:'Parser'!$O$24, 2, FALSE)</f>
        <v>25.423772625828459</v>
      </c>
      <c r="E24" s="240">
        <f>(1+SQRT(($B24-1))*9/100)*(SQRT(E$2)/SQRT(8))*VLOOKUP($D$34, Parser!$N$5:'Parser'!$O$24, 2, FALSE)</f>
        <v>24.616461994399405</v>
      </c>
      <c r="F24" s="240">
        <f>(1+SQRT(($B24-1))*9/100)*(SQRT(F$2)/SQRT(8))*VLOOKUP($D$34, Parser!$N$5:'Parser'!$O$24, 2, FALSE)</f>
        <v>23.781761661273048</v>
      </c>
      <c r="G24" s="240">
        <f>(1+SQRT(($B24-1))*9/100)*(SQRT(G$2)/SQRT(8))*VLOOKUP($D$34, Parser!$N$5:'Parser'!$O$24, 2, FALSE)</f>
        <v>22.916678954540561</v>
      </c>
      <c r="H24" s="240">
        <f>(1+SQRT(($B24-1))*9/100)*(SQRT(H$2)/SQRT(8))*VLOOKUP($D$34, Parser!$N$5:'Parser'!$O$24, 2, FALSE)</f>
        <v>22.017632954006846</v>
      </c>
      <c r="I24" s="240">
        <f>(1+SQRT(($B24-1))*9/100)*(SQRT(I$2)/SQRT(8))*VLOOKUP($D$34, Parser!$N$5:'Parser'!$O$24, 2, FALSE)</f>
        <v>21.08027863879542</v>
      </c>
      <c r="J24" s="240">
        <f>(1+SQRT(($B24-1))*9/100)*(SQRT(J$2)/SQRT(8))*VLOOKUP($D$34, Parser!$N$5:'Parser'!$O$24, 2, FALSE)</f>
        <v>20.099257052964429</v>
      </c>
      <c r="K24" s="240">
        <f>(1+SQRT(($B24-1))*9/100)*(SQRT(K$2)/SQRT(8))*VLOOKUP($D$34, Parser!$N$5:'Parser'!$O$24, 2, FALSE)</f>
        <v>19.067829469371343</v>
      </c>
      <c r="L24" s="240">
        <f>(1+SQRT(($B24-1))*9/100)*(SQRT(L$2)/SQRT(8))*VLOOKUP($D$34, Parser!$N$5:'Parser'!$O$24, 2, FALSE)</f>
        <v>17.977322027068219</v>
      </c>
      <c r="M24" s="240">
        <f>(1+SQRT(($B24-1))*9/100)*(SQRT(M$2)/SQRT(8))*VLOOKUP($D$34, Parser!$N$5:'Parser'!$O$24, 2, FALSE)</f>
        <v>16.816244939248424</v>
      </c>
      <c r="N24" s="240">
        <f>(1+SQRT(($B24-1))*9/100)*(SQRT(N$2)/SQRT(8))*VLOOKUP($D$34, Parser!$N$5:'Parser'!$O$24, 2, FALSE)</f>
        <v>15.568817567454639</v>
      </c>
      <c r="O24" s="240">
        <f>(1+SQRT(($B24-1))*9/100)*(SQRT(O$2)/SQRT(8))*VLOOKUP($D$34, Parser!$N$5:'Parser'!$O$24, 2, FALSE)</f>
        <v>14.212320958962692</v>
      </c>
      <c r="P24" s="240">
        <f>(1+SQRT(($B24-1))*9/100)*(SQRT(P$2)/SQRT(8))*VLOOKUP($D$34, Parser!$N$5:'Parser'!$O$24, 2, FALSE)</f>
        <v>12.711886312914229</v>
      </c>
      <c r="Q24" s="240">
        <f>(1+SQRT(($B24-1))*9/100)*(SQRT(Q$2)/SQRT(8))*VLOOKUP($D$34, Parser!$N$5:'Parser'!$O$24, 2, FALSE)</f>
        <v>11.008816477003423</v>
      </c>
      <c r="R24" s="240">
        <f>(1+SQRT(($B24-1))*9/100)*(SQRT(R$2)/SQRT(8))*VLOOKUP($D$34, Parser!$N$5:'Parser'!$O$24, 2, FALSE)</f>
        <v>8.9886610135341094</v>
      </c>
      <c r="S24" s="253">
        <f>(1+SQRT(($B24-1))*9/100)*(SQRT(S$2)/SQRT(8))*VLOOKUP($D$34, Parser!$N$5:'Parser'!$O$24, 2, FALSE)</f>
        <v>6.3559431564571147</v>
      </c>
      <c r="T24" s="242"/>
    </row>
    <row r="25" spans="2:20">
      <c r="B25" s="232">
        <v>23</v>
      </c>
      <c r="C25" s="234"/>
      <c r="D25" s="252">
        <f>(1+SQRT(($B25-1))*9/100)*(SQRT(D$2)/SQRT(8))*VLOOKUP($D$34, Parser!$N$5:'Parser'!$O$24, 2, FALSE)</f>
        <v>25.598473530913957</v>
      </c>
      <c r="E25" s="240">
        <f>(1+SQRT(($B25-1))*9/100)*(SQRT(E$2)/SQRT(8))*VLOOKUP($D$34, Parser!$N$5:'Parser'!$O$24, 2, FALSE)</f>
        <v>24.785615418390279</v>
      </c>
      <c r="F25" s="240">
        <f>(1+SQRT(($B25-1))*9/100)*(SQRT(F$2)/SQRT(8))*VLOOKUP($D$34, Parser!$N$5:'Parser'!$O$24, 2, FALSE)</f>
        <v>23.945179394270358</v>
      </c>
      <c r="G25" s="240">
        <f>(1+SQRT(($B25-1))*9/100)*(SQRT(G$2)/SQRT(8))*VLOOKUP($D$34, Parser!$N$5:'Parser'!$O$24, 2, FALSE)</f>
        <v>23.074152222329491</v>
      </c>
      <c r="H25" s="240">
        <f>(1+SQRT(($B25-1))*9/100)*(SQRT(H$2)/SQRT(8))*VLOOKUP($D$34, Parser!$N$5:'Parser'!$O$24, 2, FALSE)</f>
        <v>22.168928375875019</v>
      </c>
      <c r="I25" s="240">
        <f>(1+SQRT(($B25-1))*9/100)*(SQRT(I$2)/SQRT(8))*VLOOKUP($D$34, Parser!$N$5:'Parser'!$O$24, 2, FALSE)</f>
        <v>21.225132976971437</v>
      </c>
      <c r="J25" s="240">
        <f>(1+SQRT(($B25-1))*9/100)*(SQRT(J$2)/SQRT(8))*VLOOKUP($D$34, Parser!$N$5:'Parser'!$O$24, 2, FALSE)</f>
        <v>20.237370245305193</v>
      </c>
      <c r="K25" s="240">
        <f>(1+SQRT(($B25-1))*9/100)*(SQRT(K$2)/SQRT(8))*VLOOKUP($D$34, Parser!$N$5:'Parser'!$O$24, 2, FALSE)</f>
        <v>19.198855148185466</v>
      </c>
      <c r="L25" s="240">
        <f>(1+SQRT(($B25-1))*9/100)*(SQRT(L$2)/SQRT(8))*VLOOKUP($D$34, Parser!$N$5:'Parser'!$O$24, 2, FALSE)</f>
        <v>18.100854221733599</v>
      </c>
      <c r="M25" s="240">
        <f>(1+SQRT(($B25-1))*9/100)*(SQRT(M$2)/SQRT(8))*VLOOKUP($D$34, Parser!$N$5:'Parser'!$O$24, 2, FALSE)</f>
        <v>16.931798726416954</v>
      </c>
      <c r="N25" s="240">
        <f>(1+SQRT(($B25-1))*9/100)*(SQRT(N$2)/SQRT(8))*VLOOKUP($D$34, Parser!$N$5:'Parser'!$O$24, 2, FALSE)</f>
        <v>15.675799586220103</v>
      </c>
      <c r="O25" s="240">
        <f>(1+SQRT(($B25-1))*9/100)*(SQRT(O$2)/SQRT(8))*VLOOKUP($D$34, Parser!$N$5:'Parser'!$O$24, 2, FALSE)</f>
        <v>14.309981733838168</v>
      </c>
      <c r="P25" s="240">
        <f>(1+SQRT(($B25-1))*9/100)*(SQRT(P$2)/SQRT(8))*VLOOKUP($D$34, Parser!$N$5:'Parser'!$O$24, 2, FALSE)</f>
        <v>12.799236765456978</v>
      </c>
      <c r="Q25" s="240">
        <f>(1+SQRT(($B25-1))*9/100)*(SQRT(Q$2)/SQRT(8))*VLOOKUP($D$34, Parser!$N$5:'Parser'!$O$24, 2, FALSE)</f>
        <v>11.08446418793751</v>
      </c>
      <c r="R25" s="240">
        <f>(1+SQRT(($B25-1))*9/100)*(SQRT(R$2)/SQRT(8))*VLOOKUP($D$34, Parser!$N$5:'Parser'!$O$24, 2, FALSE)</f>
        <v>9.0504271108667993</v>
      </c>
      <c r="S25" s="253">
        <f>(1+SQRT(($B25-1))*9/100)*(SQRT(S$2)/SQRT(8))*VLOOKUP($D$34, Parser!$N$5:'Parser'!$O$24, 2, FALSE)</f>
        <v>6.3996183827284892</v>
      </c>
      <c r="T25" s="242"/>
    </row>
    <row r="26" spans="2:20">
      <c r="B26" s="232">
        <v>24</v>
      </c>
      <c r="C26" s="234"/>
      <c r="D26" s="252">
        <f>(1+SQRT(($B26-1))*9/100)*(SQRT(D$2)/SQRT(8))*VLOOKUP($D$34, Parser!$N$5:'Parser'!$O$24, 2, FALSE)</f>
        <v>25.769247067766607</v>
      </c>
      <c r="E26" s="240">
        <f>(1+SQRT(($B26-1))*9/100)*(SQRT(E$2)/SQRT(8))*VLOOKUP($D$34, Parser!$N$5:'Parser'!$O$24, 2, FALSE)</f>
        <v>24.950966184441093</v>
      </c>
      <c r="F26" s="240">
        <f>(1+SQRT(($B26-1))*9/100)*(SQRT(F$2)/SQRT(8))*VLOOKUP($D$34, Parser!$N$5:'Parser'!$O$24, 2, FALSE)</f>
        <v>24.104923410677916</v>
      </c>
      <c r="G26" s="240">
        <f>(1+SQRT(($B26-1))*9/100)*(SQRT(G$2)/SQRT(8))*VLOOKUP($D$34, Parser!$N$5:'Parser'!$O$24, 2, FALSE)</f>
        <v>23.228085408233135</v>
      </c>
      <c r="H26" s="240">
        <f>(1+SQRT(($B26-1))*9/100)*(SQRT(H$2)/SQRT(8))*VLOOKUP($D$34, Parser!$N$5:'Parser'!$O$24, 2, FALSE)</f>
        <v>22.316822597083529</v>
      </c>
      <c r="I26" s="240">
        <f>(1+SQRT(($B26-1))*9/100)*(SQRT(I$2)/SQRT(8))*VLOOKUP($D$34, Parser!$N$5:'Parser'!$O$24, 2, FALSE)</f>
        <v>21.366730913436982</v>
      </c>
      <c r="J26" s="240">
        <f>(1+SQRT(($B26-1))*9/100)*(SQRT(J$2)/SQRT(8))*VLOOKUP($D$34, Parser!$N$5:'Parser'!$O$24, 2, FALSE)</f>
        <v>20.372378580439459</v>
      </c>
      <c r="K26" s="240">
        <f>(1+SQRT(($B26-1))*9/100)*(SQRT(K$2)/SQRT(8))*VLOOKUP($D$34, Parser!$N$5:'Parser'!$O$24, 2, FALSE)</f>
        <v>19.32693530082495</v>
      </c>
      <c r="L26" s="240">
        <f>(1+SQRT(($B26-1))*9/100)*(SQRT(L$2)/SQRT(8))*VLOOKUP($D$34, Parser!$N$5:'Parser'!$O$24, 2, FALSE)</f>
        <v>18.221609347689323</v>
      </c>
      <c r="M26" s="240">
        <f>(1+SQRT(($B26-1))*9/100)*(SQRT(M$2)/SQRT(8))*VLOOKUP($D$34, Parser!$N$5:'Parser'!$O$24, 2, FALSE)</f>
        <v>17.044754803672713</v>
      </c>
      <c r="N26" s="240">
        <f>(1+SQRT(($B26-1))*9/100)*(SQRT(N$2)/SQRT(8))*VLOOKUP($D$34, Parser!$N$5:'Parser'!$O$24, 2, FALSE)</f>
        <v>15.780376592934948</v>
      </c>
      <c r="O26" s="240">
        <f>(1+SQRT(($B26-1))*9/100)*(SQRT(O$2)/SQRT(8))*VLOOKUP($D$34, Parser!$N$5:'Parser'!$O$24, 2, FALSE)</f>
        <v>14.405447043128317</v>
      </c>
      <c r="P26" s="240">
        <f>(1+SQRT(($B26-1))*9/100)*(SQRT(P$2)/SQRT(8))*VLOOKUP($D$34, Parser!$N$5:'Parser'!$O$24, 2, FALSE)</f>
        <v>12.884623533883303</v>
      </c>
      <c r="Q26" s="240">
        <f>(1+SQRT(($B26-1))*9/100)*(SQRT(Q$2)/SQRT(8))*VLOOKUP($D$34, Parser!$N$5:'Parser'!$O$24, 2, FALSE)</f>
        <v>11.158411298541765</v>
      </c>
      <c r="R26" s="240">
        <f>(1+SQRT(($B26-1))*9/100)*(SQRT(R$2)/SQRT(8))*VLOOKUP($D$34, Parser!$N$5:'Parser'!$O$24, 2, FALSE)</f>
        <v>9.1108046738446617</v>
      </c>
      <c r="S26" s="253">
        <f>(1+SQRT(($B26-1))*9/100)*(SQRT(S$2)/SQRT(8))*VLOOKUP($D$34, Parser!$N$5:'Parser'!$O$24, 2, FALSE)</f>
        <v>6.4423117669416516</v>
      </c>
      <c r="T26" s="242"/>
    </row>
    <row r="27" spans="2:20">
      <c r="B27" s="232">
        <v>25</v>
      </c>
      <c r="C27" s="234"/>
      <c r="D27" s="252">
        <f>(1+SQRT(($B27-1))*9/100)*(SQRT(D$2)/SQRT(8))*VLOOKUP($D$34, Parser!$N$5:'Parser'!$O$24, 2, FALSE)</f>
        <v>25.936346766617497</v>
      </c>
      <c r="E27" s="240">
        <f>(1+SQRT(($B27-1))*9/100)*(SQRT(E$2)/SQRT(8))*VLOOKUP($D$34, Parser!$N$5:'Parser'!$O$24, 2, FALSE)</f>
        <v>25.112759772142532</v>
      </c>
      <c r="F27" s="240">
        <f>(1+SQRT(($B27-1))*9/100)*(SQRT(F$2)/SQRT(8))*VLOOKUP($D$34, Parser!$N$5:'Parser'!$O$24, 2, FALSE)</f>
        <v>24.261230866311195</v>
      </c>
      <c r="G27" s="240">
        <f>(1+SQRT(($B27-1))*9/100)*(SQRT(G$2)/SQRT(8))*VLOOKUP($D$34, Parser!$N$5:'Parser'!$O$24, 2, FALSE)</f>
        <v>23.378707041313501</v>
      </c>
      <c r="H27" s="240">
        <f>(1+SQRT(($B27-1))*9/100)*(SQRT(H$2)/SQRT(8))*VLOOKUP($D$34, Parser!$N$5:'Parser'!$O$24, 2, FALSE)</f>
        <v>22.461535181253133</v>
      </c>
      <c r="I27" s="240">
        <f>(1+SQRT(($B27-1))*9/100)*(SQRT(I$2)/SQRT(8))*VLOOKUP($D$34, Parser!$N$5:'Parser'!$O$24, 2, FALSE)</f>
        <v>21.505282664354429</v>
      </c>
      <c r="J27" s="240">
        <f>(1+SQRT(($B27-1))*9/100)*(SQRT(J$2)/SQRT(8))*VLOOKUP($D$34, Parser!$N$5:'Parser'!$O$24, 2, FALSE)</f>
        <v>20.504482491613722</v>
      </c>
      <c r="K27" s="240">
        <f>(1+SQRT(($B27-1))*9/100)*(SQRT(K$2)/SQRT(8))*VLOOKUP($D$34, Parser!$N$5:'Parser'!$O$24, 2, FALSE)</f>
        <v>19.452260074963121</v>
      </c>
      <c r="L27" s="240">
        <f>(1+SQRT(($B27-1))*9/100)*(SQRT(L$2)/SQRT(8))*VLOOKUP($D$34, Parser!$N$5:'Parser'!$O$24, 2, FALSE)</f>
        <v>18.339766677881016</v>
      </c>
      <c r="M27" s="240">
        <f>(1+SQRT(($B27-1))*9/100)*(SQRT(M$2)/SQRT(8))*VLOOKUP($D$34, Parser!$N$5:'Parser'!$O$24, 2, FALSE)</f>
        <v>17.155280865501023</v>
      </c>
      <c r="N27" s="240">
        <f>(1+SQRT(($B27-1))*9/100)*(SQRT(N$2)/SQRT(8))*VLOOKUP($D$34, Parser!$N$5:'Parser'!$O$24, 2, FALSE)</f>
        <v>15.882703842524299</v>
      </c>
      <c r="O27" s="240">
        <f>(1+SQRT(($B27-1))*9/100)*(SQRT(O$2)/SQRT(8))*VLOOKUP($D$34, Parser!$N$5:'Parser'!$O$24, 2, FALSE)</f>
        <v>14.4988586145409</v>
      </c>
      <c r="P27" s="240">
        <f>(1+SQRT(($B27-1))*9/100)*(SQRT(P$2)/SQRT(8))*VLOOKUP($D$34, Parser!$N$5:'Parser'!$O$24, 2, FALSE)</f>
        <v>12.968173383308748</v>
      </c>
      <c r="Q27" s="240">
        <f>(1+SQRT(($B27-1))*9/100)*(SQRT(Q$2)/SQRT(8))*VLOOKUP($D$34, Parser!$N$5:'Parser'!$O$24, 2, FALSE)</f>
        <v>11.230767590626566</v>
      </c>
      <c r="R27" s="240">
        <f>(1+SQRT(($B27-1))*9/100)*(SQRT(R$2)/SQRT(8))*VLOOKUP($D$34, Parser!$N$5:'Parser'!$O$24, 2, FALSE)</f>
        <v>9.1698833389405081</v>
      </c>
      <c r="S27" s="253">
        <f>(1+SQRT(($B27-1))*9/100)*(SQRT(S$2)/SQRT(8))*VLOOKUP($D$34, Parser!$N$5:'Parser'!$O$24, 2, FALSE)</f>
        <v>6.4840866916543742</v>
      </c>
      <c r="T27" s="242"/>
    </row>
    <row r="28" spans="2:20">
      <c r="B28" s="232">
        <v>26</v>
      </c>
      <c r="C28" s="234"/>
      <c r="D28" s="252">
        <f>(1+SQRT(($B28-1))*9/100)*(SQRT(D$2)/SQRT(8))*VLOOKUP($D$34, Parser!$N$5:'Parser'!$O$24, 2, FALSE)</f>
        <v>26.099999999999998</v>
      </c>
      <c r="E28" s="240">
        <f>(1+SQRT(($B28-1))*9/100)*(SQRT(E$2)/SQRT(8))*VLOOKUP($D$34, Parser!$N$5:'Parser'!$O$24, 2, FALSE)</f>
        <v>25.271216334003391</v>
      </c>
      <c r="F28" s="240">
        <f>(1+SQRT(($B28-1))*9/100)*(SQRT(F$2)/SQRT(8))*VLOOKUP($D$34, Parser!$N$5:'Parser'!$O$24, 2, FALSE)</f>
        <v>24.414314448699969</v>
      </c>
      <c r="G28" s="240">
        <f>(1+SQRT(($B28-1))*9/100)*(SQRT(G$2)/SQRT(8))*VLOOKUP($D$34, Parser!$N$5:'Parser'!$O$24, 2, FALSE)</f>
        <v>23.526222072402525</v>
      </c>
      <c r="H28" s="240">
        <f>(1+SQRT(($B28-1))*9/100)*(SQRT(H$2)/SQRT(8))*VLOOKUP($D$34, Parser!$N$5:'Parser'!$O$24, 2, FALSE)</f>
        <v>22.603263038773846</v>
      </c>
      <c r="I28" s="240">
        <f>(1+SQRT(($B28-1))*9/100)*(SQRT(I$2)/SQRT(8))*VLOOKUP($D$34, Parser!$N$5:'Parser'!$O$24, 2, FALSE)</f>
        <v>21.640976757068984</v>
      </c>
      <c r="J28" s="240">
        <f>(1+SQRT(($B28-1))*9/100)*(SQRT(J$2)/SQRT(8))*VLOOKUP($D$34, Parser!$N$5:'Parser'!$O$24, 2, FALSE)</f>
        <v>20.633861732598675</v>
      </c>
      <c r="K28" s="240">
        <f>(1+SQRT(($B28-1))*9/100)*(SQRT(K$2)/SQRT(8))*VLOOKUP($D$34, Parser!$N$5:'Parser'!$O$24, 2, FALSE)</f>
        <v>19.574999999999999</v>
      </c>
      <c r="L28" s="240">
        <f>(1+SQRT(($B28-1))*9/100)*(SQRT(L$2)/SQRT(8))*VLOOKUP($D$34, Parser!$N$5:'Parser'!$O$24, 2, FALSE)</f>
        <v>18.45548698896889</v>
      </c>
      <c r="M28" s="240">
        <f>(1+SQRT(($B28-1))*9/100)*(SQRT(M$2)/SQRT(8))*VLOOKUP($D$34, Parser!$N$5:'Parser'!$O$24, 2, FALSE)</f>
        <v>17.263527304696453</v>
      </c>
      <c r="N28" s="240">
        <f>(1+SQRT(($B28-1))*9/100)*(SQRT(N$2)/SQRT(8))*VLOOKUP($D$34, Parser!$N$5:'Parser'!$O$24, 2, FALSE)</f>
        <v>15.982920571660234</v>
      </c>
      <c r="O28" s="240">
        <f>(1+SQRT(($B28-1))*9/100)*(SQRT(O$2)/SQRT(8))*VLOOKUP($D$34, Parser!$N$5:'Parser'!$O$24, 2, FALSE)</f>
        <v>14.590343553186129</v>
      </c>
      <c r="P28" s="240">
        <f>(1+SQRT(($B28-1))*9/100)*(SQRT(P$2)/SQRT(8))*VLOOKUP($D$34, Parser!$N$5:'Parser'!$O$24, 2, FALSE)</f>
        <v>13.049999999999999</v>
      </c>
      <c r="Q28" s="240">
        <f>(1+SQRT(($B28-1))*9/100)*(SQRT(Q$2)/SQRT(8))*VLOOKUP($D$34, Parser!$N$5:'Parser'!$O$24, 2, FALSE)</f>
        <v>11.301631519386923</v>
      </c>
      <c r="R28" s="240">
        <f>(1+SQRT(($B28-1))*9/100)*(SQRT(R$2)/SQRT(8))*VLOOKUP($D$34, Parser!$N$5:'Parser'!$O$24, 2, FALSE)</f>
        <v>9.2277434944844448</v>
      </c>
      <c r="S28" s="253">
        <f>(1+SQRT(($B28-1))*9/100)*(SQRT(S$2)/SQRT(8))*VLOOKUP($D$34, Parser!$N$5:'Parser'!$O$24, 2, FALSE)</f>
        <v>6.5249999999999995</v>
      </c>
      <c r="T28" s="242"/>
    </row>
    <row r="29" spans="2:20">
      <c r="B29" s="232">
        <v>27</v>
      </c>
      <c r="C29" s="234"/>
      <c r="D29" s="252">
        <f>(1+SQRT(($B29-1))*9/100)*(SQRT(D$2)/SQRT(8))*VLOOKUP($D$34, Parser!$N$5:'Parser'!$O$24, 2, FALSE)</f>
        <v>26.260411612020313</v>
      </c>
      <c r="E29" s="240">
        <f>(1+SQRT(($B29-1))*9/100)*(SQRT(E$2)/SQRT(8))*VLOOKUP($D$34, Parser!$N$5:'Parser'!$O$24, 2, FALSE)</f>
        <v>25.426534209476632</v>
      </c>
      <c r="F29" s="240">
        <f>(1+SQRT(($B29-1))*9/100)*(SQRT(F$2)/SQRT(8))*VLOOKUP($D$34, Parser!$N$5:'Parser'!$O$24, 2, FALSE)</f>
        <v>24.564365771959999</v>
      </c>
      <c r="G29" s="240">
        <f>(1+SQRT(($B29-1))*9/100)*(SQRT(G$2)/SQRT(8))*VLOOKUP($D$34, Parser!$N$5:'Parser'!$O$24, 2, FALSE)</f>
        <v>23.670815145482294</v>
      </c>
      <c r="H29" s="240">
        <f>(1+SQRT(($B29-1))*9/100)*(SQRT(H$2)/SQRT(8))*VLOOKUP($D$34, Parser!$N$5:'Parser'!$O$24, 2, FALSE)</f>
        <v>22.742183569845448</v>
      </c>
      <c r="I29" s="240">
        <f>(1+SQRT(($B29-1))*9/100)*(SQRT(I$2)/SQRT(8))*VLOOKUP($D$34, Parser!$N$5:'Parser'!$O$24, 2, FALSE)</f>
        <v>21.773983039340841</v>
      </c>
      <c r="J29" s="240">
        <f>(1+SQRT(($B29-1))*9/100)*(SQRT(J$2)/SQRT(8))*VLOOKUP($D$34, Parser!$N$5:'Parser'!$O$24, 2, FALSE)</f>
        <v>20.760678246879532</v>
      </c>
      <c r="K29" s="240">
        <f>(1+SQRT(($B29-1))*9/100)*(SQRT(K$2)/SQRT(8))*VLOOKUP($D$34, Parser!$N$5:'Parser'!$O$24, 2, FALSE)</f>
        <v>19.695308709015233</v>
      </c>
      <c r="L29" s="240">
        <f>(1+SQRT(($B29-1))*9/100)*(SQRT(L$2)/SQRT(8))*VLOOKUP($D$34, Parser!$N$5:'Parser'!$O$24, 2, FALSE)</f>
        <v>18.568915127609515</v>
      </c>
      <c r="M29" s="240">
        <f>(1+SQRT(($B29-1))*9/100)*(SQRT(M$2)/SQRT(8))*VLOOKUP($D$34, Parser!$N$5:'Parser'!$O$24, 2, FALSE)</f>
        <v>17.369629612899633</v>
      </c>
      <c r="N29" s="240">
        <f>(1+SQRT(($B29-1))*9/100)*(SQRT(N$2)/SQRT(8))*VLOOKUP($D$34, Parser!$N$5:'Parser'!$O$24, 2, FALSE)</f>
        <v>16.081152221227004</v>
      </c>
      <c r="O29" s="240">
        <f>(1+SQRT(($B29-1))*9/100)*(SQRT(O$2)/SQRT(8))*VLOOKUP($D$34, Parser!$N$5:'Parser'!$O$24, 2, FALSE)</f>
        <v>14.680016370400564</v>
      </c>
      <c r="P29" s="240">
        <f>(1+SQRT(($B29-1))*9/100)*(SQRT(P$2)/SQRT(8))*VLOOKUP($D$34, Parser!$N$5:'Parser'!$O$24, 2, FALSE)</f>
        <v>13.130205806010157</v>
      </c>
      <c r="Q29" s="240">
        <f>(1+SQRT(($B29-1))*9/100)*(SQRT(Q$2)/SQRT(8))*VLOOKUP($D$34, Parser!$N$5:'Parser'!$O$24, 2, FALSE)</f>
        <v>11.371091784922724</v>
      </c>
      <c r="R29" s="240">
        <f>(1+SQRT(($B29-1))*9/100)*(SQRT(R$2)/SQRT(8))*VLOOKUP($D$34, Parser!$N$5:'Parser'!$O$24, 2, FALSE)</f>
        <v>9.2844575638047573</v>
      </c>
      <c r="S29" s="253">
        <f>(1+SQRT(($B29-1))*9/100)*(SQRT(S$2)/SQRT(8))*VLOOKUP($D$34, Parser!$N$5:'Parser'!$O$24, 2, FALSE)</f>
        <v>6.5651029030050783</v>
      </c>
      <c r="T29" s="242"/>
    </row>
    <row r="30" spans="2:20">
      <c r="B30" s="232">
        <v>28</v>
      </c>
      <c r="C30" s="234"/>
      <c r="D30" s="252">
        <f>(1+SQRT(($B30-1))*9/100)*(SQRT(D$2)/SQRT(8))*VLOOKUP($D$34, Parser!$N$5:'Parser'!$O$24, 2, FALSE)</f>
        <v>26.417766924784743</v>
      </c>
      <c r="E30" s="240">
        <f>(1+SQRT(($B30-1))*9/100)*(SQRT(E$2)/SQRT(8))*VLOOKUP($D$34, Parser!$N$5:'Parser'!$O$24, 2, FALSE)</f>
        <v>25.578892835920108</v>
      </c>
      <c r="F30" s="240">
        <f>(1+SQRT(($B30-1))*9/100)*(SQRT(F$2)/SQRT(8))*VLOOKUP($D$34, Parser!$N$5:'Parser'!$O$24, 2, FALSE)</f>
        <v>24.711558189048286</v>
      </c>
      <c r="G30" s="240">
        <f>(1+SQRT(($B30-1))*9/100)*(SQRT(G$2)/SQRT(8))*VLOOKUP($D$34, Parser!$N$5:'Parser'!$O$24, 2, FALSE)</f>
        <v>23.812653307642002</v>
      </c>
      <c r="H30" s="240">
        <f>(1+SQRT(($B30-1))*9/100)*(SQRT(H$2)/SQRT(8))*VLOOKUP($D$34, Parser!$N$5:'Parser'!$O$24, 2, FALSE)</f>
        <v>22.878457268119892</v>
      </c>
      <c r="I30" s="240">
        <f>(1+SQRT(($B30-1))*9/100)*(SQRT(I$2)/SQRT(8))*VLOOKUP($D$34, Parser!$N$5:'Parser'!$O$24, 2, FALSE)</f>
        <v>21.904455172143006</v>
      </c>
      <c r="J30" s="240">
        <f>(1+SQRT(($B30-1))*9/100)*(SQRT(J$2)/SQRT(8))*VLOOKUP($D$34, Parser!$N$5:'Parser'!$O$24, 2, FALSE)</f>
        <v>20.885078544445474</v>
      </c>
      <c r="K30" s="240">
        <f>(1+SQRT(($B30-1))*9/100)*(SQRT(K$2)/SQRT(8))*VLOOKUP($D$34, Parser!$N$5:'Parser'!$O$24, 2, FALSE)</f>
        <v>19.813325193588557</v>
      </c>
      <c r="L30" s="240">
        <f>(1+SQRT(($B30-1))*9/100)*(SQRT(L$2)/SQRT(8))*VLOOKUP($D$34, Parser!$N$5:'Parser'!$O$24, 2, FALSE)</f>
        <v>18.680182136320976</v>
      </c>
      <c r="M30" s="240">
        <f>(1+SQRT(($B30-1))*9/100)*(SQRT(M$2)/SQRT(8))*VLOOKUP($D$34, Parser!$N$5:'Parser'!$O$24, 2, FALSE)</f>
        <v>17.473710369162003</v>
      </c>
      <c r="N30" s="240">
        <f>(1+SQRT(($B30-1))*9/100)*(SQRT(N$2)/SQRT(8))*VLOOKUP($D$34, Parser!$N$5:'Parser'!$O$24, 2, FALSE)</f>
        <v>16.177512277374234</v>
      </c>
      <c r="O30" s="240">
        <f>(1+SQRT(($B30-1))*9/100)*(SQRT(O$2)/SQRT(8))*VLOOKUP($D$34, Parser!$N$5:'Parser'!$O$24, 2, FALSE)</f>
        <v>14.767980664391066</v>
      </c>
      <c r="P30" s="240">
        <f>(1+SQRT(($B30-1))*9/100)*(SQRT(P$2)/SQRT(8))*VLOOKUP($D$34, Parser!$N$5:'Parser'!$O$24, 2, FALSE)</f>
        <v>13.208883462392372</v>
      </c>
      <c r="Q30" s="240">
        <f>(1+SQRT(($B30-1))*9/100)*(SQRT(Q$2)/SQRT(8))*VLOOKUP($D$34, Parser!$N$5:'Parser'!$O$24, 2, FALSE)</f>
        <v>11.439228634059946</v>
      </c>
      <c r="R30" s="240">
        <f>(1+SQRT(($B30-1))*9/100)*(SQRT(R$2)/SQRT(8))*VLOOKUP($D$34, Parser!$N$5:'Parser'!$O$24, 2, FALSE)</f>
        <v>9.3400910681604881</v>
      </c>
      <c r="S30" s="253">
        <f>(1+SQRT(($B30-1))*9/100)*(SQRT(S$2)/SQRT(8))*VLOOKUP($D$34, Parser!$N$5:'Parser'!$O$24, 2, FALSE)</f>
        <v>6.6044417311961858</v>
      </c>
      <c r="T30" s="242"/>
    </row>
    <row r="31" spans="2:20">
      <c r="B31" s="232">
        <v>29</v>
      </c>
      <c r="C31" s="234"/>
      <c r="D31" s="252">
        <f>(1+SQRT(($B31-1))*9/100)*(SQRT(D$2)/SQRT(8))*VLOOKUP($D$34, Parser!$N$5:'Parser'!$O$24, 2, FALSE)</f>
        <v>26.572234247849273</v>
      </c>
      <c r="E31" s="240">
        <f>(1+SQRT(($B31-1))*9/100)*(SQRT(E$2)/SQRT(8))*VLOOKUP($D$34, Parser!$N$5:'Parser'!$O$24, 2, FALSE)</f>
        <v>25.728455178360647</v>
      </c>
      <c r="F31" s="240">
        <f>(1+SQRT(($B31-1))*9/100)*(SQRT(F$2)/SQRT(8))*VLOOKUP($D$34, Parser!$N$5:'Parser'!$O$24, 2, FALSE)</f>
        <v>24.856049139138182</v>
      </c>
      <c r="G31" s="240">
        <f>(1+SQRT(($B31-1))*9/100)*(SQRT(G$2)/SQRT(8))*VLOOKUP($D$34, Parser!$N$5:'Parser'!$O$24, 2, FALSE)</f>
        <v>23.951888271065204</v>
      </c>
      <c r="H31" s="240">
        <f>(1+SQRT(($B31-1))*9/100)*(SQRT(H$2)/SQRT(8))*VLOOKUP($D$34, Parser!$N$5:'Parser'!$O$24, 2, FALSE)</f>
        <v>23.012229893948351</v>
      </c>
      <c r="I31" s="240">
        <f>(1+SQRT(($B31-1))*9/100)*(SQRT(I$2)/SQRT(8))*VLOOKUP($D$34, Parser!$N$5:'Parser'!$O$24, 2, FALSE)</f>
        <v>22.032532710386917</v>
      </c>
      <c r="J31" s="240">
        <f>(1+SQRT(($B31-1))*9/100)*(SQRT(J$2)/SQRT(8))*VLOOKUP($D$34, Parser!$N$5:'Parser'!$O$24, 2, FALSE)</f>
        <v>21.007195685683715</v>
      </c>
      <c r="K31" s="240">
        <f>(1+SQRT(($B31-1))*9/100)*(SQRT(K$2)/SQRT(8))*VLOOKUP($D$34, Parser!$N$5:'Parser'!$O$24, 2, FALSE)</f>
        <v>19.92917568588695</v>
      </c>
      <c r="L31" s="240">
        <f>(1+SQRT(($B31-1))*9/100)*(SQRT(L$2)/SQRT(8))*VLOOKUP($D$34, Parser!$N$5:'Parser'!$O$24, 2, FALSE)</f>
        <v>18.789407027931638</v>
      </c>
      <c r="M31" s="240">
        <f>(1+SQRT(($B31-1))*9/100)*(SQRT(M$2)/SQRT(8))*VLOOKUP($D$34, Parser!$N$5:'Parser'!$O$24, 2, FALSE)</f>
        <v>17.575880899790654</v>
      </c>
      <c r="N31" s="240">
        <f>(1+SQRT(($B31-1))*9/100)*(SQRT(N$2)/SQRT(8))*VLOOKUP($D$34, Parser!$N$5:'Parser'!$O$24, 2, FALSE)</f>
        <v>16.272103808234665</v>
      </c>
      <c r="O31" s="240">
        <f>(1+SQRT(($B31-1))*9/100)*(SQRT(O$2)/SQRT(8))*VLOOKUP($D$34, Parser!$N$5:'Parser'!$O$24, 2, FALSE)</f>
        <v>14.854330523059744</v>
      </c>
      <c r="P31" s="240">
        <f>(1+SQRT(($B31-1))*9/100)*(SQRT(P$2)/SQRT(8))*VLOOKUP($D$34, Parser!$N$5:'Parser'!$O$24, 2, FALSE)</f>
        <v>13.286117123924637</v>
      </c>
      <c r="Q31" s="240">
        <f>(1+SQRT(($B31-1))*9/100)*(SQRT(Q$2)/SQRT(8))*VLOOKUP($D$34, Parser!$N$5:'Parser'!$O$24, 2, FALSE)</f>
        <v>11.506114946974176</v>
      </c>
      <c r="R31" s="240">
        <f>(1+SQRT(($B31-1))*9/100)*(SQRT(R$2)/SQRT(8))*VLOOKUP($D$34, Parser!$N$5:'Parser'!$O$24, 2, FALSE)</f>
        <v>9.394703513965819</v>
      </c>
      <c r="S31" s="253">
        <f>(1+SQRT(($B31-1))*9/100)*(SQRT(S$2)/SQRT(8))*VLOOKUP($D$34, Parser!$N$5:'Parser'!$O$24, 2, FALSE)</f>
        <v>6.6430585619623184</v>
      </c>
      <c r="T31" s="242"/>
    </row>
    <row r="32" spans="2:20" ht="13.8" thickBot="1">
      <c r="B32" s="232">
        <v>30</v>
      </c>
      <c r="C32" s="234"/>
      <c r="D32" s="254">
        <f>(1+SQRT(($B32-1))*9/100)*(SQRT(D$2)/SQRT(8))*VLOOKUP($D$34, Parser!$N$5:'Parser'!$O$24, 2, FALSE)</f>
        <v>26.723966987557894</v>
      </c>
      <c r="E32" s="255">
        <f>(1+SQRT(($B32-1))*9/100)*(SQRT(E$2)/SQRT(8))*VLOOKUP($D$34, Parser!$N$5:'Parser'!$O$24, 2, FALSE)</f>
        <v>25.875369771852125</v>
      </c>
      <c r="F32" s="255">
        <f>(1+SQRT(($B32-1))*9/100)*(SQRT(F$2)/SQRT(8))*VLOOKUP($D$34, Parser!$N$5:'Parser'!$O$24, 2, FALSE)</f>
        <v>24.997982120724739</v>
      </c>
      <c r="G32" s="255">
        <f>(1+SQRT(($B32-1))*9/100)*(SQRT(G$2)/SQRT(8))*VLOOKUP($D$34, Parser!$N$5:'Parser'!$O$24, 2, FALSE)</f>
        <v>24.088658314361723</v>
      </c>
      <c r="H32" s="255">
        <f>(1+SQRT(($B32-1))*9/100)*(SQRT(H$2)/SQRT(8))*VLOOKUP($D$34, Parser!$N$5:'Parser'!$O$24, 2, FALSE)</f>
        <v>23.143634301121832</v>
      </c>
      <c r="I32" s="255">
        <f>(1+SQRT(($B32-1))*9/100)*(SQRT(I$2)/SQRT(8))*VLOOKUP($D$34, Parser!$N$5:'Parser'!$O$24, 2, FALSE)</f>
        <v>22.158342851893458</v>
      </c>
      <c r="J32" s="255">
        <f>(1+SQRT(($B32-1))*9/100)*(SQRT(J$2)/SQRT(8))*VLOOKUP($D$34, Parser!$N$5:'Parser'!$O$24, 2, FALSE)</f>
        <v>21.127150948957894</v>
      </c>
      <c r="K32" s="255">
        <f>(1+SQRT(($B32-1))*9/100)*(SQRT(K$2)/SQRT(8))*VLOOKUP($D$34, Parser!$N$5:'Parser'!$O$24, 2, FALSE)</f>
        <v>20.042975240668419</v>
      </c>
      <c r="L32" s="255">
        <f>(1+SQRT(($B32-1))*9/100)*(SQRT(L$2)/SQRT(8))*VLOOKUP($D$34, Parser!$N$5:'Parser'!$O$24, 2, FALSE)</f>
        <v>18.896698277107618</v>
      </c>
      <c r="M32" s="255">
        <f>(1+SQRT(($B32-1))*9/100)*(SQRT(M$2)/SQRT(8))*VLOOKUP($D$34, Parser!$N$5:'Parser'!$O$24, 2, FALSE)</f>
        <v>17.676242673544532</v>
      </c>
      <c r="N32" s="255">
        <f>(1+SQRT(($B32-1))*9/100)*(SQRT(N$2)/SQRT(8))*VLOOKUP($D$34, Parser!$N$5:'Parser'!$O$24, 2, FALSE)</f>
        <v>16.36502075562483</v>
      </c>
      <c r="O32" s="255">
        <f>(1+SQRT(($B32-1))*9/100)*(SQRT(O$2)/SQRT(8))*VLOOKUP($D$34, Parser!$N$5:'Parser'!$O$24, 2, FALSE)</f>
        <v>14.939151703159933</v>
      </c>
      <c r="P32" s="255">
        <f>(1+SQRT(($B32-1))*9/100)*(SQRT(P$2)/SQRT(8))*VLOOKUP($D$34, Parser!$N$5:'Parser'!$O$24, 2, FALSE)</f>
        <v>13.361983493778947</v>
      </c>
      <c r="Q32" s="255">
        <f>(1+SQRT(($B32-1))*9/100)*(SQRT(Q$2)/SQRT(8))*VLOOKUP($D$34, Parser!$N$5:'Parser'!$O$24, 2, FALSE)</f>
        <v>11.571817150560916</v>
      </c>
      <c r="R32" s="255">
        <f>(1+SQRT(($B32-1))*9/100)*(SQRT(R$2)/SQRT(8))*VLOOKUP($D$34, Parser!$N$5:'Parser'!$O$24, 2, FALSE)</f>
        <v>9.4483491385538088</v>
      </c>
      <c r="S32" s="256">
        <f>(1+SQRT(($B32-1))*9/100)*(SQRT(S$2)/SQRT(8))*VLOOKUP($D$34, Parser!$N$5:'Parser'!$O$24, 2, FALSE)</f>
        <v>6.6809917468894735</v>
      </c>
      <c r="T32" s="242"/>
    </row>
    <row r="33" spans="2:20">
      <c r="B33" s="243"/>
      <c r="T33" s="242"/>
    </row>
    <row r="34" spans="2:20">
      <c r="B34" s="244" t="s">
        <v>594</v>
      </c>
      <c r="D34" s="238" t="s">
        <v>595</v>
      </c>
      <c r="E34" s="239"/>
      <c r="T34" s="242"/>
    </row>
    <row r="35" spans="2:20" ht="13.8" thickBot="1">
      <c r="B35" s="245"/>
      <c r="C35" s="246"/>
      <c r="D35" s="247"/>
      <c r="E35" s="247"/>
      <c r="F35" s="247"/>
      <c r="G35" s="247"/>
      <c r="H35" s="247"/>
      <c r="I35" s="247"/>
      <c r="J35" s="247"/>
      <c r="K35" s="247"/>
      <c r="L35" s="247"/>
      <c r="M35" s="247"/>
      <c r="N35" s="247"/>
      <c r="O35" s="247"/>
      <c r="P35" s="247"/>
      <c r="Q35" s="247"/>
      <c r="R35" s="247"/>
      <c r="S35" s="247"/>
      <c r="T35" s="248"/>
    </row>
  </sheetData>
  <conditionalFormatting sqref="D3:S32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B1:U25"/>
  <sheetViews>
    <sheetView tabSelected="1" zoomScale="85" zoomScaleNormal="85" workbookViewId="0">
      <selection activeCell="H31" sqref="H31"/>
    </sheetView>
  </sheetViews>
  <sheetFormatPr defaultRowHeight="13.2"/>
  <cols>
    <col min="1" max="1" width="3.21875" style="236" customWidth="1"/>
    <col min="2" max="2" width="20.77734375" style="235" customWidth="1"/>
    <col min="3" max="3" width="2.21875" style="235" customWidth="1"/>
    <col min="4" max="4" width="9.21875" style="236" bestFit="1" customWidth="1"/>
    <col min="5" max="20" width="8.88671875" style="236"/>
    <col min="21" max="21" width="3.5546875" style="236" customWidth="1"/>
    <col min="22" max="22" width="3.44140625" style="236" customWidth="1"/>
    <col min="23" max="16384" width="8.88671875" style="236"/>
  </cols>
  <sheetData>
    <row r="1" spans="2:21" ht="13.8" thickBot="1">
      <c r="B1" s="237"/>
    </row>
    <row r="2" spans="2:21" ht="13.8" thickBot="1">
      <c r="B2" s="231" t="s">
        <v>596</v>
      </c>
      <c r="C2" s="233"/>
      <c r="D2" s="218">
        <v>8.5</v>
      </c>
      <c r="E2" s="218">
        <v>8</v>
      </c>
      <c r="F2" s="218">
        <v>7.5</v>
      </c>
      <c r="G2" s="218">
        <v>7</v>
      </c>
      <c r="H2" s="218">
        <v>6.5</v>
      </c>
      <c r="I2" s="218">
        <v>6</v>
      </c>
      <c r="J2" s="218">
        <v>5.5</v>
      </c>
      <c r="K2" s="218">
        <v>5</v>
      </c>
      <c r="L2" s="218">
        <v>4.5</v>
      </c>
      <c r="M2" s="218">
        <v>4</v>
      </c>
      <c r="N2" s="218">
        <v>3.5</v>
      </c>
      <c r="O2" s="218">
        <v>3</v>
      </c>
      <c r="P2" s="218">
        <v>2.5</v>
      </c>
      <c r="Q2" s="218">
        <v>2</v>
      </c>
      <c r="R2" s="218">
        <v>1.5</v>
      </c>
      <c r="S2" s="218">
        <v>1</v>
      </c>
      <c r="T2" s="218">
        <v>0.5</v>
      </c>
      <c r="U2" s="241"/>
    </row>
    <row r="3" spans="2:21">
      <c r="B3" s="232">
        <v>1</v>
      </c>
      <c r="C3" s="234"/>
      <c r="D3" s="249">
        <f>(1+SQRT(($B3-1))*9/100)*(POWER((D$2+6.5)/14,0.6)/POWER((15/14),0.6))*VLOOKUP($D$24, Parser!$N$5:'Parser'!$O$24, 2, FALSE)</f>
        <v>18</v>
      </c>
      <c r="E3" s="249">
        <f>(1+SQRT(($B3-1))*9/100)*(POWER((E$2+6.5)/14,0.6)/POWER((15/14),0.6))*VLOOKUP($D$24, Parser!$N$5:'Parser'!$O$24, 2, FALSE)</f>
        <v>17.637561902650916</v>
      </c>
      <c r="F3" s="249">
        <f>(1+SQRT(($B3-1))*9/100)*(POWER((F$2+6.5)/14,0.6)/POWER((15/14),0.6))*VLOOKUP($D$24, Parser!$N$5:'Parser'!$O$24, 2, FALSE)</f>
        <v>17.270088817168556</v>
      </c>
      <c r="G3" s="249">
        <f>(1+SQRT(($B3-1))*9/100)*(POWER((G$2+6.5)/14,0.6)/POWER((15/14),0.6))*VLOOKUP($D$24, Parser!$N$5:'Parser'!$O$24, 2, FALSE)</f>
        <v>16.897327080472252</v>
      </c>
      <c r="H3" s="249">
        <f>(1+SQRT(($B3-1))*9/100)*(POWER((H$2+6.5)/14,0.6)/POWER((15/14),0.6))*VLOOKUP($D$24, Parser!$N$5:'Parser'!$O$24, 2, FALSE)</f>
        <v>16.519000299634133</v>
      </c>
      <c r="I3" s="249">
        <f>(1+SQRT(($B3-1))*9/100)*(POWER((I$2+6.5)/14,0.6)/POWER((15/14),0.6))*VLOOKUP($D$24, Parser!$N$5:'Parser'!$O$24, 2, FALSE)</f>
        <v>16.134806353988555</v>
      </c>
      <c r="J3" s="249">
        <f>(1+SQRT(($B3-1))*9/100)*(POWER((J$2+6.5)/14,0.6)/POWER((15/14),0.6))*VLOOKUP($D$24, Parser!$N$5:'Parser'!$O$24, 2, FALSE)</f>
        <v>15.744413864783203</v>
      </c>
      <c r="K3" s="249">
        <f>(1+SQRT(($B3-1))*9/100)*(POWER((K$2+6.5)/14,0.6)/POWER((15/14),0.6))*VLOOKUP($D$24, Parser!$N$5:'Parser'!$O$24, 2, FALSE)</f>
        <v>15.347458011397697</v>
      </c>
      <c r="L3" s="249">
        <f>(1+SQRT(($B3-1))*9/100)*(POWER((L$2+6.5)/14,0.6)/POWER((15/14),0.6))*VLOOKUP($D$24, Parser!$N$5:'Parser'!$O$24, 2, FALSE)</f>
        <v>14.943535539140573</v>
      </c>
      <c r="M3" s="249">
        <f>(1+SQRT(($B3-1))*9/100)*(POWER((M$2+6.5)/14,0.6)/POWER((15/14),0.6))*VLOOKUP($D$24, Parser!$N$5:'Parser'!$O$24, 2, FALSE)</f>
        <v>14.532198758051349</v>
      </c>
      <c r="N3" s="249">
        <f>(1+SQRT(($B3-1))*9/100)*(POWER((N$2+6.5)/14,0.6)/POWER((15/14),0.6))*VLOOKUP($D$24, Parser!$N$5:'Parser'!$O$24, 2, FALSE)</f>
        <v>14.112948270296085</v>
      </c>
      <c r="O3" s="249">
        <f>(1+SQRT(($B3-1))*9/100)*(POWER((O$2+6.5)/14,0.6)/POWER((15/14),0.6))*VLOOKUP($D$24, Parser!$N$5:'Parser'!$O$24, 2, FALSE)</f>
        <v>13.685224078739404</v>
      </c>
      <c r="P3" s="249">
        <f>(1+SQRT(($B3-1))*9/100)*(POWER((P$2+6.5)/14,0.6)/POWER((15/14),0.6))*VLOOKUP($D$24, Parser!$N$5:'Parser'!$O$24, 2, FALSE)</f>
        <v>13.248394610721002</v>
      </c>
      <c r="Q3" s="249">
        <f>(1+SQRT(($B3-1))*9/100)*(POWER((Q$2+6.5)/14,0.6)/POWER((15/14),0.6))*VLOOKUP($D$24, Parser!$N$5:'Parser'!$O$24, 2, FALSE)</f>
        <v>12.801743023076137</v>
      </c>
      <c r="R3" s="249">
        <f>(1+SQRT(($B3-1))*9/100)*(POWER((R$2+6.5)/14,0.6)/POWER((15/14),0.6))*VLOOKUP($D$24, Parser!$N$5:'Parser'!$O$24, 2, FALSE)</f>
        <v>12.344449912212099</v>
      </c>
      <c r="S3" s="249">
        <f>(1+SQRT(($B3-1))*9/100)*(POWER((S$2+6.5)/14,0.6)/POWER((15/14),0.6))*VLOOKUP($D$24, Parser!$N$5:'Parser'!$O$24, 2, FALSE)</f>
        <v>11.875571196956049</v>
      </c>
      <c r="T3" s="257">
        <f>(1+SQRT(($B3-1))*9/100)*(POWER((T$2+6.5)/14,0.6)/POWER((15/14),0.6))*VLOOKUP($D$24, Parser!$N$5:'Parser'!$O$24, 2, FALSE)</f>
        <v>11.394009407002203</v>
      </c>
      <c r="U3" s="242"/>
    </row>
    <row r="4" spans="2:21">
      <c r="B4" s="232">
        <v>2</v>
      </c>
      <c r="C4" s="234"/>
      <c r="D4" s="252">
        <f>(1+SQRT(($B4-1))*9/100)*(POWER((D$2+6.5)/14,0.6)/POWER((15/14),0.6))*VLOOKUP($D$24, Parser!$N$5:'Parser'!$O$24, 2, FALSE)</f>
        <v>19.62</v>
      </c>
      <c r="E4" s="252">
        <f>(1+SQRT(($B4-1))*9/100)*(POWER((E$2+6.5)/14,0.6)/POWER((15/14),0.6))*VLOOKUP($D$24, Parser!$N$5:'Parser'!$O$24, 2, FALSE)</f>
        <v>19.224942473889499</v>
      </c>
      <c r="F4" s="252">
        <f>(1+SQRT(($B4-1))*9/100)*(POWER((F$2+6.5)/14,0.6)/POWER((15/14),0.6))*VLOOKUP($D$24, Parser!$N$5:'Parser'!$O$24, 2, FALSE)</f>
        <v>18.824396810713729</v>
      </c>
      <c r="G4" s="252">
        <f>(1+SQRT(($B4-1))*9/100)*(POWER((G$2+6.5)/14,0.6)/POWER((15/14),0.6))*VLOOKUP($D$24, Parser!$N$5:'Parser'!$O$24, 2, FALSE)</f>
        <v>18.418086517714752</v>
      </c>
      <c r="H4" s="252">
        <f>(1+SQRT(($B4-1))*9/100)*(POWER((H$2+6.5)/14,0.6)/POWER((15/14),0.6))*VLOOKUP($D$24, Parser!$N$5:'Parser'!$O$24, 2, FALSE)</f>
        <v>18.005710326601207</v>
      </c>
      <c r="I4" s="252">
        <f>(1+SQRT(($B4-1))*9/100)*(POWER((I$2+6.5)/14,0.6)/POWER((15/14),0.6))*VLOOKUP($D$24, Parser!$N$5:'Parser'!$O$24, 2, FALSE)</f>
        <v>17.586938925847527</v>
      </c>
      <c r="J4" s="252">
        <f>(1+SQRT(($B4-1))*9/100)*(POWER((J$2+6.5)/14,0.6)/POWER((15/14),0.6))*VLOOKUP($D$24, Parser!$N$5:'Parser'!$O$24, 2, FALSE)</f>
        <v>17.161411112613692</v>
      </c>
      <c r="K4" s="252">
        <f>(1+SQRT(($B4-1))*9/100)*(POWER((K$2+6.5)/14,0.6)/POWER((15/14),0.6))*VLOOKUP($D$24, Parser!$N$5:'Parser'!$O$24, 2, FALSE)</f>
        <v>16.72872923242349</v>
      </c>
      <c r="L4" s="252">
        <f>(1+SQRT(($B4-1))*9/100)*(POWER((L$2+6.5)/14,0.6)/POWER((15/14),0.6))*VLOOKUP($D$24, Parser!$N$5:'Parser'!$O$24, 2, FALSE)</f>
        <v>16.288453737663225</v>
      </c>
      <c r="M4" s="252">
        <f>(1+SQRT(($B4-1))*9/100)*(POWER((M$2+6.5)/14,0.6)/POWER((15/14),0.6))*VLOOKUP($D$24, Parser!$N$5:'Parser'!$O$24, 2, FALSE)</f>
        <v>15.840096646275972</v>
      </c>
      <c r="N4" s="252">
        <f>(1+SQRT(($B4-1))*9/100)*(POWER((N$2+6.5)/14,0.6)/POWER((15/14),0.6))*VLOOKUP($D$24, Parser!$N$5:'Parser'!$O$24, 2, FALSE)</f>
        <v>15.383113614622733</v>
      </c>
      <c r="O4" s="252">
        <f>(1+SQRT(($B4-1))*9/100)*(POWER((O$2+6.5)/14,0.6)/POWER((15/14),0.6))*VLOOKUP($D$24, Parser!$N$5:'Parser'!$O$24, 2, FALSE)</f>
        <v>14.916894245825953</v>
      </c>
      <c r="P4" s="252">
        <f>(1+SQRT(($B4-1))*9/100)*(POWER((P$2+6.5)/14,0.6)/POWER((15/14),0.6))*VLOOKUP($D$24, Parser!$N$5:'Parser'!$O$24, 2, FALSE)</f>
        <v>14.440750125685891</v>
      </c>
      <c r="Q4" s="252">
        <f>(1+SQRT(($B4-1))*9/100)*(POWER((Q$2+6.5)/14,0.6)/POWER((15/14),0.6))*VLOOKUP($D$24, Parser!$N$5:'Parser'!$O$24, 2, FALSE)</f>
        <v>13.953899895152992</v>
      </c>
      <c r="R4" s="252">
        <f>(1+SQRT(($B4-1))*9/100)*(POWER((R$2+6.5)/14,0.6)/POWER((15/14),0.6))*VLOOKUP($D$24, Parser!$N$5:'Parser'!$O$24, 2, FALSE)</f>
        <v>13.455450404311188</v>
      </c>
      <c r="S4" s="252">
        <f>(1+SQRT(($B4-1))*9/100)*(POWER((S$2+6.5)/14,0.6)/POWER((15/14),0.6))*VLOOKUP($D$24, Parser!$N$5:'Parser'!$O$24, 2, FALSE)</f>
        <v>12.944372604682092</v>
      </c>
      <c r="T4" s="258">
        <f>(1+SQRT(($B4-1))*9/100)*(POWER((T$2+6.5)/14,0.6)/POWER((15/14),0.6))*VLOOKUP($D$24, Parser!$N$5:'Parser'!$O$24, 2, FALSE)</f>
        <v>12.419470253632403</v>
      </c>
      <c r="U4" s="242"/>
    </row>
    <row r="5" spans="2:21">
      <c r="B5" s="232">
        <v>3</v>
      </c>
      <c r="C5" s="234"/>
      <c r="D5" s="252">
        <f>(1+SQRT(($B5-1))*9/100)*(POWER((D$2+6.5)/14,0.6)/POWER((15/14),0.6))*VLOOKUP($D$24, Parser!$N$5:'Parser'!$O$24, 2, FALSE)</f>
        <v>20.291025971044416</v>
      </c>
      <c r="E5" s="252">
        <f>(1+SQRT(($B5-1))*9/100)*(POWER((E$2+6.5)/14,0.6)/POWER((15/14),0.6))*VLOOKUP($D$24, Parser!$N$5:'Parser'!$O$24, 2, FALSE)</f>
        <v>19.882457035144075</v>
      </c>
      <c r="F5" s="252">
        <f>(1+SQRT(($B5-1))*9/100)*(POWER((F$2+6.5)/14,0.6)/POWER((15/14),0.6))*VLOOKUP($D$24, Parser!$N$5:'Parser'!$O$24, 2, FALSE)</f>
        <v>19.468212261745052</v>
      </c>
      <c r="G5" s="252">
        <f>(1+SQRT(($B5-1))*9/100)*(POWER((G$2+6.5)/14,0.6)/POWER((15/14),0.6))*VLOOKUP($D$24, Parser!$N$5:'Parser'!$O$24, 2, FALSE)</f>
        <v>19.048005701727476</v>
      </c>
      <c r="H5" s="252">
        <f>(1+SQRT(($B5-1))*9/100)*(POWER((H$2+6.5)/14,0.6)/POWER((15/14),0.6))*VLOOKUP($D$24, Parser!$N$5:'Parser'!$O$24, 2, FALSE)</f>
        <v>18.621525783087041</v>
      </c>
      <c r="I5" s="252">
        <f>(1+SQRT(($B5-1))*9/100)*(POWER((I$2+6.5)/14,0.6)/POWER((15/14),0.6))*VLOOKUP($D$24, Parser!$N$5:'Parser'!$O$24, 2, FALSE)</f>
        <v>18.188431931475236</v>
      </c>
      <c r="J5" s="252">
        <f>(1+SQRT(($B5-1))*9/100)*(POWER((J$2+6.5)/14,0.6)/POWER((15/14),0.6))*VLOOKUP($D$24, Parser!$N$5:'Parser'!$O$24, 2, FALSE)</f>
        <v>17.74835059051043</v>
      </c>
      <c r="K5" s="252">
        <f>(1+SQRT(($B5-1))*9/100)*(POWER((K$2+6.5)/14,0.6)/POWER((15/14),0.6))*VLOOKUP($D$24, Parser!$N$5:'Parser'!$O$24, 2, FALSE)</f>
        <v>17.300870505488017</v>
      </c>
      <c r="L5" s="252">
        <f>(1+SQRT(($B5-1))*9/100)*(POWER((L$2+6.5)/14,0.6)/POWER((15/14),0.6))*VLOOKUP($D$24, Parser!$N$5:'Parser'!$O$24, 2, FALSE)</f>
        <v>16.8455370957737</v>
      </c>
      <c r="M5" s="252">
        <f>(1+SQRT(($B5-1))*9/100)*(POWER((M$2+6.5)/14,0.6)/POWER((15/14),0.6))*VLOOKUP($D$24, Parser!$N$5:'Parser'!$O$24, 2, FALSE)</f>
        <v>16.381845689777741</v>
      </c>
      <c r="N5" s="252">
        <f>(1+SQRT(($B5-1))*9/100)*(POWER((N$2+6.5)/14,0.6)/POWER((15/14),0.6))*VLOOKUP($D$24, Parser!$N$5:'Parser'!$O$24, 2, FALSE)</f>
        <v>15.909233326699123</v>
      </c>
      <c r="O5" s="252">
        <f>(1+SQRT(($B5-1))*9/100)*(POWER((O$2+6.5)/14,0.6)/POWER((15/14),0.6))*VLOOKUP($D$24, Parser!$N$5:'Parser'!$O$24, 2, FALSE)</f>
        <v>15.427068733403537</v>
      </c>
      <c r="P5" s="252">
        <f>(1+SQRT(($B5-1))*9/100)*(POWER((P$2+6.5)/14,0.6)/POWER((15/14),0.6))*VLOOKUP($D$24, Parser!$N$5:'Parser'!$O$24, 2, FALSE)</f>
        <v>14.934639951154706</v>
      </c>
      <c r="Q5" s="252">
        <f>(1+SQRT(($B5-1))*9/100)*(POWER((Q$2+6.5)/14,0.6)/POWER((15/14),0.6))*VLOOKUP($D$24, Parser!$N$5:'Parser'!$O$24, 2, FALSE)</f>
        <v>14.431138897548587</v>
      </c>
      <c r="R5" s="252">
        <f>(1+SQRT(($B5-1))*9/100)*(POWER((R$2+6.5)/14,0.6)/POWER((15/14),0.6))*VLOOKUP($D$24, Parser!$N$5:'Parser'!$O$24, 2, FALSE)</f>
        <v>13.915641875941816</v>
      </c>
      <c r="S5" s="252">
        <f>(1+SQRT(($B5-1))*9/100)*(POWER((S$2+6.5)/14,0.6)/POWER((15/14),0.6))*VLOOKUP($D$24, Parser!$N$5:'Parser'!$O$24, 2, FALSE)</f>
        <v>13.387084643245677</v>
      </c>
      <c r="T5" s="258">
        <f>(1+SQRT(($B5-1))*9/100)*(POWER((T$2+6.5)/14,0.6)/POWER((15/14),0.6))*VLOOKUP($D$24, Parser!$N$5:'Parser'!$O$24, 2, FALSE)</f>
        <v>12.844230043989226</v>
      </c>
      <c r="U5" s="242"/>
    </row>
    <row r="6" spans="2:21">
      <c r="B6" s="232">
        <v>4</v>
      </c>
      <c r="C6" s="234"/>
      <c r="D6" s="252">
        <f>(1+SQRT(($B6-1))*9/100)*(POWER((D$2+6.5)/14,0.6)/POWER((15/14),0.6))*VLOOKUP($D$24, Parser!$N$5:'Parser'!$O$24, 2, FALSE)</f>
        <v>20.805922308261579</v>
      </c>
      <c r="E6" s="252">
        <f>(1+SQRT(($B6-1))*9/100)*(POWER((E$2+6.5)/14,0.6)/POWER((15/14),0.6))*VLOOKUP($D$24, Parser!$N$5:'Parser'!$O$24, 2, FALSE)</f>
        <v>20.386985702983846</v>
      </c>
      <c r="F6" s="252">
        <f>(1+SQRT(($B6-1))*9/100)*(POWER((F$2+6.5)/14,0.6)/POWER((15/14),0.6))*VLOOKUP($D$24, Parser!$N$5:'Parser'!$O$24, 2, FALSE)</f>
        <v>19.962229232599231</v>
      </c>
      <c r="G6" s="252">
        <f>(1+SQRT(($B6-1))*9/100)*(POWER((G$2+6.5)/14,0.6)/POWER((15/14),0.6))*VLOOKUP($D$24, Parser!$N$5:'Parser'!$O$24, 2, FALSE)</f>
        <v>19.531359691866118</v>
      </c>
      <c r="H6" s="252">
        <f>(1+SQRT(($B6-1))*9/100)*(POWER((H$2+6.5)/14,0.6)/POWER((15/14),0.6))*VLOOKUP($D$24, Parser!$N$5:'Parser'!$O$24, 2, FALSE)</f>
        <v>19.094057602463195</v>
      </c>
      <c r="I6" s="252">
        <f>(1+SQRT(($B6-1))*9/100)*(POWER((I$2+6.5)/14,0.6)/POWER((15/14),0.6))*VLOOKUP($D$24, Parser!$N$5:'Parser'!$O$24, 2, FALSE)</f>
        <v>18.649973747773952</v>
      </c>
      <c r="J6" s="252">
        <f>(1+SQRT(($B6-1))*9/100)*(POWER((J$2+6.5)/14,0.6)/POWER((15/14),0.6))*VLOOKUP($D$24, Parser!$N$5:'Parser'!$O$24, 2, FALSE)</f>
        <v>18.198725092210875</v>
      </c>
      <c r="K6" s="252">
        <f>(1+SQRT(($B6-1))*9/100)*(POWER((K$2+6.5)/14,0.6)/POWER((15/14),0.6))*VLOOKUP($D$24, Parser!$N$5:'Parser'!$O$24, 2, FALSE)</f>
        <v>17.739889945247068</v>
      </c>
      <c r="L6" s="252">
        <f>(1+SQRT(($B6-1))*9/100)*(POWER((L$2+6.5)/14,0.6)/POWER((15/14),0.6))*VLOOKUP($D$24, Parser!$N$5:'Parser'!$O$24, 2, FALSE)</f>
        <v>17.273002191005808</v>
      </c>
      <c r="M6" s="252">
        <f>(1+SQRT(($B6-1))*9/100)*(POWER((M$2+6.5)/14,0.6)/POWER((15/14),0.6))*VLOOKUP($D$24, Parser!$N$5:'Parser'!$O$24, 2, FALSE)</f>
        <v>16.797544351568433</v>
      </c>
      <c r="N6" s="252">
        <f>(1+SQRT(($B6-1))*9/100)*(POWER((N$2+6.5)/14,0.6)/POWER((15/14),0.6))*VLOOKUP($D$24, Parser!$N$5:'Parser'!$O$24, 2, FALSE)</f>
        <v>16.312939180683056</v>
      </c>
      <c r="O6" s="252">
        <f>(1+SQRT(($B6-1))*9/100)*(POWER((O$2+6.5)/14,0.6)/POWER((15/14),0.6))*VLOOKUP($D$24, Parser!$N$5:'Parser'!$O$24, 2, FALSE)</f>
        <v>15.81853938630015</v>
      </c>
      <c r="P6" s="252">
        <f>(1+SQRT(($B6-1))*9/100)*(POWER((P$2+6.5)/14,0.6)/POWER((15/14),0.6))*VLOOKUP($D$24, Parser!$N$5:'Parser'!$O$24, 2, FALSE)</f>
        <v>15.313614943325142</v>
      </c>
      <c r="Q6" s="252">
        <f>(1+SQRT(($B6-1))*9/100)*(POWER((Q$2+6.5)/14,0.6)/POWER((15/14),0.6))*VLOOKUP($D$24, Parser!$N$5:'Parser'!$O$24, 2, FALSE)</f>
        <v>14.797337263802879</v>
      </c>
      <c r="R6" s="252">
        <f>(1+SQRT(($B6-1))*9/100)*(POWER((R$2+6.5)/14,0.6)/POWER((15/14),0.6))*VLOOKUP($D$24, Parser!$N$5:'Parser'!$O$24, 2, FALSE)</f>
        <v>14.268759211761743</v>
      </c>
      <c r="S6" s="252">
        <f>(1+SQRT(($B6-1))*9/100)*(POWER((S$2+6.5)/14,0.6)/POWER((15/14),0.6))*VLOOKUP($D$24, Parser!$N$5:'Parser'!$O$24, 2, FALSE)</f>
        <v>13.726789538338693</v>
      </c>
      <c r="T6" s="258">
        <f>(1+SQRT(($B6-1))*9/100)*(POWER((T$2+6.5)/14,0.6)/POWER((15/14),0.6))*VLOOKUP($D$24, Parser!$N$5:'Parser'!$O$24, 2, FALSE)</f>
        <v>13.170159694538302</v>
      </c>
      <c r="U6" s="242"/>
    </row>
    <row r="7" spans="2:21">
      <c r="B7" s="232">
        <v>5</v>
      </c>
      <c r="C7" s="234"/>
      <c r="D7" s="252">
        <f>(1+SQRT(($B7-1))*9/100)*(POWER((D$2+6.5)/14,0.6)/POWER((15/14),0.6))*VLOOKUP($D$24, Parser!$N$5:'Parser'!$O$24, 2, FALSE)</f>
        <v>21.24</v>
      </c>
      <c r="E7" s="252">
        <f>(1+SQRT(($B7-1))*9/100)*(POWER((E$2+6.5)/14,0.6)/POWER((15/14),0.6))*VLOOKUP($D$24, Parser!$N$5:'Parser'!$O$24, 2, FALSE)</f>
        <v>20.812323045128082</v>
      </c>
      <c r="F7" s="252">
        <f>(1+SQRT(($B7-1))*9/100)*(POWER((F$2+6.5)/14,0.6)/POWER((15/14),0.6))*VLOOKUP($D$24, Parser!$N$5:'Parser'!$O$24, 2, FALSE)</f>
        <v>20.378704804258899</v>
      </c>
      <c r="G7" s="252">
        <f>(1+SQRT(($B7-1))*9/100)*(POWER((G$2+6.5)/14,0.6)/POWER((15/14),0.6))*VLOOKUP($D$24, Parser!$N$5:'Parser'!$O$24, 2, FALSE)</f>
        <v>19.938845954957255</v>
      </c>
      <c r="H7" s="252">
        <f>(1+SQRT(($B7-1))*9/100)*(POWER((H$2+6.5)/14,0.6)/POWER((15/14),0.6))*VLOOKUP($D$24, Parser!$N$5:'Parser'!$O$24, 2, FALSE)</f>
        <v>19.492420353568274</v>
      </c>
      <c r="I7" s="252">
        <f>(1+SQRT(($B7-1))*9/100)*(POWER((I$2+6.5)/14,0.6)/POWER((15/14),0.6))*VLOOKUP($D$24, Parser!$N$5:'Parser'!$O$24, 2, FALSE)</f>
        <v>19.039071497706491</v>
      </c>
      <c r="J7" s="252">
        <f>(1+SQRT(($B7-1))*9/100)*(POWER((J$2+6.5)/14,0.6)/POWER((15/14),0.6))*VLOOKUP($D$24, Parser!$N$5:'Parser'!$O$24, 2, FALSE)</f>
        <v>18.578408360444179</v>
      </c>
      <c r="K7" s="252">
        <f>(1+SQRT(($B7-1))*9/100)*(POWER((K$2+6.5)/14,0.6)/POWER((15/14),0.6))*VLOOKUP($D$24, Parser!$N$5:'Parser'!$O$24, 2, FALSE)</f>
        <v>18.110000453449281</v>
      </c>
      <c r="L7" s="252">
        <f>(1+SQRT(($B7-1))*9/100)*(POWER((L$2+6.5)/14,0.6)/POWER((15/14),0.6))*VLOOKUP($D$24, Parser!$N$5:'Parser'!$O$24, 2, FALSE)</f>
        <v>17.633371936185874</v>
      </c>
      <c r="M7" s="252">
        <f>(1+SQRT(($B7-1))*9/100)*(POWER((M$2+6.5)/14,0.6)/POWER((15/14),0.6))*VLOOKUP($D$24, Parser!$N$5:'Parser'!$O$24, 2, FALSE)</f>
        <v>17.14799453450059</v>
      </c>
      <c r="N7" s="252">
        <f>(1+SQRT(($B7-1))*9/100)*(POWER((N$2+6.5)/14,0.6)/POWER((15/14),0.6))*VLOOKUP($D$24, Parser!$N$5:'Parser'!$O$24, 2, FALSE)</f>
        <v>16.653278958949379</v>
      </c>
      <c r="O7" s="252">
        <f>(1+SQRT(($B7-1))*9/100)*(POWER((O$2+6.5)/14,0.6)/POWER((15/14),0.6))*VLOOKUP($D$24, Parser!$N$5:'Parser'!$O$24, 2, FALSE)</f>
        <v>16.148564412912496</v>
      </c>
      <c r="P7" s="252">
        <f>(1+SQRT(($B7-1))*9/100)*(POWER((P$2+6.5)/14,0.6)/POWER((15/14),0.6))*VLOOKUP($D$24, Parser!$N$5:'Parser'!$O$24, 2, FALSE)</f>
        <v>15.633105640650779</v>
      </c>
      <c r="Q7" s="252">
        <f>(1+SQRT(($B7-1))*9/100)*(POWER((Q$2+6.5)/14,0.6)/POWER((15/14),0.6))*VLOOKUP($D$24, Parser!$N$5:'Parser'!$O$24, 2, FALSE)</f>
        <v>15.106056767229841</v>
      </c>
      <c r="R7" s="252">
        <f>(1+SQRT(($B7-1))*9/100)*(POWER((R$2+6.5)/14,0.6)/POWER((15/14),0.6))*VLOOKUP($D$24, Parser!$N$5:'Parser'!$O$24, 2, FALSE)</f>
        <v>14.566450896410275</v>
      </c>
      <c r="S7" s="252">
        <f>(1+SQRT(($B7-1))*9/100)*(POWER((S$2+6.5)/14,0.6)/POWER((15/14),0.6))*VLOOKUP($D$24, Parser!$N$5:'Parser'!$O$24, 2, FALSE)</f>
        <v>14.013174012408136</v>
      </c>
      <c r="T7" s="258">
        <f>(1+SQRT(($B7-1))*9/100)*(POWER((T$2+6.5)/14,0.6)/POWER((15/14),0.6))*VLOOKUP($D$24, Parser!$N$5:'Parser'!$O$24, 2, FALSE)</f>
        <v>13.4449311002626</v>
      </c>
      <c r="U7" s="242"/>
    </row>
    <row r="8" spans="2:21">
      <c r="B8" s="232">
        <v>6</v>
      </c>
      <c r="C8" s="234"/>
      <c r="D8" s="252">
        <f>(1+SQRT(($B8-1))*9/100)*(POWER((D$2+6.5)/14,0.6)/POWER((15/14),0.6))*VLOOKUP($D$24, Parser!$N$5:'Parser'!$O$24, 2, FALSE)</f>
        <v>21.622430123549663</v>
      </c>
      <c r="E8" s="252">
        <f>(1+SQRT(($B8-1))*9/100)*(POWER((E$2+6.5)/14,0.6)/POWER((15/14),0.6))*VLOOKUP($D$24, Parser!$N$5:'Parser'!$O$24, 2, FALSE)</f>
        <v>21.187052766102834</v>
      </c>
      <c r="F8" s="252">
        <f>(1+SQRT(($B8-1))*9/100)*(POWER((F$2+6.5)/14,0.6)/POWER((15/14),0.6))*VLOOKUP($D$24, Parser!$N$5:'Parser'!$O$24, 2, FALSE)</f>
        <v>20.745627148706863</v>
      </c>
      <c r="G8" s="252">
        <f>(1+SQRT(($B8-1))*9/100)*(POWER((G$2+6.5)/14,0.6)/POWER((15/14),0.6))*VLOOKUP($D$24, Parser!$N$5:'Parser'!$O$24, 2, FALSE)</f>
        <v>20.297848559570813</v>
      </c>
      <c r="H8" s="252">
        <f>(1+SQRT(($B8-1))*9/100)*(POWER((H$2+6.5)/14,0.6)/POWER((15/14),0.6))*VLOOKUP($D$24, Parser!$N$5:'Parser'!$O$24, 2, FALSE)</f>
        <v>19.843384982763052</v>
      </c>
      <c r="I8" s="252">
        <f>(1+SQRT(($B8-1))*9/100)*(POWER((I$2+6.5)/14,0.6)/POWER((15/14),0.6))*VLOOKUP($D$24, Parser!$N$5:'Parser'!$O$24, 2, FALSE)</f>
        <v>19.381873497006811</v>
      </c>
      <c r="J8" s="252">
        <f>(1+SQRT(($B8-1))*9/100)*(POWER((J$2+6.5)/14,0.6)/POWER((15/14),0.6))*VLOOKUP($D$24, Parser!$N$5:'Parser'!$O$24, 2, FALSE)</f>
        <v>18.912916034862292</v>
      </c>
      <c r="K8" s="252">
        <f>(1+SQRT(($B8-1))*9/100)*(POWER((K$2+6.5)/14,0.6)/POWER((15/14),0.6))*VLOOKUP($D$24, Parser!$N$5:'Parser'!$O$24, 2, FALSE)</f>
        <v>18.436074356975507</v>
      </c>
      <c r="L8" s="252">
        <f>(1+SQRT(($B8-1))*9/100)*(POWER((L$2+6.5)/14,0.6)/POWER((15/14),0.6))*VLOOKUP($D$24, Parser!$N$5:'Parser'!$O$24, 2, FALSE)</f>
        <v>17.950864055213781</v>
      </c>
      <c r="M8" s="252">
        <f>(1+SQRT(($B8-1))*9/100)*(POWER((M$2+6.5)/14,0.6)/POWER((15/14),0.6))*VLOOKUP($D$24, Parser!$N$5:'Parser'!$O$24, 2, FALSE)</f>
        <v>17.456747343750028</v>
      </c>
      <c r="N8" s="252">
        <f>(1+SQRT(($B8-1))*9/100)*(POWER((N$2+6.5)/14,0.6)/POWER((15/14),0.6))*VLOOKUP($D$24, Parser!$N$5:'Parser'!$O$24, 2, FALSE)</f>
        <v>16.953124322874896</v>
      </c>
      <c r="O8" s="252">
        <f>(1+SQRT(($B8-1))*9/100)*(POWER((O$2+6.5)/14,0.6)/POWER((15/14),0.6))*VLOOKUP($D$24, Parser!$N$5:'Parser'!$O$24, 2, FALSE)</f>
        <v>16.439322298203447</v>
      </c>
      <c r="P8" s="252">
        <f>(1+SQRT(($B8-1))*9/100)*(POWER((P$2+6.5)/14,0.6)/POWER((15/14),0.6))*VLOOKUP($D$24, Parser!$N$5:'Parser'!$O$24, 2, FALSE)</f>
        <v>15.914582595529264</v>
      </c>
      <c r="Q8" s="252">
        <f>(1+SQRT(($B8-1))*9/100)*(POWER((Q$2+6.5)/14,0.6)/POWER((15/14),0.6))*VLOOKUP($D$24, Parser!$N$5:'Parser'!$O$24, 2, FALSE)</f>
        <v>15.378044109783509</v>
      </c>
      <c r="R8" s="252">
        <f>(1+SQRT(($B8-1))*9/100)*(POWER((R$2+6.5)/14,0.6)/POWER((15/14),0.6))*VLOOKUP($D$24, Parser!$N$5:'Parser'!$O$24, 2, FALSE)</f>
        <v>14.828722535581381</v>
      </c>
      <c r="S8" s="252">
        <f>(1+SQRT(($B8-1))*9/100)*(POWER((S$2+6.5)/14,0.6)/POWER((15/14),0.6))*VLOOKUP($D$24, Parser!$N$5:'Parser'!$O$24, 2, FALSE)</f>
        <v>14.265483799078952</v>
      </c>
      <c r="T8" s="258">
        <f>(1+SQRT(($B8-1))*9/100)*(POWER((T$2+6.5)/14,0.6)/POWER((15/14),0.6))*VLOOKUP($D$24, Parser!$N$5:'Parser'!$O$24, 2, FALSE)</f>
        <v>13.687009568331813</v>
      </c>
      <c r="U8" s="242"/>
    </row>
    <row r="9" spans="2:21" ht="13.8" thickBot="1">
      <c r="B9" s="232">
        <v>7</v>
      </c>
      <c r="C9" s="234"/>
      <c r="D9" s="252">
        <f>(1+SQRT(($B9-1))*9/100)*(POWER((D$2+6.5)/14,0.6)/POWER((15/14),0.6))*VLOOKUP($D$24, Parser!$N$5:'Parser'!$O$24, 2, FALSE)</f>
        <v>21.968173383308752</v>
      </c>
      <c r="E9" s="252">
        <f>(1+SQRT(($B9-1))*9/100)*(POWER((E$2+6.5)/14,0.6)/POWER((15/14),0.6))*VLOOKUP($D$24, Parser!$N$5:'Parser'!$O$24, 2, FALSE)</f>
        <v>21.525834329793128</v>
      </c>
      <c r="F9" s="252">
        <f>(1+SQRT(($B9-1))*9/100)*(POWER((F$2+6.5)/14,0.6)/POWER((15/14),0.6))*VLOOKUP($D$24, Parser!$N$5:'Parser'!$O$24, 2, FALSE)</f>
        <v>21.077350304483353</v>
      </c>
      <c r="G9" s="252">
        <f>(1+SQRT(($B9-1))*9/100)*(POWER((G$2+6.5)/14,0.6)/POWER((15/14),0.6))*VLOOKUP($D$24, Parser!$N$5:'Parser'!$O$24, 2, FALSE)</f>
        <v>20.622411723238482</v>
      </c>
      <c r="H9" s="252">
        <f>(1+SQRT(($B9-1))*9/100)*(POWER((H$2+6.5)/14,0.6)/POWER((15/14),0.6))*VLOOKUP($D$24, Parser!$N$5:'Parser'!$O$24, 2, FALSE)</f>
        <v>20.16068126118288</v>
      </c>
      <c r="I9" s="252">
        <f>(1+SQRT(($B9-1))*9/100)*(POWER((I$2+6.5)/14,0.6)/POWER((15/14),0.6))*VLOOKUP($D$24, Parser!$N$5:'Parser'!$O$24, 2, FALSE)</f>
        <v>19.691790193918457</v>
      </c>
      <c r="J9" s="252">
        <f>(1+SQRT(($B9-1))*9/100)*(POWER((J$2+6.5)/14,0.6)/POWER((15/14),0.6))*VLOOKUP($D$24, Parser!$N$5:'Parser'!$O$24, 2, FALSE)</f>
        <v>19.215334088895979</v>
      </c>
      <c r="K9" s="252">
        <f>(1+SQRT(($B9-1))*9/100)*(POWER((K$2+6.5)/14,0.6)/POWER((15/14),0.6))*VLOOKUP($D$24, Parser!$N$5:'Parser'!$O$24, 2, FALSE)</f>
        <v>18.730867699301971</v>
      </c>
      <c r="L9" s="252">
        <f>(1+SQRT(($B9-1))*9/100)*(POWER((L$2+6.5)/14,0.6)/POWER((15/14),0.6))*VLOOKUP($D$24, Parser!$N$5:'Parser'!$O$24, 2, FALSE)</f>
        <v>18.237898871304239</v>
      </c>
      <c r="M9" s="252">
        <f>(1+SQRT(($B9-1))*9/100)*(POWER((M$2+6.5)/14,0.6)/POWER((15/14),0.6))*VLOOKUP($D$24, Parser!$N$5:'Parser'!$O$24, 2, FALSE)</f>
        <v>17.735881219865341</v>
      </c>
      <c r="N9" s="252">
        <f>(1+SQRT(($B9-1))*9/100)*(POWER((N$2+6.5)/14,0.6)/POWER((15/14),0.6))*VLOOKUP($D$24, Parser!$N$5:'Parser'!$O$24, 2, FALSE)</f>
        <v>17.224205252862873</v>
      </c>
      <c r="O9" s="252">
        <f>(1+SQRT(($B9-1))*9/100)*(POWER((O$2+6.5)/14,0.6)/POWER((15/14),0.6))*VLOOKUP($D$24, Parser!$N$5:'Parser'!$O$24, 2, FALSE)</f>
        <v>16.702187519509945</v>
      </c>
      <c r="P9" s="252">
        <f>(1+SQRT(($B9-1))*9/100)*(POWER((P$2+6.5)/14,0.6)/POWER((15/14),0.6))*VLOOKUP($D$24, Parser!$N$5:'Parser'!$O$24, 2, FALSE)</f>
        <v>16.169057214378455</v>
      </c>
      <c r="Q9" s="252">
        <f>(1+SQRT(($B9-1))*9/100)*(POWER((Q$2+6.5)/14,0.6)/POWER((15/14),0.6))*VLOOKUP($D$24, Parser!$N$5:'Parser'!$O$24, 2, FALSE)</f>
        <v>15.623939463305538</v>
      </c>
      <c r="R9" s="252">
        <f>(1+SQRT(($B9-1))*9/100)*(POWER((R$2+6.5)/14,0.6)/POWER((15/14),0.6))*VLOOKUP($D$24, Parser!$N$5:'Parser'!$O$24, 2, FALSE)</f>
        <v>15.065834221835882</v>
      </c>
      <c r="S9" s="252">
        <f>(1+SQRT(($B9-1))*9/100)*(POWER((S$2+6.5)/14,0.6)/POWER((15/14),0.6))*VLOOKUP($D$24, Parser!$N$5:'Parser'!$O$24, 2, FALSE)</f>
        <v>14.493589282253216</v>
      </c>
      <c r="T9" s="258">
        <f>(1+SQRT(($B9-1))*9/100)*(POWER((T$2+6.5)/14,0.6)/POWER((15/14),0.6))*VLOOKUP($D$24, Parser!$N$5:'Parser'!$O$24, 2, FALSE)</f>
        <v>13.90586523244863</v>
      </c>
      <c r="U9" s="242"/>
    </row>
    <row r="10" spans="2:21" ht="13.8" thickBot="1">
      <c r="B10" s="232">
        <v>8</v>
      </c>
      <c r="C10" s="234"/>
      <c r="D10" s="259">
        <f>(1+SQRT(($B10-1))*9/100)*(POWER((D$2+6.5)/14,0.6)/POWER((15/14),0.6))*VLOOKUP($D$24, Parser!$N$5:'Parser'!$O$24, 2, FALSE)</f>
        <v>22.286117123924637</v>
      </c>
      <c r="E10" s="259">
        <f>(1+SQRT(($B10-1))*9/100)*(POWER((E$2+6.5)/14,0.6)/POWER((15/14),0.6))*VLOOKUP($D$24, Parser!$N$5:'Parser'!$O$24, 2, FALSE)</f>
        <v>21.837376130163854</v>
      </c>
      <c r="F10" s="259">
        <f>(1+SQRT(($B10-1))*9/100)*(POWER((F$2+6.5)/14,0.6)/POWER((15/14),0.6))*VLOOKUP($D$24, Parser!$N$5:'Parser'!$O$24, 2, FALSE)</f>
        <v>21.382401228888863</v>
      </c>
      <c r="G10" s="259">
        <f>(1+SQRT(($B10-1))*9/100)*(POWER((G$2+6.5)/14,0.6)/POWER((15/14),0.6))*VLOOKUP($D$24, Parser!$N$5:'Parser'!$O$24, 2, FALSE)</f>
        <v>20.920878355370451</v>
      </c>
      <c r="H10" s="259">
        <f>(1+SQRT(($B10-1))*9/100)*(POWER((H$2+6.5)/14,0.6)/POWER((15/14),0.6))*VLOOKUP($D$24, Parser!$N$5:'Parser'!$O$24, 2, FALSE)</f>
        <v>20.452465302655135</v>
      </c>
      <c r="I10" s="259">
        <f>(1+SQRT(($B10-1))*9/100)*(POWER((I$2+6.5)/14,0.6)/POWER((15/14),0.6))*VLOOKUP($D$24, Parser!$N$5:'Parser'!$O$24, 2, FALSE)</f>
        <v>19.97678800982402</v>
      </c>
      <c r="J10" s="259">
        <f>(1+SQRT(($B10-1))*9/100)*(POWER((J$2+6.5)/14,0.6)/POWER((15/14),0.6))*VLOOKUP($D$24, Parser!$N$5:'Parser'!$O$24, 2, FALSE)</f>
        <v>19.493436191005632</v>
      </c>
      <c r="K10" s="259">
        <f>(1+SQRT(($B10-1))*9/100)*(POWER((K$2+6.5)/14,0.6)/POWER((15/14),0.6))*VLOOKUP($D$24, Parser!$N$5:'Parser'!$O$24, 2, FALSE)</f>
        <v>19.001958155362473</v>
      </c>
      <c r="L10" s="259">
        <f>(1+SQRT(($B10-1))*9/100)*(POWER((L$2+6.5)/14,0.6)/POWER((15/14),0.6))*VLOOKUP($D$24, Parser!$N$5:'Parser'!$O$24, 2, FALSE)</f>
        <v>18.501854626156504</v>
      </c>
      <c r="M10" s="259">
        <f>(1+SQRT(($B10-1))*9/100)*(POWER((M$2+6.5)/14,0.6)/POWER((15/14),0.6))*VLOOKUP($D$24, Parser!$N$5:'Parser'!$O$24, 2, FALSE)</f>
        <v>17.992571310560251</v>
      </c>
      <c r="N10" s="259">
        <f>(1+SQRT(($B10-1))*9/100)*(POWER((N$2+6.5)/14,0.6)/POWER((15/14),0.6))*VLOOKUP($D$24, Parser!$N$5:'Parser'!$O$24, 2, FALSE)</f>
        <v>17.473489895317119</v>
      </c>
      <c r="O10" s="259">
        <f>(1+SQRT(($B10-1))*9/100)*(POWER((O$2+6.5)/14,0.6)/POWER((15/14),0.6))*VLOOKUP($D$24, Parser!$N$5:'Parser'!$O$24, 2, FALSE)</f>
        <v>16.943917038107777</v>
      </c>
      <c r="P10" s="259">
        <f>(1+SQRT(($B10-1))*9/100)*(POWER((P$2+6.5)/14,0.6)/POWER((15/14),0.6))*VLOOKUP($D$24, Parser!$N$5:'Parser'!$O$24, 2, FALSE)</f>
        <v>16.403070777694456</v>
      </c>
      <c r="Q10" s="259">
        <f>(1+SQRT(($B10-1))*9/100)*(POWER((Q$2+6.5)/14,0.6)/POWER((15/14),0.6))*VLOOKUP($D$24, Parser!$N$5:'Parser'!$O$24, 2, FALSE)</f>
        <v>15.850063577925546</v>
      </c>
      <c r="R10" s="259">
        <f>(1+SQRT(($B10-1))*9/100)*(POWER((R$2+6.5)/14,0.6)/POWER((15/14),0.6))*VLOOKUP($D$24, Parser!$N$5:'Parser'!$O$24, 2, FALSE)</f>
        <v>15.283880920776669</v>
      </c>
      <c r="S10" s="259">
        <f>(1+SQRT(($B10-1))*9/100)*(POWER((S$2+6.5)/14,0.6)/POWER((15/14),0.6))*VLOOKUP($D$24, Parser!$N$5:'Parser'!$O$24, 2, FALSE)</f>
        <v>14.703353922714909</v>
      </c>
      <c r="T10" s="260">
        <f>(1+SQRT(($B10-1))*9/100)*(POWER((T$2+6.5)/14,0.6)/POWER((15/14),0.6))*VLOOKUP($D$24, Parser!$N$5:'Parser'!$O$24, 2, FALSE)</f>
        <v>14.107123786419454</v>
      </c>
      <c r="U10" s="242"/>
    </row>
    <row r="11" spans="2:21">
      <c r="B11" s="232">
        <v>9</v>
      </c>
      <c r="C11" s="234"/>
      <c r="D11" s="252">
        <f>(1+SQRT(($B11-1))*9/100)*(POWER((D$2+6.5)/14,0.6)/POWER((15/14),0.6))*VLOOKUP($D$24, Parser!$N$5:'Parser'!$O$24, 2, FALSE)</f>
        <v>22.582051942088828</v>
      </c>
      <c r="E11" s="252">
        <f>(1+SQRT(($B11-1))*9/100)*(POWER((E$2+6.5)/14,0.6)/POWER((15/14),0.6))*VLOOKUP($D$24, Parser!$N$5:'Parser'!$O$24, 2, FALSE)</f>
        <v>22.127352167637227</v>
      </c>
      <c r="F11" s="252">
        <f>(1+SQRT(($B11-1))*9/100)*(POWER((F$2+6.5)/14,0.6)/POWER((15/14),0.6))*VLOOKUP($D$24, Parser!$N$5:'Parser'!$O$24, 2, FALSE)</f>
        <v>21.66633570632154</v>
      </c>
      <c r="G11" s="252">
        <f>(1+SQRT(($B11-1))*9/100)*(POWER((G$2+6.5)/14,0.6)/POWER((15/14),0.6))*VLOOKUP($D$24, Parser!$N$5:'Parser'!$O$24, 2, FALSE)</f>
        <v>21.198684322982697</v>
      </c>
      <c r="H11" s="252">
        <f>(1+SQRT(($B11-1))*9/100)*(POWER((H$2+6.5)/14,0.6)/POWER((15/14),0.6))*VLOOKUP($D$24, Parser!$N$5:'Parser'!$O$24, 2, FALSE)</f>
        <v>20.724051266539941</v>
      </c>
      <c r="I11" s="252">
        <f>(1+SQRT(($B11-1))*9/100)*(POWER((I$2+6.5)/14,0.6)/POWER((15/14),0.6))*VLOOKUP($D$24, Parser!$N$5:'Parser'!$O$24, 2, FALSE)</f>
        <v>20.242057508961913</v>
      </c>
      <c r="J11" s="252">
        <f>(1+SQRT(($B11-1))*9/100)*(POWER((J$2+6.5)/14,0.6)/POWER((15/14),0.6))*VLOOKUP($D$24, Parser!$N$5:'Parser'!$O$24, 2, FALSE)</f>
        <v>19.752287316237656</v>
      </c>
      <c r="K11" s="252">
        <f>(1+SQRT(($B11-1))*9/100)*(POWER((K$2+6.5)/14,0.6)/POWER((15/14),0.6))*VLOOKUP($D$24, Parser!$N$5:'Parser'!$O$24, 2, FALSE)</f>
        <v>19.254282999578336</v>
      </c>
      <c r="L11" s="252">
        <f>(1+SQRT(($B11-1))*9/100)*(POWER((L$2+6.5)/14,0.6)/POWER((15/14),0.6))*VLOOKUP($D$24, Parser!$N$5:'Parser'!$O$24, 2, FALSE)</f>
        <v>18.747538652406821</v>
      </c>
      <c r="M11" s="252">
        <f>(1+SQRT(($B11-1))*9/100)*(POWER((M$2+6.5)/14,0.6)/POWER((15/14),0.6))*VLOOKUP($D$24, Parser!$N$5:'Parser'!$O$24, 2, FALSE)</f>
        <v>18.231492621504128</v>
      </c>
      <c r="N11" s="252">
        <f>(1+SQRT(($B11-1))*9/100)*(POWER((N$2+6.5)/14,0.6)/POWER((15/14),0.6))*VLOOKUP($D$24, Parser!$N$5:'Parser'!$O$24, 2, FALSE)</f>
        <v>17.705518383102159</v>
      </c>
      <c r="O11" s="252">
        <f>(1+SQRT(($B11-1))*9/100)*(POWER((O$2+6.5)/14,0.6)/POWER((15/14),0.6))*VLOOKUP($D$24, Parser!$N$5:'Parser'!$O$24, 2, FALSE)</f>
        <v>17.168913388067665</v>
      </c>
      <c r="P11" s="252">
        <f>(1+SQRT(($B11-1))*9/100)*(POWER((P$2+6.5)/14,0.6)/POWER((15/14),0.6))*VLOOKUP($D$24, Parser!$N$5:'Parser'!$O$24, 2, FALSE)</f>
        <v>16.620885291588408</v>
      </c>
      <c r="Q11" s="252">
        <f>(1+SQRT(($B11-1))*9/100)*(POWER((Q$2+6.5)/14,0.6)/POWER((15/14),0.6))*VLOOKUP($D$24, Parser!$N$5:'Parser'!$O$24, 2, FALSE)</f>
        <v>16.060534772021033</v>
      </c>
      <c r="R11" s="252">
        <f>(1+SQRT(($B11-1))*9/100)*(POWER((R$2+6.5)/14,0.6)/POWER((15/14),0.6))*VLOOKUP($D$24, Parser!$N$5:'Parser'!$O$24, 2, FALSE)</f>
        <v>15.486833839671528</v>
      </c>
      <c r="S11" s="252">
        <f>(1+SQRT(($B11-1))*9/100)*(POWER((S$2+6.5)/14,0.6)/POWER((15/14),0.6))*VLOOKUP($D$24, Parser!$N$5:'Parser'!$O$24, 2, FALSE)</f>
        <v>14.898598089535303</v>
      </c>
      <c r="T11" s="258">
        <f>(1+SQRT(($B11-1))*9/100)*(POWER((T$2+6.5)/14,0.6)/POWER((15/14),0.6))*VLOOKUP($D$24, Parser!$N$5:'Parser'!$O$24, 2, FALSE)</f>
        <v>14.294450680976247</v>
      </c>
      <c r="U11" s="242"/>
    </row>
    <row r="12" spans="2:21">
      <c r="B12" s="232">
        <v>10</v>
      </c>
      <c r="C12" s="234"/>
      <c r="D12" s="252">
        <f>(1+SQRT(($B12-1))*9/100)*(POWER((D$2+6.5)/14,0.6)/POWER((15/14),0.6))*VLOOKUP($D$24, Parser!$N$5:'Parser'!$O$24, 2, FALSE)</f>
        <v>22.86</v>
      </c>
      <c r="E12" s="252">
        <f>(1+SQRT(($B12-1))*9/100)*(POWER((E$2+6.5)/14,0.6)/POWER((15/14),0.6))*VLOOKUP($D$24, Parser!$N$5:'Parser'!$O$24, 2, FALSE)</f>
        <v>22.399703616366665</v>
      </c>
      <c r="F12" s="252">
        <f>(1+SQRT(($B12-1))*9/100)*(POWER((F$2+6.5)/14,0.6)/POWER((15/14),0.6))*VLOOKUP($D$24, Parser!$N$5:'Parser'!$O$24, 2, FALSE)</f>
        <v>21.933012797804068</v>
      </c>
      <c r="G12" s="252">
        <f>(1+SQRT(($B12-1))*9/100)*(POWER((G$2+6.5)/14,0.6)/POWER((15/14),0.6))*VLOOKUP($D$24, Parser!$N$5:'Parser'!$O$24, 2, FALSE)</f>
        <v>21.459605392199759</v>
      </c>
      <c r="H12" s="252">
        <f>(1+SQRT(($B12-1))*9/100)*(POWER((H$2+6.5)/14,0.6)/POWER((15/14),0.6))*VLOOKUP($D$24, Parser!$N$5:'Parser'!$O$24, 2, FALSE)</f>
        <v>20.979130380535349</v>
      </c>
      <c r="I12" s="252">
        <f>(1+SQRT(($B12-1))*9/100)*(POWER((I$2+6.5)/14,0.6)/POWER((15/14),0.6))*VLOOKUP($D$24, Parser!$N$5:'Parser'!$O$24, 2, FALSE)</f>
        <v>20.491204069565466</v>
      </c>
      <c r="J12" s="252">
        <f>(1+SQRT(($B12-1))*9/100)*(POWER((J$2+6.5)/14,0.6)/POWER((15/14),0.6))*VLOOKUP($D$24, Parser!$N$5:'Parser'!$O$24, 2, FALSE)</f>
        <v>19.995405608274666</v>
      </c>
      <c r="K12" s="252">
        <f>(1+SQRT(($B12-1))*9/100)*(POWER((K$2+6.5)/14,0.6)/POWER((15/14),0.6))*VLOOKUP($D$24, Parser!$N$5:'Parser'!$O$24, 2, FALSE)</f>
        <v>19.491271674475076</v>
      </c>
      <c r="L12" s="252">
        <f>(1+SQRT(($B12-1))*9/100)*(POWER((L$2+6.5)/14,0.6)/POWER((15/14),0.6))*VLOOKUP($D$24, Parser!$N$5:'Parser'!$O$24, 2, FALSE)</f>
        <v>18.978290134708526</v>
      </c>
      <c r="M12" s="252">
        <f>(1+SQRT(($B12-1))*9/100)*(POWER((M$2+6.5)/14,0.6)/POWER((15/14),0.6))*VLOOKUP($D$24, Parser!$N$5:'Parser'!$O$24, 2, FALSE)</f>
        <v>18.455892422725213</v>
      </c>
      <c r="N12" s="252">
        <f>(1+SQRT(($B12-1))*9/100)*(POWER((N$2+6.5)/14,0.6)/POWER((15/14),0.6))*VLOOKUP($D$24, Parser!$N$5:'Parser'!$O$24, 2, FALSE)</f>
        <v>17.923444303276028</v>
      </c>
      <c r="O12" s="252">
        <f>(1+SQRT(($B12-1))*9/100)*(POWER((O$2+6.5)/14,0.6)/POWER((15/14),0.6))*VLOOKUP($D$24, Parser!$N$5:'Parser'!$O$24, 2, FALSE)</f>
        <v>17.380234579999044</v>
      </c>
      <c r="P12" s="252">
        <f>(1+SQRT(($B12-1))*9/100)*(POWER((P$2+6.5)/14,0.6)/POWER((15/14),0.6))*VLOOKUP($D$24, Parser!$N$5:'Parser'!$O$24, 2, FALSE)</f>
        <v>16.825461155615674</v>
      </c>
      <c r="Q12" s="252">
        <f>(1+SQRT(($B12-1))*9/100)*(POWER((Q$2+6.5)/14,0.6)/POWER((15/14),0.6))*VLOOKUP($D$24, Parser!$N$5:'Parser'!$O$24, 2, FALSE)</f>
        <v>16.258213639306692</v>
      </c>
      <c r="R12" s="252">
        <f>(1+SQRT(($B12-1))*9/100)*(POWER((R$2+6.5)/14,0.6)/POWER((15/14),0.6))*VLOOKUP($D$24, Parser!$N$5:'Parser'!$O$24, 2, FALSE)</f>
        <v>15.677451388509366</v>
      </c>
      <c r="S12" s="252">
        <f>(1+SQRT(($B12-1))*9/100)*(POWER((S$2+6.5)/14,0.6)/POWER((15/14),0.6))*VLOOKUP($D$24, Parser!$N$5:'Parser'!$O$24, 2, FALSE)</f>
        <v>15.081975420134182</v>
      </c>
      <c r="T12" s="258">
        <f>(1+SQRT(($B12-1))*9/100)*(POWER((T$2+6.5)/14,0.6)/POWER((15/14),0.6))*VLOOKUP($D$24, Parser!$N$5:'Parser'!$O$24, 2, FALSE)</f>
        <v>14.4703919468928</v>
      </c>
      <c r="U12" s="242"/>
    </row>
    <row r="13" spans="2:21">
      <c r="B13" s="232">
        <v>11</v>
      </c>
      <c r="C13" s="234"/>
      <c r="D13" s="252">
        <f>(1+SQRT(($B13-1))*9/100)*(POWER((D$2+6.5)/14,0.6)/POWER((15/14),0.6))*VLOOKUP($D$24, Parser!$N$5:'Parser'!$O$24, 2, FALSE)</f>
        <v>23.122889809472774</v>
      </c>
      <c r="E13" s="252">
        <f>(1+SQRT(($B13-1))*9/100)*(POWER((E$2+6.5)/14,0.6)/POWER((15/14),0.6))*VLOOKUP($D$24, Parser!$N$5:'Parser'!$O$24, 2, FALSE)</f>
        <v>22.657300021264007</v>
      </c>
      <c r="F13" s="252">
        <f>(1+SQRT(($B13-1))*9/100)*(POWER((F$2+6.5)/14,0.6)/POWER((15/14),0.6))*VLOOKUP($D$24, Parser!$N$5:'Parser'!$O$24, 2, FALSE)</f>
        <v>22.185242262177585</v>
      </c>
      <c r="G13" s="252">
        <f>(1+SQRT(($B13-1))*9/100)*(POWER((G$2+6.5)/14,0.6)/POWER((15/14),0.6))*VLOOKUP($D$24, Parser!$N$5:'Parser'!$O$24, 2, FALSE)</f>
        <v>21.706390675354452</v>
      </c>
      <c r="H13" s="252">
        <f>(1+SQRT(($B13-1))*9/100)*(POWER((H$2+6.5)/14,0.6)/POWER((15/14),0.6))*VLOOKUP($D$24, Parser!$N$5:'Parser'!$O$24, 2, FALSE)</f>
        <v>21.220390205060436</v>
      </c>
      <c r="I13" s="252">
        <f>(1+SQRT(($B13-1))*9/100)*(POWER((I$2+6.5)/14,0.6)/POWER((15/14),0.6))*VLOOKUP($D$24, Parser!$N$5:'Parser'!$O$24, 2, FALSE)</f>
        <v>20.726852745581027</v>
      </c>
      <c r="J13" s="252">
        <f>(1+SQRT(($B13-1))*9/100)*(POWER((J$2+6.5)/14,0.6)/POWER((15/14),0.6))*VLOOKUP($D$24, Parser!$N$5:'Parser'!$O$24, 2, FALSE)</f>
        <v>20.225352606117632</v>
      </c>
      <c r="K13" s="252">
        <f>(1+SQRT(($B13-1))*9/100)*(POWER((K$2+6.5)/14,0.6)/POWER((15/14),0.6))*VLOOKUP($D$24, Parser!$N$5:'Parser'!$O$24, 2, FALSE)</f>
        <v>19.715421136281059</v>
      </c>
      <c r="L13" s="252">
        <f>(1+SQRT(($B13-1))*9/100)*(POWER((L$2+6.5)/14,0.6)/POWER((15/14),0.6))*VLOOKUP($D$24, Parser!$N$5:'Parser'!$O$24, 2, FALSE)</f>
        <v>19.196540313082654</v>
      </c>
      <c r="M13" s="252">
        <f>(1+SQRT(($B13-1))*9/100)*(POWER((M$2+6.5)/14,0.6)/POWER((15/14),0.6))*VLOOKUP($D$24, Parser!$N$5:'Parser'!$O$24, 2, FALSE)</f>
        <v>18.66813503176547</v>
      </c>
      <c r="N13" s="252">
        <f>(1+SQRT(($B13-1))*9/100)*(POWER((N$2+6.5)/14,0.6)/POWER((15/14),0.6))*VLOOKUP($D$24, Parser!$N$5:'Parser'!$O$24, 2, FALSE)</f>
        <v>18.129563763380322</v>
      </c>
      <c r="O13" s="252">
        <f>(1+SQRT(($B13-1))*9/100)*(POWER((O$2+6.5)/14,0.6)/POWER((15/14),0.6))*VLOOKUP($D$24, Parser!$N$5:'Parser'!$O$24, 2, FALSE)</f>
        <v>17.580107132813044</v>
      </c>
      <c r="P13" s="252">
        <f>(1+SQRT(($B13-1))*9/100)*(POWER((P$2+6.5)/14,0.6)/POWER((15/14),0.6))*VLOOKUP($D$24, Parser!$N$5:'Parser'!$O$24, 2, FALSE)</f>
        <v>17.018953818673037</v>
      </c>
      <c r="Q13" s="252">
        <f>(1+SQRT(($B13-1))*9/100)*(POWER((Q$2+6.5)/14,0.6)/POWER((15/14),0.6))*VLOOKUP($D$24, Parser!$N$5:'Parser'!$O$24, 2, FALSE)</f>
        <v>16.445182960654243</v>
      </c>
      <c r="R13" s="252">
        <f>(1+SQRT(($B13-1))*9/100)*(POWER((R$2+6.5)/14,0.6)/POWER((15/14),0.6))*VLOOKUP($D$24, Parser!$N$5:'Parser'!$O$24, 2, FALSE)</f>
        <v>15.857741948813123</v>
      </c>
      <c r="S13" s="252">
        <f>(1+SQRT(($B13-1))*9/100)*(POWER((S$2+6.5)/14,0.6)/POWER((15/14),0.6))*VLOOKUP($D$24, Parser!$N$5:'Parser'!$O$24, 2, FALSE)</f>
        <v>15.255418011764633</v>
      </c>
      <c r="T13" s="258">
        <f>(1+SQRT(($B13-1))*9/100)*(POWER((T$2+6.5)/14,0.6)/POWER((15/14),0.6))*VLOOKUP($D$24, Parser!$N$5:'Parser'!$O$24, 2, FALSE)</f>
        <v>14.636801333678232</v>
      </c>
      <c r="U13" s="242"/>
    </row>
    <row r="14" spans="2:21">
      <c r="B14" s="232">
        <v>12</v>
      </c>
      <c r="C14" s="234"/>
      <c r="D14" s="252">
        <f>(1+SQRT(($B14-1))*9/100)*(POWER((D$2+6.5)/14,0.6)/POWER((15/14),0.6))*VLOOKUP($D$24, Parser!$N$5:'Parser'!$O$24, 2, FALSE)</f>
        <v>23.37293216037575</v>
      </c>
      <c r="E14" s="252">
        <f>(1+SQRT(($B14-1))*9/100)*(POWER((E$2+6.5)/14,0.6)/POWER((15/14),0.6))*VLOOKUP($D$24, Parser!$N$5:'Parser'!$O$24, 2, FALSE)</f>
        <v>22.902307656949315</v>
      </c>
      <c r="F14" s="252">
        <f>(1+SQRT(($B14-1))*9/100)*(POWER((F$2+6.5)/14,0.6)/POWER((15/14),0.6))*VLOOKUP($D$24, Parser!$N$5:'Parser'!$O$24, 2, FALSE)</f>
        <v>22.425145240408032</v>
      </c>
      <c r="G14" s="252">
        <f>(1+SQRT(($B14-1))*9/100)*(POWER((G$2+6.5)/14,0.6)/POWER((15/14),0.6))*VLOOKUP($D$24, Parser!$N$5:'Parser'!$O$24, 2, FALSE)</f>
        <v>21.941115530197663</v>
      </c>
      <c r="H14" s="252">
        <f>(1+SQRT(($B14-1))*9/100)*(POWER((H$2+6.5)/14,0.6)/POWER((15/14),0.6))*VLOOKUP($D$24, Parser!$N$5:'Parser'!$O$24, 2, FALSE)</f>
        <v>21.44985963114307</v>
      </c>
      <c r="I14" s="252">
        <f>(1+SQRT(($B14-1))*9/100)*(POWER((I$2+6.5)/14,0.6)/POWER((15/14),0.6))*VLOOKUP($D$24, Parser!$N$5:'Parser'!$O$24, 2, FALSE)</f>
        <v>20.950985240698557</v>
      </c>
      <c r="J14" s="252">
        <f>(1+SQRT(($B14-1))*9/100)*(POWER((J$2+6.5)/14,0.6)/POWER((15/14),0.6))*VLOOKUP($D$24, Parser!$N$5:'Parser'!$O$24, 2, FALSE)</f>
        <v>20.444062064803177</v>
      </c>
      <c r="K14" s="252">
        <f>(1+SQRT(($B14-1))*9/100)*(POWER((K$2+6.5)/14,0.6)/POWER((15/14),0.6))*VLOOKUP($D$24, Parser!$N$5:'Parser'!$O$24, 2, FALSE)</f>
        <v>19.928616385256312</v>
      </c>
      <c r="L14" s="252">
        <f>(1+SQRT(($B14-1))*9/100)*(POWER((L$2+6.5)/14,0.6)/POWER((15/14),0.6))*VLOOKUP($D$24, Parser!$N$5:'Parser'!$O$24, 2, FALSE)</f>
        <v>19.404124577360925</v>
      </c>
      <c r="M14" s="252">
        <f>(1+SQRT(($B14-1))*9/100)*(POWER((M$2+6.5)/14,0.6)/POWER((15/14),0.6))*VLOOKUP($D$24, Parser!$N$5:'Parser'!$O$24, 2, FALSE)</f>
        <v>18.870005317390607</v>
      </c>
      <c r="N14" s="252">
        <f>(1+SQRT(($B14-1))*9/100)*(POWER((N$2+6.5)/14,0.6)/POWER((15/14),0.6))*VLOOKUP($D$24, Parser!$N$5:'Parser'!$O$24, 2, FALSE)</f>
        <v>18.325610139140146</v>
      </c>
      <c r="O14" s="252">
        <f>(1+SQRT(($B14-1))*9/100)*(POWER((O$2+6.5)/14,0.6)/POWER((15/14),0.6))*VLOOKUP($D$24, Parser!$N$5:'Parser'!$O$24, 2, FALSE)</f>
        <v>17.770211888439825</v>
      </c>
      <c r="P14" s="252">
        <f>(1+SQRT(($B14-1))*9/100)*(POWER((P$2+6.5)/14,0.6)/POWER((15/14),0.6))*VLOOKUP($D$24, Parser!$N$5:'Parser'!$O$24, 2, FALSE)</f>
        <v>17.202990470570537</v>
      </c>
      <c r="Q14" s="252">
        <f>(1+SQRT(($B14-1))*9/100)*(POWER((Q$2+6.5)/14,0.6)/POWER((15/14),0.6))*VLOOKUP($D$24, Parser!$N$5:'Parser'!$O$24, 2, FALSE)</f>
        <v>16.623015067384561</v>
      </c>
      <c r="R14" s="252">
        <f>(1+SQRT(($B14-1))*9/100)*(POWER((R$2+6.5)/14,0.6)/POWER((15/14),0.6))*VLOOKUP($D$24, Parser!$N$5:'Parser'!$O$24, 2, FALSE)</f>
        <v>16.029221686404988</v>
      </c>
      <c r="S14" s="252">
        <f>(1+SQRT(($B14-1))*9/100)*(POWER((S$2+6.5)/14,0.6)/POWER((15/14),0.6))*VLOOKUP($D$24, Parser!$N$5:'Parser'!$O$24, 2, FALSE)</f>
        <v>15.420384441786997</v>
      </c>
      <c r="T14" s="258">
        <f>(1+SQRT(($B14-1))*9/100)*(POWER((T$2+6.5)/14,0.6)/POWER((15/14),0.6))*VLOOKUP($D$24, Parser!$N$5:'Parser'!$O$24, 2, FALSE)</f>
        <v>14.795078272474756</v>
      </c>
      <c r="U14" s="242"/>
    </row>
    <row r="15" spans="2:21" ht="13.8" thickBot="1">
      <c r="B15" s="232">
        <v>13</v>
      </c>
      <c r="C15" s="234"/>
      <c r="D15" s="252">
        <f>(1+SQRT(($B15-1))*9/100)*(POWER((D$2+6.5)/14,0.6)/POWER((15/14),0.6))*VLOOKUP($D$24, Parser!$N$5:'Parser'!$O$24, 2, FALSE)</f>
        <v>23.611844616523161</v>
      </c>
      <c r="E15" s="252">
        <f>(1+SQRT(($B15-1))*9/100)*(POWER((E$2+6.5)/14,0.6)/POWER((15/14),0.6))*VLOOKUP($D$24, Parser!$N$5:'Parser'!$O$24, 2, FALSE)</f>
        <v>23.136409503316781</v>
      </c>
      <c r="F15" s="252">
        <f>(1+SQRT(($B15-1))*9/100)*(POWER((F$2+6.5)/14,0.6)/POWER((15/14),0.6))*VLOOKUP($D$24, Parser!$N$5:'Parser'!$O$24, 2, FALSE)</f>
        <v>22.654369648029903</v>
      </c>
      <c r="G15" s="252">
        <f>(1+SQRT(($B15-1))*9/100)*(POWER((G$2+6.5)/14,0.6)/POWER((15/14),0.6))*VLOOKUP($D$24, Parser!$N$5:'Parser'!$O$24, 2, FALSE)</f>
        <v>22.165392303259985</v>
      </c>
      <c r="H15" s="252">
        <f>(1+SQRT(($B15-1))*9/100)*(POWER((H$2+6.5)/14,0.6)/POWER((15/14),0.6))*VLOOKUP($D$24, Parser!$N$5:'Parser'!$O$24, 2, FALSE)</f>
        <v>21.669114905292261</v>
      </c>
      <c r="I15" s="252">
        <f>(1+SQRT(($B15-1))*9/100)*(POWER((I$2+6.5)/14,0.6)/POWER((15/14),0.6))*VLOOKUP($D$24, Parser!$N$5:'Parser'!$O$24, 2, FALSE)</f>
        <v>21.165141141559353</v>
      </c>
      <c r="J15" s="252">
        <f>(1+SQRT(($B15-1))*9/100)*(POWER((J$2+6.5)/14,0.6)/POWER((15/14),0.6))*VLOOKUP($D$24, Parser!$N$5:'Parser'!$O$24, 2, FALSE)</f>
        <v>20.653036319638552</v>
      </c>
      <c r="K15" s="252">
        <f>(1+SQRT(($B15-1))*9/100)*(POWER((K$2+6.5)/14,0.6)/POWER((15/14),0.6))*VLOOKUP($D$24, Parser!$N$5:'Parser'!$O$24, 2, FALSE)</f>
        <v>20.132321879096445</v>
      </c>
      <c r="L15" s="252">
        <f>(1+SQRT(($B15-1))*9/100)*(POWER((L$2+6.5)/14,0.6)/POWER((15/14),0.6))*VLOOKUP($D$24, Parser!$N$5:'Parser'!$O$24, 2, FALSE)</f>
        <v>19.602468842871051</v>
      </c>
      <c r="M15" s="252">
        <f>(1+SQRT(($B15-1))*9/100)*(POWER((M$2+6.5)/14,0.6)/POWER((15/14),0.6))*VLOOKUP($D$24, Parser!$N$5:'Parser'!$O$24, 2, FALSE)</f>
        <v>19.062889945085519</v>
      </c>
      <c r="N15" s="252">
        <f>(1+SQRT(($B15-1))*9/100)*(POWER((N$2+6.5)/14,0.6)/POWER((15/14),0.6))*VLOOKUP($D$24, Parser!$N$5:'Parser'!$O$24, 2, FALSE)</f>
        <v>18.512930091070025</v>
      </c>
      <c r="O15" s="252">
        <f>(1+SQRT(($B15-1))*9/100)*(POWER((O$2+6.5)/14,0.6)/POWER((15/14),0.6))*VLOOKUP($D$24, Parser!$N$5:'Parser'!$O$24, 2, FALSE)</f>
        <v>17.951854693860898</v>
      </c>
      <c r="P15" s="252">
        <f>(1+SQRT(($B15-1))*9/100)*(POWER((P$2+6.5)/14,0.6)/POWER((15/14),0.6))*VLOOKUP($D$24, Parser!$N$5:'Parser'!$O$24, 2, FALSE)</f>
        <v>17.378835275929283</v>
      </c>
      <c r="Q15" s="252">
        <f>(1+SQRT(($B15-1))*9/100)*(POWER((Q$2+6.5)/14,0.6)/POWER((15/14),0.6))*VLOOKUP($D$24, Parser!$N$5:'Parser'!$O$24, 2, FALSE)</f>
        <v>16.792931504529626</v>
      </c>
      <c r="R15" s="252">
        <f>(1+SQRT(($B15-1))*9/100)*(POWER((R$2+6.5)/14,0.6)/POWER((15/14),0.6))*VLOOKUP($D$24, Parser!$N$5:'Parser'!$O$24, 2, FALSE)</f>
        <v>16.193068511311392</v>
      </c>
      <c r="S15" s="252">
        <f>(1+SQRT(($B15-1))*9/100)*(POWER((S$2+6.5)/14,0.6)/POWER((15/14),0.6))*VLOOKUP($D$24, Parser!$N$5:'Parser'!$O$24, 2, FALSE)</f>
        <v>15.578007879721344</v>
      </c>
      <c r="T15" s="258">
        <f>(1+SQRT(($B15-1))*9/100)*(POWER((T$2+6.5)/14,0.6)/POWER((15/14),0.6))*VLOOKUP($D$24, Parser!$N$5:'Parser'!$O$24, 2, FALSE)</f>
        <v>14.946309982074402</v>
      </c>
      <c r="U15" s="242"/>
    </row>
    <row r="16" spans="2:21" ht="13.8" thickBot="1">
      <c r="B16" s="232">
        <v>14</v>
      </c>
      <c r="C16" s="234"/>
      <c r="D16" s="259">
        <f>(1+SQRT(($B16-1))*9/100)*(POWER((D$2+6.5)/14,0.6)/POWER((15/14),0.6))*VLOOKUP($D$24, Parser!$N$5:'Parser'!$O$24, 2, FALSE)</f>
        <v>23.840993066251663</v>
      </c>
      <c r="E16" s="259">
        <f>(1+SQRT(($B16-1))*9/100)*(POWER((E$2+6.5)/14,0.6)/POWER((15/14),0.6))*VLOOKUP($D$24, Parser!$N$5:'Parser'!$O$24, 2, FALSE)</f>
        <v>23.360943945926945</v>
      </c>
      <c r="F16" s="259">
        <f>(1+SQRT(($B16-1))*9/100)*(POWER((F$2+6.5)/14,0.6)/POWER((15/14),0.6))*VLOOKUP($D$24, Parser!$N$5:'Parser'!$O$24, 2, FALSE)</f>
        <v>22.874225985759221</v>
      </c>
      <c r="G16" s="259">
        <f>(1+SQRT(($B16-1))*9/100)*(POWER((G$2+6.5)/14,0.6)/POWER((15/14),0.6))*VLOOKUP($D$24, Parser!$N$5:'Parser'!$O$24, 2, FALSE)</f>
        <v>22.380503209095856</v>
      </c>
      <c r="H16" s="259">
        <f>(1+SQRT(($B16-1))*9/100)*(POWER((H$2+6.5)/14,0.6)/POWER((15/14),0.6))*VLOOKUP($D$24, Parser!$N$5:'Parser'!$O$24, 2, FALSE)</f>
        <v>21.879409533610364</v>
      </c>
      <c r="I16" s="259">
        <f>(1+SQRT(($B16-1))*9/100)*(POWER((I$2+6.5)/14,0.6)/POWER((15/14),0.6))*VLOOKUP($D$24, Parser!$N$5:'Parser'!$O$24, 2, FALSE)</f>
        <v>21.370544800597465</v>
      </c>
      <c r="J16" s="259">
        <f>(1+SQRT(($B16-1))*9/100)*(POWER((J$2+6.5)/14,0.6)/POWER((15/14),0.6))*VLOOKUP($D$24, Parser!$N$5:'Parser'!$O$24, 2, FALSE)</f>
        <v>20.853470099027383</v>
      </c>
      <c r="K16" s="259">
        <f>(1+SQRT(($B16-1))*9/100)*(POWER((K$2+6.5)/14,0.6)/POWER((15/14),0.6))*VLOOKUP($D$24, Parser!$N$5:'Parser'!$O$24, 2, FALSE)</f>
        <v>20.327702224128945</v>
      </c>
      <c r="L16" s="259">
        <f>(1+SQRT(($B16-1))*9/100)*(POWER((L$2+6.5)/14,0.6)/POWER((15/14),0.6))*VLOOKUP($D$24, Parser!$N$5:'Parser'!$O$24, 2, FALSE)</f>
        <v>19.79270706521865</v>
      </c>
      <c r="M16" s="259">
        <f>(1+SQRT(($B16-1))*9/100)*(POWER((M$2+6.5)/14,0.6)/POWER((15/14),0.6))*VLOOKUP($D$24, Parser!$N$5:'Parser'!$O$24, 2, FALSE)</f>
        <v>19.247891657116295</v>
      </c>
      <c r="N16" s="259">
        <f>(1+SQRT(($B16-1))*9/100)*(POWER((N$2+6.5)/14,0.6)/POWER((15/14),0.6))*VLOOKUP($D$24, Parser!$N$5:'Parser'!$O$24, 2, FALSE)</f>
        <v>18.692594547583187</v>
      </c>
      <c r="O16" s="259">
        <f>(1+SQRT(($B16-1))*9/100)*(POWER((O$2+6.5)/14,0.6)/POWER((15/14),0.6))*VLOOKUP($D$24, Parser!$N$5:'Parser'!$O$24, 2, FALSE)</f>
        <v>18.126074020629247</v>
      </c>
      <c r="P16" s="259">
        <f>(1+SQRT(($B16-1))*9/100)*(POWER((P$2+6.5)/14,0.6)/POWER((15/14),0.6))*VLOOKUP($D$24, Parser!$N$5:'Parser'!$O$24, 2, FALSE)</f>
        <v>17.547493558509185</v>
      </c>
      <c r="Q16" s="259">
        <f>(1+SQRT(($B16-1))*9/100)*(POWER((Q$2+6.5)/14,0.6)/POWER((15/14),0.6))*VLOOKUP($D$24, Parser!$N$5:'Parser'!$O$24, 2, FALSE)</f>
        <v>16.955903702727436</v>
      </c>
      <c r="R16" s="259">
        <f>(1+SQRT(($B16-1))*9/100)*(POWER((R$2+6.5)/14,0.6)/POWER((15/14),0.6))*VLOOKUP($D$24, Parser!$N$5:'Parser'!$O$24, 2, FALSE)</f>
        <v>16.35021915354109</v>
      </c>
      <c r="S16" s="259">
        <f>(1+SQRT(($B16-1))*9/100)*(POWER((S$2+6.5)/14,0.6)/POWER((15/14),0.6))*VLOOKUP($D$24, Parser!$N$5:'Parser'!$O$24, 2, FALSE)</f>
        <v>15.729189475800396</v>
      </c>
      <c r="T16" s="260">
        <f>(1+SQRT(($B16-1))*9/100)*(POWER((T$2+6.5)/14,0.6)/POWER((15/14),0.6))*VLOOKUP($D$24, Parser!$N$5:'Parser'!$O$24, 2, FALSE)</f>
        <v>15.091361070508098</v>
      </c>
      <c r="U16" s="242"/>
    </row>
    <row r="17" spans="2:21">
      <c r="B17" s="232">
        <v>15</v>
      </c>
      <c r="C17" s="234"/>
      <c r="D17" s="252">
        <f>(1+SQRT(($B17-1))*9/100)*(POWER((D$2+6.5)/14,0.6)/POWER((15/14),0.6))*VLOOKUP($D$24, Parser!$N$5:'Parser'!$O$24, 2, FALSE)</f>
        <v>24.061484966573786</v>
      </c>
      <c r="E17" s="252">
        <f>(1+SQRT(($B17-1))*9/100)*(POWER((E$2+6.5)/14,0.6)/POWER((15/14),0.6))*VLOOKUP($D$24, Parser!$N$5:'Parser'!$O$24, 2, FALSE)</f>
        <v>23.5769961426472</v>
      </c>
      <c r="F17" s="252">
        <f>(1+SQRT(($B17-1))*9/100)*(POWER((F$2+6.5)/14,0.6)/POWER((15/14),0.6))*VLOOKUP($D$24, Parser!$N$5:'Parser'!$O$24, 2, FALSE)</f>
        <v>23.085776802538629</v>
      </c>
      <c r="G17" s="252">
        <f>(1+SQRT(($B17-1))*9/100)*(POWER((G$2+6.5)/14,0.6)/POWER((15/14),0.6))*VLOOKUP($D$24, Parser!$N$5:'Parser'!$O$24, 2, FALSE)</f>
        <v>22.587487862336843</v>
      </c>
      <c r="H17" s="252">
        <f>(1+SQRT(($B17-1))*9/100)*(POWER((H$2+6.5)/14,0.6)/POWER((15/14),0.6))*VLOOKUP($D$24, Parser!$N$5:'Parser'!$O$24, 2, FALSE)</f>
        <v>22.081759854026366</v>
      </c>
      <c r="I17" s="252">
        <f>(1+SQRT(($B17-1))*9/100)*(POWER((I$2+6.5)/14,0.6)/POWER((15/14),0.6))*VLOOKUP($D$24, Parser!$N$5:'Parser'!$O$24, 2, FALSE)</f>
        <v>21.568188918059711</v>
      </c>
      <c r="J17" s="252">
        <f>(1+SQRT(($B17-1))*9/100)*(POWER((J$2+6.5)/14,0.6)/POWER((15/14),0.6))*VLOOKUP($D$24, Parser!$N$5:'Parser'!$O$24, 2, FALSE)</f>
        <v>21.046332084166497</v>
      </c>
      <c r="K17" s="252">
        <f>(1+SQRT(($B17-1))*9/100)*(POWER((K$2+6.5)/14,0.6)/POWER((15/14),0.6))*VLOOKUP($D$24, Parser!$N$5:'Parser'!$O$24, 2, FALSE)</f>
        <v>20.515701678687115</v>
      </c>
      <c r="L17" s="252">
        <f>(1+SQRT(($B17-1))*9/100)*(POWER((L$2+6.5)/14,0.6)/POWER((15/14),0.6))*VLOOKUP($D$24, Parser!$N$5:'Parser'!$O$24, 2, FALSE)</f>
        <v>19.975758651249556</v>
      </c>
      <c r="M17" s="252">
        <f>(1+SQRT(($B17-1))*9/100)*(POWER((M$2+6.5)/14,0.6)/POWER((15/14),0.6))*VLOOKUP($D$24, Parser!$N$5:'Parser'!$O$24, 2, FALSE)</f>
        <v>19.425904552673043</v>
      </c>
      <c r="N17" s="252">
        <f>(1+SQRT(($B17-1))*9/100)*(POWER((N$2+6.5)/14,0.6)/POWER((15/14),0.6))*VLOOKUP($D$24, Parser!$N$5:'Parser'!$O$24, 2, FALSE)</f>
        <v>18.865471813320152</v>
      </c>
      <c r="O17" s="252">
        <f>(1+SQRT(($B17-1))*9/100)*(POWER((O$2+6.5)/14,0.6)/POWER((15/14),0.6))*VLOOKUP($D$24, Parser!$N$5:'Parser'!$O$24, 2, FALSE)</f>
        <v>18.293711857487878</v>
      </c>
      <c r="P17" s="252">
        <f>(1+SQRT(($B17-1))*9/100)*(POWER((P$2+6.5)/14,0.6)/POWER((15/14),0.6))*VLOOKUP($D$24, Parser!$N$5:'Parser'!$O$24, 2, FALSE)</f>
        <v>17.70978043095003</v>
      </c>
      <c r="Q17" s="252">
        <f>(1+SQRT(($B17-1))*9/100)*(POWER((Q$2+6.5)/14,0.6)/POWER((15/14),0.6))*VLOOKUP($D$24, Parser!$N$5:'Parser'!$O$24, 2, FALSE)</f>
        <v>17.112719294204851</v>
      </c>
      <c r="R17" s="252">
        <f>(1+SQRT(($B17-1))*9/100)*(POWER((R$2+6.5)/14,0.6)/POWER((15/14),0.6))*VLOOKUP($D$24, Parser!$N$5:'Parser'!$O$24, 2, FALSE)</f>
        <v>16.501433110184138</v>
      </c>
      <c r="S17" s="252">
        <f>(1+SQRT(($B17-1))*9/100)*(POWER((S$2+6.5)/14,0.6)/POWER((15/14),0.6))*VLOOKUP($D$24, Parser!$N$5:'Parser'!$O$24, 2, FALSE)</f>
        <v>15.874659879168588</v>
      </c>
      <c r="T17" s="258">
        <f>(1+SQRT(($B17-1))*9/100)*(POWER((T$2+6.5)/14,0.6)/POWER((15/14),0.6))*VLOOKUP($D$24, Parser!$N$5:'Parser'!$O$24, 2, FALSE)</f>
        <v>15.230932558643545</v>
      </c>
      <c r="U17" s="242"/>
    </row>
    <row r="18" spans="2:21">
      <c r="B18" s="232">
        <v>16</v>
      </c>
      <c r="C18" s="234"/>
      <c r="D18" s="252">
        <f>(1+SQRT(($B18-1))*9/100)*(POWER((D$2+6.5)/14,0.6)/POWER((15/14),0.6))*VLOOKUP($D$24, Parser!$N$5:'Parser'!$O$24, 2, FALSE)</f>
        <v>24.274233020856016</v>
      </c>
      <c r="E18" s="252">
        <f>(1+SQRT(($B18-1))*9/100)*(POWER((E$2+6.5)/14,0.6)/POWER((15/14),0.6))*VLOOKUP($D$24, Parser!$N$5:'Parser'!$O$24, 2, FALSE)</f>
        <v>23.785460419151164</v>
      </c>
      <c r="F18" s="252">
        <f>(1+SQRT(($B18-1))*9/100)*(POWER((F$2+6.5)/14,0.6)/POWER((15/14),0.6))*VLOOKUP($D$24, Parser!$N$5:'Parser'!$O$24, 2, FALSE)</f>
        <v>23.289897791046073</v>
      </c>
      <c r="G18" s="252">
        <f>(1+SQRT(($B18-1))*9/100)*(POWER((G$2+6.5)/14,0.6)/POWER((15/14),0.6))*VLOOKUP($D$24, Parser!$N$5:'Parser'!$O$24, 2, FALSE)</f>
        <v>22.787203054500228</v>
      </c>
      <c r="H18" s="252">
        <f>(1+SQRT(($B18-1))*9/100)*(POWER((H$2+6.5)/14,0.6)/POWER((15/14),0.6))*VLOOKUP($D$24, Parser!$N$5:'Parser'!$O$24, 2, FALSE)</f>
        <v>22.277003474717183</v>
      </c>
      <c r="I18" s="252">
        <f>(1+SQRT(($B18-1))*9/100)*(POWER((I$2+6.5)/14,0.6)/POWER((15/14),0.6))*VLOOKUP($D$24, Parser!$N$5:'Parser'!$O$24, 2, FALSE)</f>
        <v>21.758891621283691</v>
      </c>
      <c r="J18" s="252">
        <f>(1+SQRT(($B18-1))*9/100)*(POWER((J$2+6.5)/14,0.6)/POWER((15/14),0.6))*VLOOKUP($D$24, Parser!$N$5:'Parser'!$O$24, 2, FALSE)</f>
        <v>21.232420607252429</v>
      </c>
      <c r="K18" s="252">
        <f>(1+SQRT(($B18-1))*9/100)*(POWER((K$2+6.5)/14,0.6)/POWER((15/14),0.6))*VLOOKUP($D$24, Parser!$N$5:'Parser'!$O$24, 2, FALSE)</f>
        <v>20.697098447026178</v>
      </c>
      <c r="L18" s="252">
        <f>(1+SQRT(($B18-1))*9/100)*(POWER((L$2+6.5)/14,0.6)/POWER((15/14),0.6))*VLOOKUP($D$24, Parser!$N$5:'Parser'!$O$24, 2, FALSE)</f>
        <v>20.152381324030085</v>
      </c>
      <c r="M18" s="252">
        <f>(1+SQRT(($B18-1))*9/100)*(POWER((M$2+6.5)/14,0.6)/POWER((15/14),0.6))*VLOOKUP($D$24, Parser!$N$5:'Parser'!$O$24, 2, FALSE)</f>
        <v>19.597665497685163</v>
      </c>
      <c r="N18" s="252">
        <f>(1+SQRT(($B18-1))*9/100)*(POWER((N$2+6.5)/14,0.6)/POWER((15/14),0.6))*VLOOKUP($D$24, Parser!$N$5:'Parser'!$O$24, 2, FALSE)</f>
        <v>19.032277495803001</v>
      </c>
      <c r="O18" s="252">
        <f>(1+SQRT(($B18-1))*9/100)*(POWER((O$2+6.5)/14,0.6)/POWER((15/14),0.6))*VLOOKUP($D$24, Parser!$N$5:'Parser'!$O$24, 2, FALSE)</f>
        <v>18.455462123886107</v>
      </c>
      <c r="P18" s="252">
        <f>(1+SQRT(($B18-1))*9/100)*(POWER((P$2+6.5)/14,0.6)/POWER((15/14),0.6))*VLOOKUP($D$24, Parser!$N$5:'Parser'!$O$24, 2, FALSE)</f>
        <v>17.866367662938593</v>
      </c>
      <c r="Q18" s="252">
        <f>(1+SQRT(($B18-1))*9/100)*(POWER((Q$2+6.5)/14,0.6)/POWER((15/14),0.6))*VLOOKUP($D$24, Parser!$N$5:'Parser'!$O$24, 2, FALSE)</f>
        <v>17.264027400848217</v>
      </c>
      <c r="R18" s="252">
        <f>(1+SQRT(($B18-1))*9/100)*(POWER((R$2+6.5)/14,0.6)/POWER((15/14),0.6))*VLOOKUP($D$24, Parser!$N$5:'Parser'!$O$24, 2, FALSE)</f>
        <v>16.647336315740116</v>
      </c>
      <c r="S18" s="252">
        <f>(1+SQRT(($B18-1))*9/100)*(POWER((S$2+6.5)/14,0.6)/POWER((15/14),0.6))*VLOOKUP($D$24, Parser!$N$5:'Parser'!$O$24, 2, FALSE)</f>
        <v>16.015021249482061</v>
      </c>
      <c r="T18" s="258">
        <f>(1+SQRT(($B18-1))*9/100)*(POWER((T$2+6.5)/14,0.6)/POWER((15/14),0.6))*VLOOKUP($D$24, Parser!$N$5:'Parser'!$O$24, 2, FALSE)</f>
        <v>15.365602188188722</v>
      </c>
      <c r="U18" s="242"/>
    </row>
    <row r="19" spans="2:21">
      <c r="B19" s="232">
        <v>17</v>
      </c>
      <c r="C19" s="234"/>
      <c r="D19" s="252">
        <f>(1+SQRT(($B19-1))*9/100)*(POWER((D$2+6.5)/14,0.6)/POWER((15/14),0.6))*VLOOKUP($D$24, Parser!$N$5:'Parser'!$O$24, 2, FALSE)</f>
        <v>24.479999999999997</v>
      </c>
      <c r="E19" s="252">
        <f>(1+SQRT(($B19-1))*9/100)*(POWER((E$2+6.5)/14,0.6)/POWER((15/14),0.6))*VLOOKUP($D$24, Parser!$N$5:'Parser'!$O$24, 2, FALSE)</f>
        <v>23.987084187605245</v>
      </c>
      <c r="F19" s="252">
        <f>(1+SQRT(($B19-1))*9/100)*(POWER((F$2+6.5)/14,0.6)/POWER((15/14),0.6))*VLOOKUP($D$24, Parser!$N$5:'Parser'!$O$24, 2, FALSE)</f>
        <v>23.487320791349234</v>
      </c>
      <c r="G19" s="252">
        <f>(1+SQRT(($B19-1))*9/100)*(POWER((G$2+6.5)/14,0.6)/POWER((15/14),0.6))*VLOOKUP($D$24, Parser!$N$5:'Parser'!$O$24, 2, FALSE)</f>
        <v>22.980364829442259</v>
      </c>
      <c r="H19" s="252">
        <f>(1+SQRT(($B19-1))*9/100)*(POWER((H$2+6.5)/14,0.6)/POWER((15/14),0.6))*VLOOKUP($D$24, Parser!$N$5:'Parser'!$O$24, 2, FALSE)</f>
        <v>22.465840407502419</v>
      </c>
      <c r="I19" s="252">
        <f>(1+SQRT(($B19-1))*9/100)*(POWER((I$2+6.5)/14,0.6)/POWER((15/14),0.6))*VLOOKUP($D$24, Parser!$N$5:'Parser'!$O$24, 2, FALSE)</f>
        <v>21.943336641424434</v>
      </c>
      <c r="J19" s="252">
        <f>(1+SQRT(($B19-1))*9/100)*(POWER((J$2+6.5)/14,0.6)/POWER((15/14),0.6))*VLOOKUP($D$24, Parser!$N$5:'Parser'!$O$24, 2, FALSE)</f>
        <v>21.412402856105153</v>
      </c>
      <c r="K19" s="252">
        <f>(1+SQRT(($B19-1))*9/100)*(POWER((K$2+6.5)/14,0.6)/POWER((15/14),0.6))*VLOOKUP($D$24, Parser!$N$5:'Parser'!$O$24, 2, FALSE)</f>
        <v>20.872542895500864</v>
      </c>
      <c r="L19" s="252">
        <f>(1+SQRT(($B19-1))*9/100)*(POWER((L$2+6.5)/14,0.6)/POWER((15/14),0.6))*VLOOKUP($D$24, Parser!$N$5:'Parser'!$O$24, 2, FALSE)</f>
        <v>20.323208333231179</v>
      </c>
      <c r="M19" s="252">
        <f>(1+SQRT(($B19-1))*9/100)*(POWER((M$2+6.5)/14,0.6)/POWER((15/14),0.6))*VLOOKUP($D$24, Parser!$N$5:'Parser'!$O$24, 2, FALSE)</f>
        <v>19.763790310949833</v>
      </c>
      <c r="N19" s="252">
        <f>(1+SQRT(($B19-1))*9/100)*(POWER((N$2+6.5)/14,0.6)/POWER((15/14),0.6))*VLOOKUP($D$24, Parser!$N$5:'Parser'!$O$24, 2, FALSE)</f>
        <v>19.193609647602674</v>
      </c>
      <c r="O19" s="252">
        <f>(1+SQRT(($B19-1))*9/100)*(POWER((O$2+6.5)/14,0.6)/POWER((15/14),0.6))*VLOOKUP($D$24, Parser!$N$5:'Parser'!$O$24, 2, FALSE)</f>
        <v>18.611904747085589</v>
      </c>
      <c r="P19" s="252">
        <f>(1+SQRT(($B19-1))*9/100)*(POWER((P$2+6.5)/14,0.6)/POWER((15/14),0.6))*VLOOKUP($D$24, Parser!$N$5:'Parser'!$O$24, 2, FALSE)</f>
        <v>18.017816670580562</v>
      </c>
      <c r="Q19" s="252">
        <f>(1+SQRT(($B19-1))*9/100)*(POWER((Q$2+6.5)/14,0.6)/POWER((15/14),0.6))*VLOOKUP($D$24, Parser!$N$5:'Parser'!$O$24, 2, FALSE)</f>
        <v>17.410370511383547</v>
      </c>
      <c r="R19" s="252">
        <f>(1+SQRT(($B19-1))*9/100)*(POWER((R$2+6.5)/14,0.6)/POWER((15/14),0.6))*VLOOKUP($D$24, Parser!$N$5:'Parser'!$O$24, 2, FALSE)</f>
        <v>16.788451880608452</v>
      </c>
      <c r="S19" s="252">
        <f>(1+SQRT(($B19-1))*9/100)*(POWER((S$2+6.5)/14,0.6)/POWER((15/14),0.6))*VLOOKUP($D$24, Parser!$N$5:'Parser'!$O$24, 2, FALSE)</f>
        <v>16.150776827860224</v>
      </c>
      <c r="T19" s="258">
        <f>(1+SQRT(($B19-1))*9/100)*(POWER((T$2+6.5)/14,0.6)/POWER((15/14),0.6))*VLOOKUP($D$24, Parser!$N$5:'Parser'!$O$24, 2, FALSE)</f>
        <v>15.495852793522994</v>
      </c>
      <c r="U19" s="242"/>
    </row>
    <row r="20" spans="2:21">
      <c r="B20" s="232">
        <v>18</v>
      </c>
      <c r="C20" s="234"/>
      <c r="D20" s="252">
        <f>(1+SQRT(($B20-1))*9/100)*(POWER((D$2+6.5)/14,0.6)/POWER((15/14),0.6))*VLOOKUP($D$24, Parser!$N$5:'Parser'!$O$24, 2, FALSE)</f>
        <v>24.679431113500609</v>
      </c>
      <c r="E20" s="252">
        <f>(1+SQRT(($B20-1))*9/100)*(POWER((E$2+6.5)/14,0.6)/POWER((15/14),0.6))*VLOOKUP($D$24, Parser!$N$5:'Parser'!$O$24, 2, FALSE)</f>
        <v>24.18249966592089</v>
      </c>
      <c r="F20" s="252">
        <f>(1+SQRT(($B20-1))*9/100)*(POWER((F$2+6.5)/14,0.6)/POWER((15/14),0.6))*VLOOKUP($D$24, Parser!$N$5:'Parser'!$O$24, 2, FALSE)</f>
        <v>23.678664849297149</v>
      </c>
      <c r="G20" s="252">
        <f>(1+SQRT(($B20-1))*9/100)*(POWER((G$2+6.5)/14,0.6)/POWER((15/14),0.6))*VLOOKUP($D$24, Parser!$N$5:'Parser'!$O$24, 2, FALSE)</f>
        <v>23.167578871377962</v>
      </c>
      <c r="H20" s="252">
        <f>(1+SQRT(($B20-1))*9/100)*(POWER((H$2+6.5)/14,0.6)/POWER((15/14),0.6))*VLOOKUP($D$24, Parser!$N$5:'Parser'!$O$24, 2, FALSE)</f>
        <v>22.64886277548425</v>
      </c>
      <c r="I20" s="252">
        <f>(1+SQRT(($B20-1))*9/100)*(POWER((I$2+6.5)/14,0.6)/POWER((15/14),0.6))*VLOOKUP($D$24, Parser!$N$5:'Parser'!$O$24, 2, FALSE)</f>
        <v>22.122102330162914</v>
      </c>
      <c r="J20" s="252">
        <f>(1+SQRT(($B20-1))*9/100)*(POWER((J$2+6.5)/14,0.6)/POWER((15/14),0.6))*VLOOKUP($D$24, Parser!$N$5:'Parser'!$O$24, 2, FALSE)</f>
        <v>21.586843188797829</v>
      </c>
      <c r="K20" s="252">
        <f>(1+SQRT(($B20-1))*9/100)*(POWER((K$2+6.5)/14,0.6)/POWER((15/14),0.6))*VLOOKUP($D$24, Parser!$N$5:'Parser'!$O$24, 2, FALSE)</f>
        <v>21.042585153312917</v>
      </c>
      <c r="L20" s="252">
        <f>(1+SQRT(($B20-1))*9/100)*(POWER((L$2+6.5)/14,0.6)/POWER((15/14),0.6))*VLOOKUP($D$24, Parser!$N$5:'Parser'!$O$24, 2, FALSE)</f>
        <v>20.488775329464886</v>
      </c>
      <c r="M20" s="252">
        <f>(1+SQRT(($B20-1))*9/100)*(POWER((M$2+6.5)/14,0.6)/POWER((15/14),0.6))*VLOOKUP($D$24, Parser!$N$5:'Parser'!$O$24, 2, FALSE)</f>
        <v>19.924799898723744</v>
      </c>
      <c r="N20" s="252">
        <f>(1+SQRT(($B20-1))*9/100)*(POWER((N$2+6.5)/14,0.6)/POWER((15/14),0.6))*VLOOKUP($D$24, Parser!$N$5:'Parser'!$O$24, 2, FALSE)</f>
        <v>19.34997414695388</v>
      </c>
      <c r="O20" s="252">
        <f>(1+SQRT(($B20-1))*9/100)*(POWER((O$2+6.5)/14,0.6)/POWER((15/14),0.6))*VLOOKUP($D$24, Parser!$N$5:'Parser'!$O$24, 2, FALSE)</f>
        <v>18.76353027355939</v>
      </c>
      <c r="P20" s="252">
        <f>(1+SQRT(($B20-1))*9/100)*(POWER((P$2+6.5)/14,0.6)/POWER((15/14),0.6))*VLOOKUP($D$24, Parser!$N$5:'Parser'!$O$24, 2, FALSE)</f>
        <v>18.164602342208983</v>
      </c>
      <c r="Q20" s="252">
        <f>(1+SQRT(($B20-1))*9/100)*(POWER((Q$2+6.5)/14,0.6)/POWER((15/14),0.6))*VLOOKUP($D$24, Parser!$N$5:'Parser'!$O$24, 2, FALSE)</f>
        <v>17.552207503930255</v>
      </c>
      <c r="R20" s="252">
        <f>(1+SQRT(($B20-1))*9/100)*(POWER((R$2+6.5)/14,0.6)/POWER((15/14),0.6))*VLOOKUP($D$24, Parser!$N$5:'Parser'!$O$24, 2, FALSE)</f>
        <v>16.925222291249842</v>
      </c>
      <c r="S20" s="252">
        <f>(1+SQRT(($B20-1))*9/100)*(POWER((S$2+6.5)/14,0.6)/POWER((15/14),0.6))*VLOOKUP($D$24, Parser!$N$5:'Parser'!$O$24, 2, FALSE)</f>
        <v>16.282352293819375</v>
      </c>
      <c r="T20" s="258">
        <f>(1+SQRT(($B20-1))*9/100)*(POWER((T$2+6.5)/14,0.6)/POWER((15/14),0.6))*VLOOKUP($D$24, Parser!$N$5:'Parser'!$O$24, 2, FALSE)</f>
        <v>15.622092792593822</v>
      </c>
      <c r="U20" s="242"/>
    </row>
    <row r="21" spans="2:21" ht="13.8" thickBot="1">
      <c r="B21" s="232">
        <v>19</v>
      </c>
      <c r="C21" s="234"/>
      <c r="D21" s="252">
        <f>(1+SQRT(($B21-1))*9/100)*(POWER((D$2+6.5)/14,0.6)/POWER((15/14),0.6))*VLOOKUP($D$24, Parser!$N$5:'Parser'!$O$24, 2, FALSE)</f>
        <v>24.87307791313324</v>
      </c>
      <c r="E21" s="252">
        <f>(1+SQRT(($B21-1))*9/100)*(POWER((E$2+6.5)/14,0.6)/POWER((15/14),0.6))*VLOOKUP($D$24, Parser!$N$5:'Parser'!$O$24, 2, FALSE)</f>
        <v>24.372247300130375</v>
      </c>
      <c r="F21" s="252">
        <f>(1+SQRT(($B21-1))*9/100)*(POWER((F$2+6.5)/14,0.6)/POWER((15/14),0.6))*VLOOKUP($D$24, Parser!$N$5:'Parser'!$O$24, 2, FALSE)</f>
        <v>23.864459150898032</v>
      </c>
      <c r="G21" s="252">
        <f>(1+SQRT(($B21-1))*9/100)*(POWER((G$2+6.5)/14,0.6)/POWER((15/14),0.6))*VLOOKUP($D$24, Parser!$N$5:'Parser'!$O$24, 2, FALSE)</f>
        <v>23.349362944237917</v>
      </c>
      <c r="H21" s="252">
        <f>(1+SQRT(($B21-1))*9/100)*(POWER((H$2+6.5)/14,0.6)/POWER((15/14),0.6))*VLOOKUP($D$24, Parser!$N$5:'Parser'!$O$24, 2, FALSE)</f>
        <v>22.826576749992842</v>
      </c>
      <c r="I21" s="252">
        <f>(1+SQRT(($B21-1))*9/100)*(POWER((I$2+6.5)/14,0.6)/POWER((15/14),0.6))*VLOOKUP($D$24, Parser!$N$5:'Parser'!$O$24, 2, FALSE)</f>
        <v>22.295683086448584</v>
      </c>
      <c r="J21" s="252">
        <f>(1+SQRT(($B21-1))*9/100)*(POWER((J$2+6.5)/14,0.6)/POWER((15/14),0.6))*VLOOKUP($D$24, Parser!$N$5:'Parser'!$O$24, 2, FALSE)</f>
        <v>21.756224041964877</v>
      </c>
      <c r="K21" s="252">
        <f>(1+SQRT(($B21-1))*9/100)*(POWER((K$2+6.5)/14,0.6)/POWER((15/14),0.6))*VLOOKUP($D$24, Parser!$N$5:'Parser'!$O$24, 2, FALSE)</f>
        <v>21.207695493668655</v>
      </c>
      <c r="L21" s="252">
        <f>(1+SQRT(($B21-1))*9/100)*(POWER((L$2+6.5)/14,0.6)/POWER((15/14),0.6))*VLOOKUP($D$24, Parser!$N$5:'Parser'!$O$24, 2, FALSE)</f>
        <v>20.649540209039944</v>
      </c>
      <c r="M21" s="252">
        <f>(1+SQRT(($B21-1))*9/100)*(POWER((M$2+6.5)/14,0.6)/POWER((15/14),0.6))*VLOOKUP($D$24, Parser!$N$5:'Parser'!$O$24, 2, FALSE)</f>
        <v>20.081139553230521</v>
      </c>
      <c r="N21" s="252">
        <f>(1+SQRT(($B21-1))*9/100)*(POWER((N$2+6.5)/14,0.6)/POWER((15/14),0.6))*VLOOKUP($D$24, Parser!$N$5:'Parser'!$O$24, 2, FALSE)</f>
        <v>19.501803439505196</v>
      </c>
      <c r="O21" s="252">
        <f>(1+SQRT(($B21-1))*9/100)*(POWER((O$2+6.5)/14,0.6)/POWER((15/14),0.6))*VLOOKUP($D$24, Parser!$N$5:'Parser'!$O$24, 2, FALSE)</f>
        <v>18.910758042731793</v>
      </c>
      <c r="P21" s="252">
        <f>(1+SQRT(($B21-1))*9/100)*(POWER((P$2+6.5)/14,0.6)/POWER((15/14),0.6))*VLOOKUP($D$24, Parser!$N$5:'Parser'!$O$24, 2, FALSE)</f>
        <v>18.307130632022108</v>
      </c>
      <c r="Q21" s="252">
        <f>(1+SQRT(($B21-1))*9/100)*(POWER((Q$2+6.5)/14,0.6)/POWER((15/14),0.6))*VLOOKUP($D$24, Parser!$N$5:'Parser'!$O$24, 2, FALSE)</f>
        <v>17.68993064649348</v>
      </c>
      <c r="R21" s="252">
        <f>(1+SQRT(($B21-1))*9/100)*(POWER((R$2+6.5)/14,0.6)/POWER((15/14),0.6))*VLOOKUP($D$24, Parser!$N$5:'Parser'!$O$24, 2, FALSE)</f>
        <v>17.05802580340124</v>
      </c>
      <c r="S21" s="252">
        <f>(1+SQRT(($B21-1))*9/100)*(POWER((S$2+6.5)/14,0.6)/POWER((15/14),0.6))*VLOOKUP($D$24, Parser!$N$5:'Parser'!$O$24, 2, FALSE)</f>
        <v>16.410111535824928</v>
      </c>
      <c r="T21" s="258">
        <f>(1+SQRT(($B21-1))*9/100)*(POWER((T$2+6.5)/14,0.6)/POWER((15/14),0.6))*VLOOKUP($D$24, Parser!$N$5:'Parser'!$O$24, 2, FALSE)</f>
        <v>15.74467131796327</v>
      </c>
      <c r="U21" s="242"/>
    </row>
    <row r="22" spans="2:21" ht="13.8" thickBot="1">
      <c r="B22" s="232">
        <v>20</v>
      </c>
      <c r="C22" s="234"/>
      <c r="D22" s="259">
        <f>(1+SQRT(($B22-1))*9/100)*(POWER((D$2+6.5)/14,0.6)/POWER((15/14),0.6))*VLOOKUP($D$24, Parser!$N$5:'Parser'!$O$24, 2, FALSE)</f>
        <v>25.061416288535888</v>
      </c>
      <c r="E22" s="259">
        <f>(1+SQRT(($B22-1))*9/100)*(POWER((E$2+6.5)/14,0.6)/POWER((15/14),0.6))*VLOOKUP($D$24, Parser!$N$5:'Parser'!$O$24, 2, FALSE)</f>
        <v>24.556793397619764</v>
      </c>
      <c r="F22" s="259">
        <f>(1+SQRT(($B22-1))*9/100)*(POWER((F$2+6.5)/14,0.6)/POWER((15/14),0.6))*VLOOKUP($D$24, Parser!$N$5:'Parser'!$O$24, 2, FALSE)</f>
        <v>24.045160288169424</v>
      </c>
      <c r="G22" s="259">
        <f>(1+SQRT(($B22-1))*9/100)*(POWER((G$2+6.5)/14,0.6)/POWER((15/14),0.6))*VLOOKUP($D$24, Parser!$N$5:'Parser'!$O$24, 2, FALSE)</f>
        <v>23.526163784848102</v>
      </c>
      <c r="H22" s="259">
        <f>(1+SQRT(($B22-1))*9/100)*(POWER((H$2+6.5)/14,0.6)/POWER((15/14),0.6))*VLOOKUP($D$24, Parser!$N$5:'Parser'!$O$24, 2, FALSE)</f>
        <v>22.999419065532226</v>
      </c>
      <c r="I22" s="259">
        <f>(1+SQRT(($B22-1))*9/100)*(POWER((I$2+6.5)/14,0.6)/POWER((15/14),0.6))*VLOOKUP($D$24, Parser!$N$5:'Parser'!$O$24, 2, FALSE)</f>
        <v>22.464505487345619</v>
      </c>
      <c r="J22" s="259">
        <f>(1+SQRT(($B22-1))*9/100)*(POWER((J$2+6.5)/14,0.6)/POWER((15/14),0.6))*VLOOKUP($D$24, Parser!$N$5:'Parser'!$O$24, 2, FALSE)</f>
        <v>21.920961671351559</v>
      </c>
      <c r="K22" s="259">
        <f>(1+SQRT(($B22-1))*9/100)*(POWER((K$2+6.5)/14,0.6)/POWER((15/14),0.6))*VLOOKUP($D$24, Parser!$N$5:'Parser'!$O$24, 2, FALSE)</f>
        <v>21.368279677470156</v>
      </c>
      <c r="L22" s="259">
        <f>(1+SQRT(($B22-1))*9/100)*(POWER((L$2+6.5)/14,0.6)/POWER((15/14),0.6))*VLOOKUP($D$24, Parser!$N$5:'Parser'!$O$24, 2, FALSE)</f>
        <v>20.805898053829583</v>
      </c>
      <c r="M22" s="259">
        <f>(1+SQRT(($B22-1))*9/100)*(POWER((M$2+6.5)/14,0.6)/POWER((15/14),0.6))*VLOOKUP($D$24, Parser!$N$5:'Parser'!$O$24, 2, FALSE)</f>
        <v>20.233193481292727</v>
      </c>
      <c r="N22" s="259">
        <f>(1+SQRT(($B22-1))*9/100)*(POWER((N$2+6.5)/14,0.6)/POWER((15/14),0.6))*VLOOKUP($D$24, Parser!$N$5:'Parser'!$O$24, 2, FALSE)</f>
        <v>19.649470647803486</v>
      </c>
      <c r="O22" s="259">
        <f>(1+SQRT(($B22-1))*9/100)*(POWER((O$2+6.5)/14,0.6)/POWER((15/14),0.6))*VLOOKUP($D$24, Parser!$N$5:'Parser'!$O$24, 2, FALSE)</f>
        <v>19.053949868843517</v>
      </c>
      <c r="P22" s="259">
        <f>(1+SQRT(($B22-1))*9/100)*(POWER((P$2+6.5)/14,0.6)/POWER((15/14),0.6))*VLOOKUP($D$24, Parser!$N$5:'Parser'!$O$24, 2, FALSE)</f>
        <v>18.445751805226354</v>
      </c>
      <c r="Q22" s="259">
        <f>(1+SQRT(($B22-1))*9/100)*(POWER((Q$2+6.5)/14,0.6)/POWER((15/14),0.6))*VLOOKUP($D$24, Parser!$N$5:'Parser'!$O$24, 2, FALSE)</f>
        <v>17.823878395565053</v>
      </c>
      <c r="R22" s="259">
        <f>(1+SQRT(($B22-1))*9/100)*(POWER((R$2+6.5)/14,0.6)/POWER((15/14),0.6))*VLOOKUP($D$24, Parser!$N$5:'Parser'!$O$24, 2, FALSE)</f>
        <v>17.187188783495984</v>
      </c>
      <c r="S22" s="259">
        <f>(1+SQRT(($B22-1))*9/100)*(POWER((S$2+6.5)/14,0.6)/POWER((15/14),0.6))*VLOOKUP($D$24, Parser!$N$5:'Parser'!$O$24, 2, FALSE)</f>
        <v>16.534368523947887</v>
      </c>
      <c r="T22" s="260">
        <f>(1+SQRT(($B22-1))*9/100)*(POWER((T$2+6.5)/14,0.6)/POWER((15/14),0.6))*VLOOKUP($D$24, Parser!$N$5:'Parser'!$O$24, 2, FALSE)</f>
        <v>15.863889608020898</v>
      </c>
      <c r="U22" s="242"/>
    </row>
    <row r="23" spans="2:21">
      <c r="B23" s="243"/>
      <c r="U23" s="242"/>
    </row>
    <row r="24" spans="2:21">
      <c r="B24" s="244" t="s">
        <v>594</v>
      </c>
      <c r="D24" s="238" t="s">
        <v>595</v>
      </c>
      <c r="E24" s="239"/>
      <c r="U24" s="242"/>
    </row>
    <row r="25" spans="2:21" ht="13.8" thickBot="1">
      <c r="B25" s="245"/>
      <c r="C25" s="246"/>
      <c r="D25" s="247"/>
      <c r="E25" s="247"/>
      <c r="F25" s="247"/>
      <c r="G25" s="247"/>
      <c r="H25" s="247"/>
      <c r="I25" s="247"/>
      <c r="J25" s="247"/>
      <c r="K25" s="247"/>
      <c r="L25" s="247"/>
      <c r="M25" s="247"/>
      <c r="N25" s="247"/>
      <c r="O25" s="247"/>
      <c r="P25" s="247"/>
      <c r="Q25" s="247"/>
      <c r="R25" s="247"/>
      <c r="S25" s="247"/>
      <c r="T25" s="247"/>
      <c r="U25" s="248"/>
    </row>
  </sheetData>
  <conditionalFormatting sqref="D3:T22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2"/>
  <sheetData/>
  <phoneticPr fontId="7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2"/>
  <sheetData/>
  <phoneticPr fontId="7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2"/>
  <sheetData/>
  <phoneticPr fontId="7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dimension ref="B1:AG331"/>
  <sheetViews>
    <sheetView zoomScale="85" workbookViewId="0">
      <pane xSplit="8" ySplit="3" topLeftCell="I57" activePane="bottomRight" state="frozen"/>
      <selection pane="topRight" activeCell="I1" sqref="I1"/>
      <selection pane="bottomLeft" activeCell="A4" sqref="A4"/>
      <selection pane="bottomRight" activeCell="O108" sqref="O108"/>
    </sheetView>
  </sheetViews>
  <sheetFormatPr defaultColWidth="9.109375" defaultRowHeight="13.2"/>
  <cols>
    <col min="1" max="1" width="3.5546875" style="102" customWidth="1"/>
    <col min="2" max="2" width="4.33203125" style="103" customWidth="1"/>
    <col min="3" max="3" width="3" style="103" bestFit="1" customWidth="1"/>
    <col min="4" max="4" width="2.33203125" style="103" bestFit="1" customWidth="1"/>
    <col min="5" max="5" width="9.5546875" style="102" bestFit="1" customWidth="1"/>
    <col min="6" max="6" width="11.88671875" style="144" customWidth="1"/>
    <col min="7" max="7" width="9.6640625" style="145" bestFit="1" customWidth="1"/>
    <col min="8" max="8" width="10.88671875" style="146" bestFit="1" customWidth="1"/>
    <col min="9" max="9" width="8.5546875" style="145" bestFit="1" customWidth="1"/>
    <col min="10" max="10" width="6.5546875" style="147" customWidth="1"/>
    <col min="11" max="12" width="8" style="147" customWidth="1"/>
    <col min="13" max="13" width="6.88671875" style="149" customWidth="1"/>
    <col min="14" max="14" width="8.5546875" style="145" bestFit="1" customWidth="1"/>
    <col min="15" max="15" width="6.5546875" style="147" customWidth="1"/>
    <col min="16" max="17" width="8" style="147" customWidth="1"/>
    <col min="18" max="18" width="6.88671875" style="149" customWidth="1"/>
    <col min="19" max="19" width="8.5546875" style="145" bestFit="1" customWidth="1"/>
    <col min="20" max="20" width="6.5546875" style="147" customWidth="1"/>
    <col min="21" max="22" width="8" style="147" customWidth="1"/>
    <col min="23" max="23" width="6.88671875" style="149" customWidth="1"/>
    <col min="24" max="24" width="8.5546875" style="145" bestFit="1" customWidth="1"/>
    <col min="25" max="25" width="6.5546875" style="147" customWidth="1"/>
    <col min="26" max="27" width="8" style="147" customWidth="1"/>
    <col min="28" max="28" width="6.88671875" style="149" customWidth="1"/>
    <col min="29" max="29" width="8.5546875" style="145" bestFit="1" customWidth="1"/>
    <col min="30" max="30" width="6.5546875" style="147" customWidth="1"/>
    <col min="31" max="32" width="8" style="147" customWidth="1"/>
    <col min="33" max="33" width="6.88671875" style="149" customWidth="1"/>
    <col min="34" max="16384" width="9.109375" style="102"/>
  </cols>
  <sheetData>
    <row r="1" spans="2:33" s="137" customFormat="1">
      <c r="G1" s="159"/>
      <c r="H1" s="160"/>
      <c r="I1" s="139"/>
      <c r="J1" s="158"/>
      <c r="K1" s="153"/>
      <c r="L1" s="153"/>
      <c r="M1" s="154"/>
      <c r="N1" s="139"/>
      <c r="O1" s="158"/>
      <c r="P1" s="153"/>
      <c r="Q1" s="153"/>
      <c r="R1" s="154"/>
      <c r="S1" s="139"/>
      <c r="T1" s="158"/>
      <c r="U1" s="153"/>
      <c r="V1" s="153"/>
      <c r="W1" s="154"/>
      <c r="X1" s="139"/>
      <c r="Y1" s="158"/>
      <c r="Z1" s="153"/>
      <c r="AA1" s="153"/>
      <c r="AB1" s="154"/>
      <c r="AC1" s="139"/>
      <c r="AD1" s="158"/>
      <c r="AE1" s="153"/>
      <c r="AF1" s="153"/>
      <c r="AG1" s="154"/>
    </row>
    <row r="2" spans="2:33" s="76" customFormat="1">
      <c r="B2" s="76" t="s">
        <v>441</v>
      </c>
      <c r="E2" s="76" t="s">
        <v>442</v>
      </c>
      <c r="F2" s="138" t="s">
        <v>450</v>
      </c>
      <c r="G2" s="139" t="s">
        <v>443</v>
      </c>
      <c r="H2" s="161"/>
      <c r="I2" s="139" t="s">
        <v>452</v>
      </c>
      <c r="J2" s="155"/>
      <c r="K2" s="155"/>
      <c r="L2" s="155"/>
      <c r="M2" s="156"/>
      <c r="N2" s="139" t="s">
        <v>459</v>
      </c>
      <c r="O2" s="155"/>
      <c r="P2" s="155"/>
      <c r="Q2" s="155"/>
      <c r="R2" s="156"/>
      <c r="S2" s="139"/>
      <c r="T2" s="155"/>
      <c r="U2" s="155"/>
      <c r="V2" s="155"/>
      <c r="W2" s="156"/>
      <c r="X2" s="139"/>
      <c r="Y2" s="155"/>
      <c r="Z2" s="155"/>
      <c r="AA2" s="155"/>
      <c r="AB2" s="156"/>
      <c r="AC2" s="139"/>
      <c r="AD2" s="155"/>
      <c r="AE2" s="155"/>
      <c r="AF2" s="155"/>
      <c r="AG2" s="156"/>
    </row>
    <row r="3" spans="2:33" s="101" customFormat="1" ht="26.4">
      <c r="B3" s="118" t="s">
        <v>444</v>
      </c>
      <c r="C3" s="118" t="s">
        <v>445</v>
      </c>
      <c r="D3" s="118" t="s">
        <v>446</v>
      </c>
      <c r="F3" s="138"/>
      <c r="G3" s="140" t="s">
        <v>447</v>
      </c>
      <c r="H3" s="141" t="s">
        <v>448</v>
      </c>
      <c r="I3" s="140" t="s">
        <v>447</v>
      </c>
      <c r="J3" s="142"/>
      <c r="K3" s="162" t="s">
        <v>457</v>
      </c>
      <c r="L3" s="162" t="s">
        <v>458</v>
      </c>
      <c r="M3" s="143" t="s">
        <v>449</v>
      </c>
      <c r="N3" s="140" t="s">
        <v>447</v>
      </c>
      <c r="O3" s="142"/>
      <c r="P3" s="162" t="s">
        <v>457</v>
      </c>
      <c r="Q3" s="162" t="s">
        <v>458</v>
      </c>
      <c r="R3" s="143" t="s">
        <v>449</v>
      </c>
      <c r="S3" s="140"/>
      <c r="T3" s="142"/>
      <c r="U3" s="162"/>
      <c r="V3" s="162"/>
      <c r="W3" s="143"/>
      <c r="X3" s="140"/>
      <c r="Y3" s="142"/>
      <c r="Z3" s="162"/>
      <c r="AA3" s="162"/>
      <c r="AB3" s="143"/>
      <c r="AC3" s="140"/>
      <c r="AD3" s="142"/>
      <c r="AE3" s="162"/>
      <c r="AF3" s="162"/>
      <c r="AG3" s="143"/>
    </row>
    <row r="4" spans="2:33" s="101" customFormat="1">
      <c r="B4" s="118">
        <v>43</v>
      </c>
      <c r="C4" s="118">
        <v>1</v>
      </c>
      <c r="D4" s="118">
        <v>1</v>
      </c>
      <c r="E4" s="101" t="str">
        <f>CONCATENATE("s",B4,"w",C4,"d",D4)</f>
        <v>s43w1d1</v>
      </c>
      <c r="F4" s="151">
        <v>40399</v>
      </c>
      <c r="G4" s="140">
        <v>0</v>
      </c>
      <c r="H4" s="141">
        <v>4.5</v>
      </c>
      <c r="I4" s="140">
        <v>0</v>
      </c>
      <c r="J4" s="142"/>
      <c r="K4" s="142">
        <v>4.5</v>
      </c>
      <c r="L4" s="163">
        <f>IF(J4="pic",K4*1.33,IF(J4="mots",K4*0.5,K4))</f>
        <v>4.5</v>
      </c>
      <c r="M4" s="143"/>
      <c r="N4" s="140">
        <v>0</v>
      </c>
      <c r="O4" s="142"/>
      <c r="P4" s="142">
        <v>4.5</v>
      </c>
      <c r="Q4" s="163">
        <f t="shared" ref="Q4:Q34" si="0">IF(O4="pic",P4*1.33,IF(O4="mots",P4*0.5,P4))</f>
        <v>4.5</v>
      </c>
      <c r="R4" s="143"/>
      <c r="S4" s="140"/>
      <c r="T4" s="142"/>
      <c r="U4" s="142"/>
      <c r="V4" s="163"/>
      <c r="W4" s="143"/>
      <c r="X4" s="140"/>
      <c r="Y4" s="142"/>
      <c r="Z4" s="142"/>
      <c r="AA4" s="163"/>
      <c r="AB4" s="143"/>
      <c r="AC4" s="140"/>
      <c r="AD4" s="142"/>
      <c r="AE4" s="142"/>
      <c r="AF4" s="163"/>
      <c r="AG4" s="143"/>
    </row>
    <row r="5" spans="2:33">
      <c r="B5" s="103">
        <f>IF(AND(C4=16,D4=7),B4+1,B4)</f>
        <v>43</v>
      </c>
      <c r="C5" s="103">
        <f>IF(B5&gt;B4,1,IF(D4=7,C4+1,C4))</f>
        <v>1</v>
      </c>
      <c r="D5" s="103">
        <f>IF(D4=7,1,D4+1)</f>
        <v>2</v>
      </c>
      <c r="E5" s="102" t="str">
        <f>CONCATENATE("s",B5,"w",C5,"d",D5)</f>
        <v>s43w1d2</v>
      </c>
      <c r="F5" s="151">
        <f>F4+1</f>
        <v>40400</v>
      </c>
      <c r="G5" s="145">
        <f>G4+1</f>
        <v>1</v>
      </c>
      <c r="H5" s="146">
        <f>IF(H4&gt;4.5,H4+VLOOKUP(CEILING(H4,1),Tables!$L$2:$M$14,2,FALSE),H4+VLOOKUP(FLOOR(H4,1),Tables!$L$2:$M$14,2,FALSE))</f>
        <v>4.5158730158730158</v>
      </c>
      <c r="I5" s="145">
        <f>I4+1</f>
        <v>1</v>
      </c>
      <c r="K5" s="148">
        <f>IF(L4&lt;10,IF(L4&gt;4.5,L4+VLOOKUP(CEILING(L4,1),Tables!$L$2:$M$14,2,FALSE),L4+VLOOKUP(FLOOR(L4,1),Tables!$L$2:$M$14,2,FALSE)),10-(1/3))</f>
        <v>4.5158730158730158</v>
      </c>
      <c r="L5" s="163">
        <f t="shared" ref="L5:L34" si="1">IF(J5="pic",K5*1.33,IF(J5="mots",K5*0.5,K5))</f>
        <v>4.5158730158730158</v>
      </c>
      <c r="N5" s="145">
        <f>N4+1</f>
        <v>1</v>
      </c>
      <c r="P5" s="148">
        <f>IF(Q4&lt;10,IF(Q4&gt;4.5,Q4+VLOOKUP(CEILING(Q4,1),Tables!$L$2:$M$14,2,FALSE),Q4+VLOOKUP(FLOOR(Q4,1),Tables!$L$2:$M$14,2,FALSE)),10-(1/3))</f>
        <v>4.5158730158730158</v>
      </c>
      <c r="Q5" s="163">
        <f t="shared" si="0"/>
        <v>4.5158730158730158</v>
      </c>
      <c r="U5" s="148"/>
      <c r="V5" s="163"/>
      <c r="Z5" s="148"/>
      <c r="AA5" s="163"/>
      <c r="AE5" s="148"/>
      <c r="AF5" s="163"/>
    </row>
    <row r="6" spans="2:33">
      <c r="B6" s="103">
        <f>IF(AND(C5=16,D5=7),B5+1,B5)</f>
        <v>43</v>
      </c>
      <c r="C6" s="103">
        <f>IF(B6&gt;B5,1,IF(D5=7,C5+1,C5))</f>
        <v>1</v>
      </c>
      <c r="D6" s="103">
        <f>IF(D5=7,1,D5+1)</f>
        <v>3</v>
      </c>
      <c r="E6" s="102" t="str">
        <f>CONCATENATE("s",B6,"w",C6,"d",D6)</f>
        <v>s43w1d3</v>
      </c>
      <c r="F6" s="151">
        <f>F5+1</f>
        <v>40401</v>
      </c>
      <c r="G6" s="145">
        <f>G5+1</f>
        <v>2</v>
      </c>
      <c r="H6" s="146">
        <f>IF(H5&gt;4.5,H5+VLOOKUP(CEILING(H5,1),Tables!$L$2:$M$14,2,FALSE),H5+VLOOKUP(FLOOR(H5,1),Tables!$L$2:$M$14,2,FALSE))</f>
        <v>4.5</v>
      </c>
      <c r="I6" s="145">
        <f>I5+1</f>
        <v>2</v>
      </c>
      <c r="K6" s="148">
        <f>IF(L5&lt;10,IF(L5&gt;4.5,L5+VLOOKUP(CEILING(L5,1),Tables!$L$2:$M$14,2,FALSE),L5+VLOOKUP(FLOOR(L5,1),Tables!$L$2:$M$14,2,FALSE)),10-(1/3))</f>
        <v>4.5</v>
      </c>
      <c r="L6" s="163">
        <f t="shared" si="1"/>
        <v>4.5</v>
      </c>
      <c r="N6" s="145">
        <f t="shared" ref="N6:N34" si="2">N5+1</f>
        <v>2</v>
      </c>
      <c r="P6" s="148">
        <f>IF(Q5&lt;10,IF(Q5&gt;4.5,Q5+VLOOKUP(CEILING(Q5,1),Tables!$L$2:$M$14,2,FALSE),Q5+VLOOKUP(FLOOR(Q5,1),Tables!$L$2:$M$14,2,FALSE)),10-(1/3))</f>
        <v>4.5</v>
      </c>
      <c r="Q6" s="163">
        <f t="shared" si="0"/>
        <v>4.5</v>
      </c>
      <c r="U6" s="148"/>
      <c r="V6" s="163"/>
      <c r="Z6" s="148"/>
      <c r="AA6" s="163"/>
      <c r="AE6" s="148"/>
      <c r="AF6" s="163"/>
    </row>
    <row r="7" spans="2:33">
      <c r="B7" s="103">
        <f t="shared" ref="B7:B34" si="3">IF(AND(C6=16,D6=7),B6+1,B6)</f>
        <v>43</v>
      </c>
      <c r="C7" s="103">
        <f t="shared" ref="C7:C34" si="4">IF(B7&gt;B6,1,IF(D6=7,C6+1,C6))</f>
        <v>1</v>
      </c>
      <c r="D7" s="103">
        <f t="shared" ref="D7:D34" si="5">IF(D6=7,1,D6+1)</f>
        <v>4</v>
      </c>
      <c r="E7" s="102" t="str">
        <f t="shared" ref="E7:E34" si="6">CONCATENATE("s",B7,"w",C7,"d",D7)</f>
        <v>s43w1d4</v>
      </c>
      <c r="F7" s="151">
        <f t="shared" ref="F7:F34" si="7">F6+1</f>
        <v>40402</v>
      </c>
      <c r="G7" s="145">
        <f t="shared" ref="G7:G34" si="8">G6+1</f>
        <v>3</v>
      </c>
      <c r="H7" s="146">
        <f>IF(H6&gt;4.5,H6+VLOOKUP(CEILING(H6,1),Tables!$L$2:$M$14,2,FALSE),H6+VLOOKUP(FLOOR(H6,1),Tables!$L$2:$M$14,2,FALSE))</f>
        <v>4.5158730158730158</v>
      </c>
      <c r="I7" s="145">
        <f t="shared" ref="I7:I34" si="9">I6+1</f>
        <v>3</v>
      </c>
      <c r="K7" s="148">
        <f>IF(L6&lt;10,IF(L6&gt;4.5,L6+VLOOKUP(CEILING(L6,1),Tables!$L$2:$M$14,2,FALSE),L6+VLOOKUP(FLOOR(L6,1),Tables!$L$2:$M$14,2,FALSE)),10-(1/3))</f>
        <v>4.5158730158730158</v>
      </c>
      <c r="L7" s="163">
        <f t="shared" si="1"/>
        <v>4.5158730158730158</v>
      </c>
      <c r="N7" s="145">
        <f t="shared" si="2"/>
        <v>3</v>
      </c>
      <c r="P7" s="148">
        <f>IF(Q6&lt;10,IF(Q6&gt;4.5,Q6+VLOOKUP(CEILING(Q6,1),Tables!$L$2:$M$14,2,FALSE),Q6+VLOOKUP(FLOOR(Q6,1),Tables!$L$2:$M$14,2,FALSE)),10-(1/3))</f>
        <v>4.5158730158730158</v>
      </c>
      <c r="Q7" s="163">
        <f t="shared" si="0"/>
        <v>4.5158730158730158</v>
      </c>
      <c r="U7" s="148"/>
      <c r="V7" s="163"/>
      <c r="Z7" s="148"/>
      <c r="AA7" s="163"/>
      <c r="AE7" s="148"/>
      <c r="AF7" s="163"/>
    </row>
    <row r="8" spans="2:33">
      <c r="B8" s="103">
        <f t="shared" si="3"/>
        <v>43</v>
      </c>
      <c r="C8" s="103">
        <f t="shared" si="4"/>
        <v>1</v>
      </c>
      <c r="D8" s="103">
        <f t="shared" si="5"/>
        <v>5</v>
      </c>
      <c r="E8" s="102" t="str">
        <f t="shared" si="6"/>
        <v>s43w1d5</v>
      </c>
      <c r="F8" s="151">
        <f t="shared" si="7"/>
        <v>40403</v>
      </c>
      <c r="G8" s="145">
        <f t="shared" si="8"/>
        <v>4</v>
      </c>
      <c r="H8" s="146">
        <f>IF(H7&gt;4.5,H7+VLOOKUP(CEILING(H7,1),Tables!$L$2:$M$14,2,FALSE),H7+VLOOKUP(FLOOR(H7,1),Tables!$L$2:$M$14,2,FALSE))</f>
        <v>4.5</v>
      </c>
      <c r="I8" s="145">
        <f t="shared" si="9"/>
        <v>4</v>
      </c>
      <c r="K8" s="148">
        <f>IF(L7&lt;10,IF(L7&gt;4.5,L7+VLOOKUP(CEILING(L7,1),Tables!$L$2:$M$14,2,FALSE),L7+VLOOKUP(FLOOR(L7,1),Tables!$L$2:$M$14,2,FALSE)),10-(1/3))</f>
        <v>4.5</v>
      </c>
      <c r="L8" s="163">
        <f t="shared" si="1"/>
        <v>4.5</v>
      </c>
      <c r="N8" s="145">
        <f t="shared" si="2"/>
        <v>4</v>
      </c>
      <c r="P8" s="148">
        <f>IF(Q7&lt;10,IF(Q7&gt;4.5,Q7+VLOOKUP(CEILING(Q7,1),Tables!$L$2:$M$14,2,FALSE),Q7+VLOOKUP(FLOOR(Q7,1),Tables!$L$2:$M$14,2,FALSE)),10-(1/3))</f>
        <v>4.5</v>
      </c>
      <c r="Q8" s="163">
        <f t="shared" si="0"/>
        <v>4.5</v>
      </c>
      <c r="U8" s="148"/>
      <c r="V8" s="163"/>
      <c r="Z8" s="148"/>
      <c r="AA8" s="163"/>
      <c r="AE8" s="148"/>
      <c r="AF8" s="163"/>
    </row>
    <row r="9" spans="2:33">
      <c r="B9" s="103">
        <f t="shared" si="3"/>
        <v>43</v>
      </c>
      <c r="C9" s="103">
        <f t="shared" si="4"/>
        <v>1</v>
      </c>
      <c r="D9" s="103">
        <f t="shared" si="5"/>
        <v>6</v>
      </c>
      <c r="E9" s="102" t="str">
        <f t="shared" si="6"/>
        <v>s43w1d6</v>
      </c>
      <c r="F9" s="151">
        <f t="shared" si="7"/>
        <v>40404</v>
      </c>
      <c r="G9" s="145">
        <f t="shared" si="8"/>
        <v>5</v>
      </c>
      <c r="H9" s="146">
        <f>IF(H8&gt;4.5,H8+VLOOKUP(CEILING(H8,1),Tables!$L$2:$M$14,2,FALSE),H8+VLOOKUP(FLOOR(H8,1),Tables!$L$2:$M$14,2,FALSE))</f>
        <v>4.5158730158730158</v>
      </c>
      <c r="I9" s="145">
        <f t="shared" si="9"/>
        <v>5</v>
      </c>
      <c r="K9" s="148">
        <f>IF(L8&lt;10,IF(L8&gt;4.5,L8+VLOOKUP(CEILING(L8,1),Tables!$L$2:$M$14,2,FALSE),L8+VLOOKUP(FLOOR(L8,1),Tables!$L$2:$M$14,2,FALSE)),10-(1/3))</f>
        <v>4.5158730158730158</v>
      </c>
      <c r="L9" s="163">
        <f t="shared" si="1"/>
        <v>4.5158730158730158</v>
      </c>
      <c r="N9" s="145">
        <f t="shared" si="2"/>
        <v>5</v>
      </c>
      <c r="P9" s="148">
        <f>IF(Q8&lt;10,IF(Q8&gt;4.5,Q8+VLOOKUP(CEILING(Q8,1),Tables!$L$2:$M$14,2,FALSE),Q8+VLOOKUP(FLOOR(Q8,1),Tables!$L$2:$M$14,2,FALSE)),10-(1/3))</f>
        <v>4.5158730158730158</v>
      </c>
      <c r="Q9" s="163">
        <f t="shared" si="0"/>
        <v>4.5158730158730158</v>
      </c>
      <c r="U9" s="148"/>
      <c r="V9" s="163"/>
      <c r="Z9" s="148"/>
      <c r="AA9" s="163"/>
      <c r="AE9" s="148"/>
      <c r="AF9" s="163"/>
    </row>
    <row r="10" spans="2:33">
      <c r="B10" s="103">
        <f t="shared" si="3"/>
        <v>43</v>
      </c>
      <c r="C10" s="103">
        <f t="shared" si="4"/>
        <v>1</v>
      </c>
      <c r="D10" s="103">
        <f t="shared" si="5"/>
        <v>7</v>
      </c>
      <c r="E10" s="102" t="str">
        <f t="shared" si="6"/>
        <v>s43w1d7</v>
      </c>
      <c r="F10" s="151">
        <f t="shared" si="7"/>
        <v>40405</v>
      </c>
      <c r="G10" s="145">
        <f t="shared" si="8"/>
        <v>6</v>
      </c>
      <c r="H10" s="146">
        <f>IF(H9&gt;4.5,H9+VLOOKUP(CEILING(H9,1),Tables!$L$2:$M$14,2,FALSE),H9+VLOOKUP(FLOOR(H9,1),Tables!$L$2:$M$14,2,FALSE))</f>
        <v>4.5</v>
      </c>
      <c r="I10" s="145">
        <f t="shared" si="9"/>
        <v>6</v>
      </c>
      <c r="K10" s="148">
        <f>IF(L9&lt;10,IF(L9&gt;4.5,L9+VLOOKUP(CEILING(L9,1),Tables!$L$2:$M$14,2,FALSE),L9+VLOOKUP(FLOOR(L9,1),Tables!$L$2:$M$14,2,FALSE)),10-(1/3))</f>
        <v>4.5</v>
      </c>
      <c r="L10" s="163">
        <f t="shared" si="1"/>
        <v>4.5</v>
      </c>
      <c r="N10" s="145">
        <f t="shared" si="2"/>
        <v>6</v>
      </c>
      <c r="P10" s="148">
        <f>IF(Q9&lt;10,IF(Q9&gt;4.5,Q9+VLOOKUP(CEILING(Q9,1),Tables!$L$2:$M$14,2,FALSE),Q9+VLOOKUP(FLOOR(Q9,1),Tables!$L$2:$M$14,2,FALSE)),10-(1/3))</f>
        <v>4.5</v>
      </c>
      <c r="Q10" s="163">
        <f t="shared" si="0"/>
        <v>4.5</v>
      </c>
      <c r="U10" s="148"/>
      <c r="V10" s="163"/>
      <c r="Z10" s="148"/>
      <c r="AA10" s="163"/>
      <c r="AE10" s="148"/>
      <c r="AF10" s="163"/>
    </row>
    <row r="11" spans="2:33">
      <c r="B11" s="103">
        <f t="shared" si="3"/>
        <v>43</v>
      </c>
      <c r="C11" s="103">
        <f t="shared" si="4"/>
        <v>2</v>
      </c>
      <c r="D11" s="103">
        <f t="shared" si="5"/>
        <v>1</v>
      </c>
      <c r="E11" s="102" t="str">
        <f t="shared" si="6"/>
        <v>s43w2d1</v>
      </c>
      <c r="F11" s="151">
        <f t="shared" si="7"/>
        <v>40406</v>
      </c>
      <c r="G11" s="145">
        <f t="shared" si="8"/>
        <v>7</v>
      </c>
      <c r="H11" s="146">
        <f>IF(H10&gt;4.5,H10+VLOOKUP(CEILING(H10,1),Tables!$L$2:$M$14,2,FALSE),H10+VLOOKUP(FLOOR(H10,1),Tables!$L$2:$M$14,2,FALSE))</f>
        <v>4.5158730158730158</v>
      </c>
      <c r="I11" s="145">
        <f t="shared" si="9"/>
        <v>7</v>
      </c>
      <c r="K11" s="148">
        <f>IF(L10&lt;10,IF(L10&gt;4.5,L10+VLOOKUP(CEILING(L10,1),Tables!$L$2:$M$14,2,FALSE),L10+VLOOKUP(FLOOR(L10,1),Tables!$L$2:$M$14,2,FALSE)),10-(1/3))</f>
        <v>4.5158730158730158</v>
      </c>
      <c r="L11" s="163">
        <f t="shared" si="1"/>
        <v>4.5158730158730158</v>
      </c>
      <c r="N11" s="145">
        <f t="shared" si="2"/>
        <v>7</v>
      </c>
      <c r="P11" s="148">
        <f>IF(Q10&lt;10,IF(Q10&gt;4.5,Q10+VLOOKUP(CEILING(Q10,1),Tables!$L$2:$M$14,2,FALSE),Q10+VLOOKUP(FLOOR(Q10,1),Tables!$L$2:$M$14,2,FALSE)),10-(1/3))</f>
        <v>4.5158730158730158</v>
      </c>
      <c r="Q11" s="163">
        <f t="shared" si="0"/>
        <v>4.5158730158730158</v>
      </c>
      <c r="U11" s="148"/>
      <c r="V11" s="163"/>
      <c r="Z11" s="148"/>
      <c r="AA11" s="163"/>
      <c r="AE11" s="148"/>
      <c r="AF11" s="163"/>
    </row>
    <row r="12" spans="2:33">
      <c r="B12" s="103">
        <f t="shared" si="3"/>
        <v>43</v>
      </c>
      <c r="C12" s="103">
        <f t="shared" si="4"/>
        <v>2</v>
      </c>
      <c r="D12" s="103">
        <f t="shared" si="5"/>
        <v>2</v>
      </c>
      <c r="E12" s="102" t="str">
        <f t="shared" si="6"/>
        <v>s43w2d2</v>
      </c>
      <c r="F12" s="151">
        <f t="shared" si="7"/>
        <v>40407</v>
      </c>
      <c r="G12" s="145">
        <f t="shared" si="8"/>
        <v>8</v>
      </c>
      <c r="H12" s="146">
        <f>IF(H11&gt;4.5,H11+VLOOKUP(CEILING(H11,1),Tables!$L$2:$M$14,2,FALSE),H11+VLOOKUP(FLOOR(H11,1),Tables!$L$2:$M$14,2,FALSE))</f>
        <v>4.5</v>
      </c>
      <c r="I12" s="145">
        <f t="shared" si="9"/>
        <v>8</v>
      </c>
      <c r="K12" s="148">
        <f>IF(L11&lt;10,IF(L11&gt;4.5,L11+VLOOKUP(CEILING(L11,1),Tables!$L$2:$M$14,2,FALSE),L11+VLOOKUP(FLOOR(L11,1),Tables!$L$2:$M$14,2,FALSE)),10-(1/3))</f>
        <v>4.5</v>
      </c>
      <c r="L12" s="163">
        <f t="shared" si="1"/>
        <v>4.5</v>
      </c>
      <c r="N12" s="145">
        <f t="shared" si="2"/>
        <v>8</v>
      </c>
      <c r="P12" s="148">
        <f>IF(Q11&lt;10,IF(Q11&gt;4.5,Q11+VLOOKUP(CEILING(Q11,1),Tables!$L$2:$M$14,2,FALSE),Q11+VLOOKUP(FLOOR(Q11,1),Tables!$L$2:$M$14,2,FALSE)),10-(1/3))</f>
        <v>4.5</v>
      </c>
      <c r="Q12" s="163">
        <f t="shared" si="0"/>
        <v>4.5</v>
      </c>
      <c r="U12" s="148"/>
      <c r="V12" s="163"/>
      <c r="Z12" s="148"/>
      <c r="AA12" s="163"/>
      <c r="AE12" s="148"/>
      <c r="AF12" s="163"/>
    </row>
    <row r="13" spans="2:33">
      <c r="B13" s="103">
        <f t="shared" si="3"/>
        <v>43</v>
      </c>
      <c r="C13" s="103">
        <f t="shared" si="4"/>
        <v>2</v>
      </c>
      <c r="D13" s="103">
        <f t="shared" si="5"/>
        <v>3</v>
      </c>
      <c r="E13" s="102" t="str">
        <f t="shared" si="6"/>
        <v>s43w2d3</v>
      </c>
      <c r="F13" s="151">
        <f t="shared" si="7"/>
        <v>40408</v>
      </c>
      <c r="G13" s="145">
        <f t="shared" si="8"/>
        <v>9</v>
      </c>
      <c r="H13" s="146">
        <f>IF(H12&gt;4.5,H12+VLOOKUP(CEILING(H12,1),Tables!$L$2:$M$14,2,FALSE),H12+VLOOKUP(FLOOR(H12,1),Tables!$L$2:$M$14,2,FALSE))</f>
        <v>4.5158730158730158</v>
      </c>
      <c r="I13" s="145">
        <f t="shared" si="9"/>
        <v>9</v>
      </c>
      <c r="K13" s="148">
        <f>IF(L12&lt;10,IF(L12&gt;4.5,L12+VLOOKUP(CEILING(L12,1),Tables!$L$2:$M$14,2,FALSE),L12+VLOOKUP(FLOOR(L12,1),Tables!$L$2:$M$14,2,FALSE)),10-(1/3))</f>
        <v>4.5158730158730158</v>
      </c>
      <c r="L13" s="163">
        <f t="shared" si="1"/>
        <v>4.5158730158730158</v>
      </c>
      <c r="N13" s="145">
        <f t="shared" si="2"/>
        <v>9</v>
      </c>
      <c r="P13" s="148">
        <f>IF(Q12&lt;10,IF(Q12&gt;4.5,Q12+VLOOKUP(CEILING(Q12,1),Tables!$L$2:$M$14,2,FALSE),Q12+VLOOKUP(FLOOR(Q12,1),Tables!$L$2:$M$14,2,FALSE)),10-(1/3))</f>
        <v>4.5158730158730158</v>
      </c>
      <c r="Q13" s="163">
        <f t="shared" si="0"/>
        <v>4.5158730158730158</v>
      </c>
      <c r="U13" s="148"/>
      <c r="V13" s="163"/>
      <c r="Z13" s="148"/>
      <c r="AA13" s="163"/>
      <c r="AE13" s="148"/>
      <c r="AF13" s="163"/>
    </row>
    <row r="14" spans="2:33">
      <c r="B14" s="103">
        <f t="shared" si="3"/>
        <v>43</v>
      </c>
      <c r="C14" s="103">
        <f t="shared" si="4"/>
        <v>2</v>
      </c>
      <c r="D14" s="103">
        <f t="shared" si="5"/>
        <v>4</v>
      </c>
      <c r="E14" s="102" t="str">
        <f t="shared" si="6"/>
        <v>s43w2d4</v>
      </c>
      <c r="F14" s="151">
        <f t="shared" si="7"/>
        <v>40409</v>
      </c>
      <c r="G14" s="145">
        <f t="shared" si="8"/>
        <v>10</v>
      </c>
      <c r="H14" s="146">
        <f>IF(H13&gt;4.5,H13+VLOOKUP(CEILING(H13,1),Tables!$L$2:$M$14,2,FALSE),H13+VLOOKUP(FLOOR(H13,1),Tables!$L$2:$M$14,2,FALSE))</f>
        <v>4.5</v>
      </c>
      <c r="I14" s="145">
        <f t="shared" si="9"/>
        <v>10</v>
      </c>
      <c r="K14" s="148">
        <f>IF(L13&lt;10,IF(L13&gt;4.5,L13+VLOOKUP(CEILING(L13,1),Tables!$L$2:$M$14,2,FALSE),L13+VLOOKUP(FLOOR(L13,1),Tables!$L$2:$M$14,2,FALSE)),10-(1/3))</f>
        <v>4.5</v>
      </c>
      <c r="L14" s="163">
        <f t="shared" si="1"/>
        <v>4.5</v>
      </c>
      <c r="N14" s="145">
        <f t="shared" si="2"/>
        <v>10</v>
      </c>
      <c r="P14" s="148">
        <f>IF(Q13&lt;10,IF(Q13&gt;4.5,Q13+VLOOKUP(CEILING(Q13,1),Tables!$L$2:$M$14,2,FALSE),Q13+VLOOKUP(FLOOR(Q13,1),Tables!$L$2:$M$14,2,FALSE)),10-(1/3))</f>
        <v>4.5</v>
      </c>
      <c r="Q14" s="163">
        <f t="shared" si="0"/>
        <v>4.5</v>
      </c>
      <c r="U14" s="148"/>
      <c r="V14" s="163"/>
      <c r="Z14" s="148"/>
      <c r="AA14" s="163"/>
      <c r="AE14" s="148"/>
      <c r="AF14" s="163"/>
    </row>
    <row r="15" spans="2:33">
      <c r="B15" s="103">
        <f t="shared" si="3"/>
        <v>43</v>
      </c>
      <c r="C15" s="103">
        <f t="shared" si="4"/>
        <v>2</v>
      </c>
      <c r="D15" s="103">
        <f t="shared" si="5"/>
        <v>5</v>
      </c>
      <c r="E15" s="102" t="str">
        <f t="shared" si="6"/>
        <v>s43w2d5</v>
      </c>
      <c r="F15" s="151">
        <f t="shared" si="7"/>
        <v>40410</v>
      </c>
      <c r="G15" s="145">
        <f t="shared" si="8"/>
        <v>11</v>
      </c>
      <c r="H15" s="146">
        <f>IF(H14&gt;4.5,H14+VLOOKUP(CEILING(H14,1),Tables!$L$2:$M$14,2,FALSE),H14+VLOOKUP(FLOOR(H14,1),Tables!$L$2:$M$14,2,FALSE))</f>
        <v>4.5158730158730158</v>
      </c>
      <c r="I15" s="145">
        <f t="shared" si="9"/>
        <v>11</v>
      </c>
      <c r="K15" s="148">
        <f>IF(L14&lt;10,IF(L14&gt;4.5,L14+VLOOKUP(CEILING(L14,1),Tables!$L$2:$M$14,2,FALSE),L14+VLOOKUP(FLOOR(L14,1),Tables!$L$2:$M$14,2,FALSE)),10-(1/3))</f>
        <v>4.5158730158730158</v>
      </c>
      <c r="L15" s="163">
        <f t="shared" si="1"/>
        <v>4.5158730158730158</v>
      </c>
      <c r="N15" s="145">
        <f t="shared" si="2"/>
        <v>11</v>
      </c>
      <c r="P15" s="148">
        <f>IF(Q14&lt;10,IF(Q14&gt;4.5,Q14+VLOOKUP(CEILING(Q14,1),Tables!$L$2:$M$14,2,FALSE),Q14+VLOOKUP(FLOOR(Q14,1),Tables!$L$2:$M$14,2,FALSE)),10-(1/3))</f>
        <v>4.5158730158730158</v>
      </c>
      <c r="Q15" s="163">
        <f t="shared" si="0"/>
        <v>4.5158730158730158</v>
      </c>
      <c r="U15" s="148"/>
      <c r="V15" s="163"/>
      <c r="Z15" s="148"/>
      <c r="AA15" s="163"/>
      <c r="AE15" s="148"/>
      <c r="AF15" s="163"/>
    </row>
    <row r="16" spans="2:33">
      <c r="B16" s="103">
        <f t="shared" si="3"/>
        <v>43</v>
      </c>
      <c r="C16" s="103">
        <f t="shared" si="4"/>
        <v>2</v>
      </c>
      <c r="D16" s="103">
        <f t="shared" si="5"/>
        <v>6</v>
      </c>
      <c r="E16" s="102" t="str">
        <f t="shared" si="6"/>
        <v>s43w2d6</v>
      </c>
      <c r="F16" s="151">
        <f t="shared" si="7"/>
        <v>40411</v>
      </c>
      <c r="G16" s="145">
        <f t="shared" si="8"/>
        <v>12</v>
      </c>
      <c r="H16" s="146">
        <f>IF(H15&gt;4.5,H15+VLOOKUP(CEILING(H15,1),Tables!$L$2:$M$14,2,FALSE),H15+VLOOKUP(FLOOR(H15,1),Tables!$L$2:$M$14,2,FALSE))</f>
        <v>4.5</v>
      </c>
      <c r="I16" s="145">
        <f t="shared" si="9"/>
        <v>12</v>
      </c>
      <c r="K16" s="148">
        <f>IF(L15&lt;10,IF(L15&gt;4.5,L15+VLOOKUP(CEILING(L15,1),Tables!$L$2:$M$14,2,FALSE),L15+VLOOKUP(FLOOR(L15,1),Tables!$L$2:$M$14,2,FALSE)),10-(1/3))</f>
        <v>4.5</v>
      </c>
      <c r="L16" s="163">
        <f t="shared" si="1"/>
        <v>4.5</v>
      </c>
      <c r="N16" s="145">
        <f t="shared" si="2"/>
        <v>12</v>
      </c>
      <c r="P16" s="148">
        <f>IF(Q15&lt;10,IF(Q15&gt;4.5,Q15+VLOOKUP(CEILING(Q15,1),Tables!$L$2:$M$14,2,FALSE),Q15+VLOOKUP(FLOOR(Q15,1),Tables!$L$2:$M$14,2,FALSE)),10-(1/3))</f>
        <v>4.5</v>
      </c>
      <c r="Q16" s="163">
        <f t="shared" si="0"/>
        <v>4.5</v>
      </c>
      <c r="U16" s="148"/>
      <c r="V16" s="163"/>
      <c r="Z16" s="148"/>
      <c r="AA16" s="163"/>
      <c r="AE16" s="148"/>
      <c r="AF16" s="163"/>
    </row>
    <row r="17" spans="2:32">
      <c r="B17" s="103">
        <f t="shared" si="3"/>
        <v>43</v>
      </c>
      <c r="C17" s="103">
        <f t="shared" si="4"/>
        <v>2</v>
      </c>
      <c r="D17" s="103">
        <f t="shared" si="5"/>
        <v>7</v>
      </c>
      <c r="E17" s="102" t="str">
        <f t="shared" si="6"/>
        <v>s43w2d7</v>
      </c>
      <c r="F17" s="151">
        <f t="shared" si="7"/>
        <v>40412</v>
      </c>
      <c r="G17" s="145">
        <f t="shared" si="8"/>
        <v>13</v>
      </c>
      <c r="H17" s="146">
        <f>IF(H16&gt;4.5,H16+VLOOKUP(CEILING(H16,1),Tables!$L$2:$M$14,2,FALSE),H16+VLOOKUP(FLOOR(H16,1),Tables!$L$2:$M$14,2,FALSE))</f>
        <v>4.5158730158730158</v>
      </c>
      <c r="I17" s="145">
        <f t="shared" si="9"/>
        <v>13</v>
      </c>
      <c r="K17" s="148">
        <f>IF(L16&lt;10,IF(L16&gt;4.5,L16+VLOOKUP(CEILING(L16,1),Tables!$L$2:$M$14,2,FALSE),L16+VLOOKUP(FLOOR(L16,1),Tables!$L$2:$M$14,2,FALSE)),10-(1/3))</f>
        <v>4.5158730158730158</v>
      </c>
      <c r="L17" s="163">
        <f t="shared" si="1"/>
        <v>4.5158730158730158</v>
      </c>
      <c r="N17" s="145">
        <f t="shared" si="2"/>
        <v>13</v>
      </c>
      <c r="P17" s="148">
        <f>IF(Q16&lt;10,IF(Q16&gt;4.5,Q16+VLOOKUP(CEILING(Q16,1),Tables!$L$2:$M$14,2,FALSE),Q16+VLOOKUP(FLOOR(Q16,1),Tables!$L$2:$M$14,2,FALSE)),10-(1/3))</f>
        <v>4.5158730158730158</v>
      </c>
      <c r="Q17" s="163">
        <f t="shared" si="0"/>
        <v>4.5158730158730158</v>
      </c>
      <c r="U17" s="148"/>
      <c r="V17" s="163"/>
      <c r="Z17" s="148"/>
      <c r="AA17" s="163"/>
      <c r="AE17" s="148"/>
      <c r="AF17" s="163"/>
    </row>
    <row r="18" spans="2:32">
      <c r="B18" s="103">
        <f t="shared" si="3"/>
        <v>43</v>
      </c>
      <c r="C18" s="103">
        <f t="shared" si="4"/>
        <v>3</v>
      </c>
      <c r="D18" s="103">
        <f t="shared" si="5"/>
        <v>1</v>
      </c>
      <c r="E18" s="102" t="str">
        <f t="shared" si="6"/>
        <v>s43w3d1</v>
      </c>
      <c r="F18" s="151">
        <f t="shared" si="7"/>
        <v>40413</v>
      </c>
      <c r="G18" s="145">
        <f t="shared" si="8"/>
        <v>14</v>
      </c>
      <c r="H18" s="146">
        <f>IF(H17&gt;4.5,H17+VLOOKUP(CEILING(H17,1),Tables!$L$2:$M$14,2,FALSE),H17+VLOOKUP(FLOOR(H17,1),Tables!$L$2:$M$14,2,FALSE))</f>
        <v>4.5</v>
      </c>
      <c r="I18" s="145">
        <f t="shared" si="9"/>
        <v>14</v>
      </c>
      <c r="K18" s="148">
        <f>IF(L17&lt;10,IF(L17&gt;4.5,L17+VLOOKUP(CEILING(L17,1),Tables!$L$2:$M$14,2,FALSE),L17+VLOOKUP(FLOOR(L17,1),Tables!$L$2:$M$14,2,FALSE)),10-(1/3))</f>
        <v>4.5</v>
      </c>
      <c r="L18" s="163">
        <f t="shared" si="1"/>
        <v>4.5</v>
      </c>
      <c r="N18" s="145">
        <f t="shared" si="2"/>
        <v>14</v>
      </c>
      <c r="P18" s="148">
        <f>IF(Q17&lt;10,IF(Q17&gt;4.5,Q17+VLOOKUP(CEILING(Q17,1),Tables!$L$2:$M$14,2,FALSE),Q17+VLOOKUP(FLOOR(Q17,1),Tables!$L$2:$M$14,2,FALSE)),10-(1/3))</f>
        <v>4.5</v>
      </c>
      <c r="Q18" s="163">
        <f t="shared" si="0"/>
        <v>4.5</v>
      </c>
      <c r="U18" s="148"/>
      <c r="V18" s="163"/>
      <c r="Z18" s="148"/>
      <c r="AA18" s="163"/>
      <c r="AE18" s="148"/>
      <c r="AF18" s="163"/>
    </row>
    <row r="19" spans="2:32">
      <c r="B19" s="103">
        <f t="shared" si="3"/>
        <v>43</v>
      </c>
      <c r="C19" s="103">
        <f t="shared" si="4"/>
        <v>3</v>
      </c>
      <c r="D19" s="103">
        <f t="shared" si="5"/>
        <v>2</v>
      </c>
      <c r="E19" s="102" t="str">
        <f t="shared" si="6"/>
        <v>s43w3d2</v>
      </c>
      <c r="F19" s="151">
        <f t="shared" si="7"/>
        <v>40414</v>
      </c>
      <c r="G19" s="145">
        <f t="shared" si="8"/>
        <v>15</v>
      </c>
      <c r="H19" s="146">
        <f>IF(H18&gt;4.5,H18+VLOOKUP(CEILING(H18,1),Tables!$L$2:$M$14,2,FALSE),H18+VLOOKUP(FLOOR(H18,1),Tables!$L$2:$M$14,2,FALSE))</f>
        <v>4.5158730158730158</v>
      </c>
      <c r="I19" s="145">
        <f t="shared" si="9"/>
        <v>15</v>
      </c>
      <c r="K19" s="148">
        <f>IF(L18&lt;10,IF(L18&gt;4.5,L18+VLOOKUP(CEILING(L18,1),Tables!$L$2:$M$14,2,FALSE),L18+VLOOKUP(FLOOR(L18,1),Tables!$L$2:$M$14,2,FALSE)),10-(1/3))</f>
        <v>4.5158730158730158</v>
      </c>
      <c r="L19" s="163">
        <f t="shared" si="1"/>
        <v>4.5158730158730158</v>
      </c>
      <c r="N19" s="145">
        <f t="shared" si="2"/>
        <v>15</v>
      </c>
      <c r="P19" s="148">
        <f>IF(Q18&lt;10,IF(Q18&gt;4.5,Q18+VLOOKUP(CEILING(Q18,1),Tables!$L$2:$M$14,2,FALSE),Q18+VLOOKUP(FLOOR(Q18,1),Tables!$L$2:$M$14,2,FALSE)),10-(1/3))</f>
        <v>4.5158730158730158</v>
      </c>
      <c r="Q19" s="163">
        <f t="shared" si="0"/>
        <v>4.5158730158730158</v>
      </c>
      <c r="U19" s="148"/>
      <c r="V19" s="163"/>
      <c r="Z19" s="148"/>
      <c r="AA19" s="163"/>
      <c r="AE19" s="148"/>
      <c r="AF19" s="163"/>
    </row>
    <row r="20" spans="2:32">
      <c r="B20" s="103">
        <f t="shared" si="3"/>
        <v>43</v>
      </c>
      <c r="C20" s="103">
        <f t="shared" si="4"/>
        <v>3</v>
      </c>
      <c r="D20" s="103">
        <f t="shared" si="5"/>
        <v>3</v>
      </c>
      <c r="E20" s="102" t="str">
        <f t="shared" si="6"/>
        <v>s43w3d3</v>
      </c>
      <c r="F20" s="151">
        <f t="shared" si="7"/>
        <v>40415</v>
      </c>
      <c r="G20" s="145">
        <f t="shared" si="8"/>
        <v>16</v>
      </c>
      <c r="H20" s="146">
        <f>IF(H19&gt;4.5,H19+VLOOKUP(CEILING(H19,1),Tables!$L$2:$M$14,2,FALSE),H19+VLOOKUP(FLOOR(H19,1),Tables!$L$2:$M$14,2,FALSE))</f>
        <v>4.5</v>
      </c>
      <c r="I20" s="145">
        <f t="shared" si="9"/>
        <v>16</v>
      </c>
      <c r="K20" s="148">
        <f>IF(L19&lt;10,IF(L19&gt;4.5,L19+VLOOKUP(CEILING(L19,1),Tables!$L$2:$M$14,2,FALSE),L19+VLOOKUP(FLOOR(L19,1),Tables!$L$2:$M$14,2,FALSE)),10-(1/3))</f>
        <v>4.5</v>
      </c>
      <c r="L20" s="163">
        <f t="shared" si="1"/>
        <v>4.5</v>
      </c>
      <c r="N20" s="145">
        <f t="shared" si="2"/>
        <v>16</v>
      </c>
      <c r="P20" s="148">
        <f>IF(Q19&lt;10,IF(Q19&gt;4.5,Q19+VLOOKUP(CEILING(Q19,1),Tables!$L$2:$M$14,2,FALSE),Q19+VLOOKUP(FLOOR(Q19,1),Tables!$L$2:$M$14,2,FALSE)),10-(1/3))</f>
        <v>4.5</v>
      </c>
      <c r="Q20" s="163">
        <f t="shared" si="0"/>
        <v>4.5</v>
      </c>
      <c r="U20" s="148"/>
      <c r="V20" s="163"/>
      <c r="Z20" s="148"/>
      <c r="AA20" s="163"/>
      <c r="AE20" s="148"/>
      <c r="AF20" s="163"/>
    </row>
    <row r="21" spans="2:32">
      <c r="B21" s="103">
        <f t="shared" si="3"/>
        <v>43</v>
      </c>
      <c r="C21" s="103">
        <f t="shared" si="4"/>
        <v>3</v>
      </c>
      <c r="D21" s="103">
        <f t="shared" si="5"/>
        <v>4</v>
      </c>
      <c r="E21" s="102" t="str">
        <f t="shared" si="6"/>
        <v>s43w3d4</v>
      </c>
      <c r="F21" s="151">
        <f t="shared" si="7"/>
        <v>40416</v>
      </c>
      <c r="G21" s="145">
        <f t="shared" si="8"/>
        <v>17</v>
      </c>
      <c r="H21" s="146">
        <f>IF(H20&gt;4.5,H20+VLOOKUP(CEILING(H20,1),Tables!$L$2:$M$14,2,FALSE),H20+VLOOKUP(FLOOR(H20,1),Tables!$L$2:$M$14,2,FALSE))</f>
        <v>4.5158730158730158</v>
      </c>
      <c r="I21" s="145">
        <f t="shared" si="9"/>
        <v>17</v>
      </c>
      <c r="K21" s="148">
        <f>IF(L20&lt;10,IF(L20&gt;4.5,L20+VLOOKUP(CEILING(L20,1),Tables!$L$2:$M$14,2,FALSE),L20+VLOOKUP(FLOOR(L20,1),Tables!$L$2:$M$14,2,FALSE)),10-(1/3))</f>
        <v>4.5158730158730158</v>
      </c>
      <c r="L21" s="163">
        <f t="shared" si="1"/>
        <v>4.5158730158730158</v>
      </c>
      <c r="N21" s="145">
        <f t="shared" si="2"/>
        <v>17</v>
      </c>
      <c r="P21" s="148">
        <f>IF(Q20&lt;10,IF(Q20&gt;4.5,Q20+VLOOKUP(CEILING(Q20,1),Tables!$L$2:$M$14,2,FALSE),Q20+VLOOKUP(FLOOR(Q20,1),Tables!$L$2:$M$14,2,FALSE)),10-(1/3))</f>
        <v>4.5158730158730158</v>
      </c>
      <c r="Q21" s="163">
        <f t="shared" si="0"/>
        <v>4.5158730158730158</v>
      </c>
      <c r="U21" s="148"/>
      <c r="V21" s="163"/>
      <c r="Z21" s="148"/>
      <c r="AA21" s="163"/>
      <c r="AE21" s="148"/>
      <c r="AF21" s="163"/>
    </row>
    <row r="22" spans="2:32">
      <c r="B22" s="103">
        <f t="shared" si="3"/>
        <v>43</v>
      </c>
      <c r="C22" s="103">
        <f t="shared" si="4"/>
        <v>3</v>
      </c>
      <c r="D22" s="103">
        <f t="shared" si="5"/>
        <v>5</v>
      </c>
      <c r="E22" s="102" t="str">
        <f t="shared" si="6"/>
        <v>s43w3d5</v>
      </c>
      <c r="F22" s="151">
        <f t="shared" si="7"/>
        <v>40417</v>
      </c>
      <c r="G22" s="145">
        <f t="shared" si="8"/>
        <v>18</v>
      </c>
      <c r="H22" s="146">
        <f>IF(H21&gt;4.5,H21+VLOOKUP(CEILING(H21,1),Tables!$L$2:$M$14,2,FALSE),H21+VLOOKUP(FLOOR(H21,1),Tables!$L$2:$M$14,2,FALSE))</f>
        <v>4.5</v>
      </c>
      <c r="I22" s="145">
        <f t="shared" si="9"/>
        <v>18</v>
      </c>
      <c r="K22" s="148">
        <f>IF(L21&lt;10,IF(L21&gt;4.5,L21+VLOOKUP(CEILING(L21,1),Tables!$L$2:$M$14,2,FALSE),L21+VLOOKUP(FLOOR(L21,1),Tables!$L$2:$M$14,2,FALSE)),10-(1/3))</f>
        <v>4.5</v>
      </c>
      <c r="L22" s="163">
        <f t="shared" si="1"/>
        <v>4.5</v>
      </c>
      <c r="N22" s="145">
        <f t="shared" si="2"/>
        <v>18</v>
      </c>
      <c r="P22" s="148">
        <f>IF(Q21&lt;10,IF(Q21&gt;4.5,Q21+VLOOKUP(CEILING(Q21,1),Tables!$L$2:$M$14,2,FALSE),Q21+VLOOKUP(FLOOR(Q21,1),Tables!$L$2:$M$14,2,FALSE)),10-(1/3))</f>
        <v>4.5</v>
      </c>
      <c r="Q22" s="163">
        <f t="shared" si="0"/>
        <v>4.5</v>
      </c>
      <c r="U22" s="148"/>
      <c r="V22" s="163"/>
      <c r="Z22" s="148"/>
      <c r="AA22" s="163"/>
      <c r="AE22" s="148"/>
      <c r="AF22" s="163"/>
    </row>
    <row r="23" spans="2:32">
      <c r="B23" s="103">
        <f t="shared" si="3"/>
        <v>43</v>
      </c>
      <c r="C23" s="103">
        <f t="shared" si="4"/>
        <v>3</v>
      </c>
      <c r="D23" s="103">
        <f t="shared" si="5"/>
        <v>6</v>
      </c>
      <c r="E23" s="102" t="str">
        <f t="shared" si="6"/>
        <v>s43w3d6</v>
      </c>
      <c r="F23" s="151">
        <f t="shared" si="7"/>
        <v>40418</v>
      </c>
      <c r="G23" s="145">
        <f t="shared" si="8"/>
        <v>19</v>
      </c>
      <c r="H23" s="146">
        <f>IF(H22&gt;4.5,H22+VLOOKUP(CEILING(H22,1),Tables!$L$2:$M$14,2,FALSE),H22+VLOOKUP(FLOOR(H22,1),Tables!$L$2:$M$14,2,FALSE))</f>
        <v>4.5158730158730158</v>
      </c>
      <c r="I23" s="145">
        <f t="shared" si="9"/>
        <v>19</v>
      </c>
      <c r="K23" s="148">
        <f>IF(L22&lt;10,IF(L22&gt;4.5,L22+VLOOKUP(CEILING(L22,1),Tables!$L$2:$M$14,2,FALSE),L22+VLOOKUP(FLOOR(L22,1),Tables!$L$2:$M$14,2,FALSE)),10-(1/3))</f>
        <v>4.5158730158730158</v>
      </c>
      <c r="L23" s="163">
        <f t="shared" si="1"/>
        <v>4.5158730158730158</v>
      </c>
      <c r="N23" s="145">
        <f t="shared" si="2"/>
        <v>19</v>
      </c>
      <c r="P23" s="148">
        <f>IF(Q22&lt;10,IF(Q22&gt;4.5,Q22+VLOOKUP(CEILING(Q22,1),Tables!$L$2:$M$14,2,FALSE),Q22+VLOOKUP(FLOOR(Q22,1),Tables!$L$2:$M$14,2,FALSE)),10-(1/3))</f>
        <v>4.5158730158730158</v>
      </c>
      <c r="Q23" s="163">
        <f t="shared" si="0"/>
        <v>4.5158730158730158</v>
      </c>
      <c r="U23" s="148"/>
      <c r="V23" s="163"/>
      <c r="Z23" s="148"/>
      <c r="AA23" s="163"/>
      <c r="AE23" s="148"/>
      <c r="AF23" s="163"/>
    </row>
    <row r="24" spans="2:32">
      <c r="B24" s="103">
        <f t="shared" si="3"/>
        <v>43</v>
      </c>
      <c r="C24" s="103">
        <f t="shared" si="4"/>
        <v>3</v>
      </c>
      <c r="D24" s="103">
        <f t="shared" si="5"/>
        <v>7</v>
      </c>
      <c r="E24" s="102" t="str">
        <f t="shared" si="6"/>
        <v>s43w3d7</v>
      </c>
      <c r="F24" s="151">
        <f t="shared" si="7"/>
        <v>40419</v>
      </c>
      <c r="G24" s="145">
        <f t="shared" si="8"/>
        <v>20</v>
      </c>
      <c r="H24" s="146">
        <f>IF(H23&gt;4.5,H23+VLOOKUP(CEILING(H23,1),Tables!$L$2:$M$14,2,FALSE),H23+VLOOKUP(FLOOR(H23,1),Tables!$L$2:$M$14,2,FALSE))</f>
        <v>4.5</v>
      </c>
      <c r="I24" s="145">
        <f t="shared" si="9"/>
        <v>20</v>
      </c>
      <c r="K24" s="148">
        <f>IF(L23&lt;10,IF(L23&gt;4.5,L23+VLOOKUP(CEILING(L23,1),Tables!$L$2:$M$14,2,FALSE),L23+VLOOKUP(FLOOR(L23,1),Tables!$L$2:$M$14,2,FALSE)),10-(1/3))</f>
        <v>4.5</v>
      </c>
      <c r="L24" s="163">
        <f t="shared" si="1"/>
        <v>4.5</v>
      </c>
      <c r="N24" s="145">
        <f t="shared" si="2"/>
        <v>20</v>
      </c>
      <c r="P24" s="148">
        <f>IF(Q23&lt;10,IF(Q23&gt;4.5,Q23+VLOOKUP(CEILING(Q23,1),Tables!$L$2:$M$14,2,FALSE),Q23+VLOOKUP(FLOOR(Q23,1),Tables!$L$2:$M$14,2,FALSE)),10-(1/3))</f>
        <v>4.5</v>
      </c>
      <c r="Q24" s="163">
        <f t="shared" si="0"/>
        <v>4.5</v>
      </c>
      <c r="U24" s="148"/>
      <c r="V24" s="163"/>
      <c r="Z24" s="148"/>
      <c r="AA24" s="163"/>
      <c r="AE24" s="148"/>
      <c r="AF24" s="163"/>
    </row>
    <row r="25" spans="2:32">
      <c r="B25" s="103">
        <f t="shared" si="3"/>
        <v>43</v>
      </c>
      <c r="C25" s="103">
        <f t="shared" si="4"/>
        <v>4</v>
      </c>
      <c r="D25" s="103">
        <f t="shared" si="5"/>
        <v>1</v>
      </c>
      <c r="E25" s="102" t="str">
        <f t="shared" si="6"/>
        <v>s43w4d1</v>
      </c>
      <c r="F25" s="151">
        <f t="shared" si="7"/>
        <v>40420</v>
      </c>
      <c r="G25" s="145">
        <f t="shared" si="8"/>
        <v>21</v>
      </c>
      <c r="H25" s="146">
        <f>IF(H24&gt;4.5,H24+VLOOKUP(CEILING(H24,1),Tables!$L$2:$M$14,2,FALSE),H24+VLOOKUP(FLOOR(H24,1),Tables!$L$2:$M$14,2,FALSE))</f>
        <v>4.5158730158730158</v>
      </c>
      <c r="I25" s="145">
        <f t="shared" si="9"/>
        <v>21</v>
      </c>
      <c r="K25" s="148">
        <f>IF(L24&lt;10,IF(L24&gt;4.5,L24+VLOOKUP(CEILING(L24,1),Tables!$L$2:$M$14,2,FALSE),L24+VLOOKUP(FLOOR(L24,1),Tables!$L$2:$M$14,2,FALSE)),10-(1/3))</f>
        <v>4.5158730158730158</v>
      </c>
      <c r="L25" s="163">
        <f t="shared" si="1"/>
        <v>4.5158730158730158</v>
      </c>
      <c r="N25" s="145">
        <f t="shared" si="2"/>
        <v>21</v>
      </c>
      <c r="P25" s="148">
        <f>IF(Q24&lt;10,IF(Q24&gt;4.5,Q24+VLOOKUP(CEILING(Q24,1),Tables!$L$2:$M$14,2,FALSE),Q24+VLOOKUP(FLOOR(Q24,1),Tables!$L$2:$M$14,2,FALSE)),10-(1/3))</f>
        <v>4.5158730158730158</v>
      </c>
      <c r="Q25" s="163">
        <f t="shared" si="0"/>
        <v>4.5158730158730158</v>
      </c>
      <c r="U25" s="148"/>
      <c r="V25" s="163"/>
      <c r="Z25" s="148"/>
      <c r="AA25" s="163"/>
      <c r="AE25" s="148"/>
      <c r="AF25" s="163"/>
    </row>
    <row r="26" spans="2:32">
      <c r="B26" s="103">
        <f t="shared" si="3"/>
        <v>43</v>
      </c>
      <c r="C26" s="103">
        <f t="shared" si="4"/>
        <v>4</v>
      </c>
      <c r="D26" s="103">
        <f t="shared" si="5"/>
        <v>2</v>
      </c>
      <c r="E26" s="102" t="str">
        <f t="shared" si="6"/>
        <v>s43w4d2</v>
      </c>
      <c r="F26" s="151">
        <f t="shared" si="7"/>
        <v>40421</v>
      </c>
      <c r="G26" s="145">
        <f t="shared" si="8"/>
        <v>22</v>
      </c>
      <c r="H26" s="146">
        <f>IF(H25&gt;4.5,H25+VLOOKUP(CEILING(H25,1),Tables!$L$2:$M$14,2,FALSE),H25+VLOOKUP(FLOOR(H25,1),Tables!$L$2:$M$14,2,FALSE))</f>
        <v>4.5</v>
      </c>
      <c r="I26" s="145">
        <f t="shared" si="9"/>
        <v>22</v>
      </c>
      <c r="K26" s="148">
        <f>IF(L25&lt;10,IF(L25&gt;4.5,L25+VLOOKUP(CEILING(L25,1),Tables!$L$2:$M$14,2,FALSE),L25+VLOOKUP(FLOOR(L25,1),Tables!$L$2:$M$14,2,FALSE)),10-(1/3))</f>
        <v>4.5</v>
      </c>
      <c r="L26" s="163">
        <f t="shared" si="1"/>
        <v>4.5</v>
      </c>
      <c r="N26" s="145">
        <f t="shared" si="2"/>
        <v>22</v>
      </c>
      <c r="P26" s="148">
        <f>IF(Q25&lt;10,IF(Q25&gt;4.5,Q25+VLOOKUP(CEILING(Q25,1),Tables!$L$2:$M$14,2,FALSE),Q25+VLOOKUP(FLOOR(Q25,1),Tables!$L$2:$M$14,2,FALSE)),10-(1/3))</f>
        <v>4.5</v>
      </c>
      <c r="Q26" s="163">
        <f t="shared" si="0"/>
        <v>4.5</v>
      </c>
      <c r="U26" s="148"/>
      <c r="V26" s="163"/>
      <c r="Z26" s="148"/>
      <c r="AA26" s="163"/>
      <c r="AE26" s="148"/>
      <c r="AF26" s="163"/>
    </row>
    <row r="27" spans="2:32">
      <c r="B27" s="103">
        <f t="shared" si="3"/>
        <v>43</v>
      </c>
      <c r="C27" s="103">
        <f t="shared" si="4"/>
        <v>4</v>
      </c>
      <c r="D27" s="103">
        <f t="shared" si="5"/>
        <v>3</v>
      </c>
      <c r="E27" s="102" t="str">
        <f t="shared" si="6"/>
        <v>s43w4d3</v>
      </c>
      <c r="F27" s="151">
        <f t="shared" si="7"/>
        <v>40422</v>
      </c>
      <c r="G27" s="145">
        <f t="shared" si="8"/>
        <v>23</v>
      </c>
      <c r="H27" s="146">
        <f>IF(H26&gt;4.5,H26+VLOOKUP(CEILING(H26,1),Tables!$L$2:$M$14,2,FALSE),H26+VLOOKUP(FLOOR(H26,1),Tables!$L$2:$M$14,2,FALSE))</f>
        <v>4.5158730158730158</v>
      </c>
      <c r="I27" s="145">
        <f t="shared" si="9"/>
        <v>23</v>
      </c>
      <c r="K27" s="148">
        <f>IF(L26&lt;10,IF(L26&gt;4.5,L26+VLOOKUP(CEILING(L26,1),Tables!$L$2:$M$14,2,FALSE),L26+VLOOKUP(FLOOR(L26,1),Tables!$L$2:$M$14,2,FALSE)),10-(1/3))</f>
        <v>4.5158730158730158</v>
      </c>
      <c r="L27" s="163">
        <f t="shared" si="1"/>
        <v>4.5158730158730158</v>
      </c>
      <c r="N27" s="145">
        <f t="shared" si="2"/>
        <v>23</v>
      </c>
      <c r="P27" s="148">
        <f>IF(Q26&lt;10,IF(Q26&gt;4.5,Q26+VLOOKUP(CEILING(Q26,1),Tables!$L$2:$M$14,2,FALSE),Q26+VLOOKUP(FLOOR(Q26,1),Tables!$L$2:$M$14,2,FALSE)),10-(1/3))</f>
        <v>4.5158730158730158</v>
      </c>
      <c r="Q27" s="163">
        <f t="shared" si="0"/>
        <v>4.5158730158730158</v>
      </c>
      <c r="U27" s="148"/>
      <c r="V27" s="163"/>
      <c r="Z27" s="148"/>
      <c r="AA27" s="163"/>
      <c r="AE27" s="148"/>
      <c r="AF27" s="163"/>
    </row>
    <row r="28" spans="2:32">
      <c r="B28" s="103">
        <f t="shared" si="3"/>
        <v>43</v>
      </c>
      <c r="C28" s="103">
        <f t="shared" si="4"/>
        <v>4</v>
      </c>
      <c r="D28" s="103">
        <f t="shared" si="5"/>
        <v>4</v>
      </c>
      <c r="E28" s="102" t="str">
        <f t="shared" si="6"/>
        <v>s43w4d4</v>
      </c>
      <c r="F28" s="151">
        <f t="shared" si="7"/>
        <v>40423</v>
      </c>
      <c r="G28" s="145">
        <f t="shared" si="8"/>
        <v>24</v>
      </c>
      <c r="H28" s="146">
        <f>IF(H27&gt;4.5,H27+VLOOKUP(CEILING(H27,1),Tables!$L$2:$M$14,2,FALSE),H27+VLOOKUP(FLOOR(H27,1),Tables!$L$2:$M$14,2,FALSE))</f>
        <v>4.5</v>
      </c>
      <c r="I28" s="145">
        <f t="shared" si="9"/>
        <v>24</v>
      </c>
      <c r="K28" s="148">
        <f>IF(L27&lt;10,IF(L27&gt;4.5,L27+VLOOKUP(CEILING(L27,1),Tables!$L$2:$M$14,2,FALSE),L27+VLOOKUP(FLOOR(L27,1),Tables!$L$2:$M$14,2,FALSE)),10-(1/3))</f>
        <v>4.5</v>
      </c>
      <c r="L28" s="163">
        <f t="shared" si="1"/>
        <v>4.5</v>
      </c>
      <c r="N28" s="145">
        <f t="shared" si="2"/>
        <v>24</v>
      </c>
      <c r="P28" s="148">
        <f>IF(Q27&lt;10,IF(Q27&gt;4.5,Q27+VLOOKUP(CEILING(Q27,1),Tables!$L$2:$M$14,2,FALSE),Q27+VLOOKUP(FLOOR(Q27,1),Tables!$L$2:$M$14,2,FALSE)),10-(1/3))</f>
        <v>4.5</v>
      </c>
      <c r="Q28" s="163">
        <f t="shared" si="0"/>
        <v>4.5</v>
      </c>
      <c r="U28" s="148"/>
      <c r="V28" s="163"/>
      <c r="Z28" s="148"/>
      <c r="AA28" s="163"/>
      <c r="AE28" s="148"/>
      <c r="AF28" s="163"/>
    </row>
    <row r="29" spans="2:32">
      <c r="B29" s="103">
        <f t="shared" si="3"/>
        <v>43</v>
      </c>
      <c r="C29" s="103">
        <f t="shared" si="4"/>
        <v>4</v>
      </c>
      <c r="D29" s="103">
        <f t="shared" si="5"/>
        <v>5</v>
      </c>
      <c r="E29" s="102" t="str">
        <f t="shared" si="6"/>
        <v>s43w4d5</v>
      </c>
      <c r="F29" s="151">
        <f t="shared" si="7"/>
        <v>40424</v>
      </c>
      <c r="G29" s="145">
        <f t="shared" si="8"/>
        <v>25</v>
      </c>
      <c r="H29" s="146">
        <f>IF(H28&gt;4.5,H28+VLOOKUP(CEILING(H28,1),Tables!$L$2:$M$14,2,FALSE),H28+VLOOKUP(FLOOR(H28,1),Tables!$L$2:$M$14,2,FALSE))</f>
        <v>4.5158730158730158</v>
      </c>
      <c r="I29" s="145">
        <f t="shared" si="9"/>
        <v>25</v>
      </c>
      <c r="K29" s="148">
        <f>IF(L28&lt;10,IF(L28&gt;4.5,L28+VLOOKUP(CEILING(L28,1),Tables!$L$2:$M$14,2,FALSE),L28+VLOOKUP(FLOOR(L28,1),Tables!$L$2:$M$14,2,FALSE)),10-(1/3))</f>
        <v>4.5158730158730158</v>
      </c>
      <c r="L29" s="163">
        <f t="shared" si="1"/>
        <v>4.5158730158730158</v>
      </c>
      <c r="N29" s="145">
        <f t="shared" si="2"/>
        <v>25</v>
      </c>
      <c r="P29" s="148">
        <f>IF(Q28&lt;10,IF(Q28&gt;4.5,Q28+VLOOKUP(CEILING(Q28,1),Tables!$L$2:$M$14,2,FALSE),Q28+VLOOKUP(FLOOR(Q28,1),Tables!$L$2:$M$14,2,FALSE)),10-(1/3))</f>
        <v>4.5158730158730158</v>
      </c>
      <c r="Q29" s="163">
        <f t="shared" si="0"/>
        <v>4.5158730158730158</v>
      </c>
      <c r="U29" s="148"/>
      <c r="V29" s="163"/>
      <c r="Z29" s="148"/>
      <c r="AA29" s="163"/>
      <c r="AE29" s="148"/>
      <c r="AF29" s="163"/>
    </row>
    <row r="30" spans="2:32">
      <c r="B30" s="103">
        <f t="shared" si="3"/>
        <v>43</v>
      </c>
      <c r="C30" s="103">
        <f t="shared" si="4"/>
        <v>4</v>
      </c>
      <c r="D30" s="103">
        <f t="shared" si="5"/>
        <v>6</v>
      </c>
      <c r="E30" s="102" t="str">
        <f t="shared" si="6"/>
        <v>s43w4d6</v>
      </c>
      <c r="F30" s="151">
        <f t="shared" si="7"/>
        <v>40425</v>
      </c>
      <c r="G30" s="145">
        <f t="shared" si="8"/>
        <v>26</v>
      </c>
      <c r="H30" s="146">
        <f>IF(H29&gt;4.5,H29+VLOOKUP(CEILING(H29,1),Tables!$L$2:$M$14,2,FALSE),H29+VLOOKUP(FLOOR(H29,1),Tables!$L$2:$M$14,2,FALSE))</f>
        <v>4.5</v>
      </c>
      <c r="I30" s="145">
        <f t="shared" si="9"/>
        <v>26</v>
      </c>
      <c r="K30" s="148">
        <f>IF(L29&lt;10,IF(L29&gt;4.5,L29+VLOOKUP(CEILING(L29,1),Tables!$L$2:$M$14,2,FALSE),L29+VLOOKUP(FLOOR(L29,1),Tables!$L$2:$M$14,2,FALSE)),10-(1/3))</f>
        <v>4.5</v>
      </c>
      <c r="L30" s="163">
        <f t="shared" si="1"/>
        <v>4.5</v>
      </c>
      <c r="N30" s="145">
        <f t="shared" si="2"/>
        <v>26</v>
      </c>
      <c r="P30" s="148">
        <f>IF(Q29&lt;10,IF(Q29&gt;4.5,Q29+VLOOKUP(CEILING(Q29,1),Tables!$L$2:$M$14,2,FALSE),Q29+VLOOKUP(FLOOR(Q29,1),Tables!$L$2:$M$14,2,FALSE)),10-(1/3))</f>
        <v>4.5</v>
      </c>
      <c r="Q30" s="163">
        <f t="shared" si="0"/>
        <v>4.5</v>
      </c>
      <c r="U30" s="148"/>
      <c r="V30" s="163"/>
      <c r="Z30" s="148"/>
      <c r="AA30" s="163"/>
      <c r="AE30" s="148"/>
      <c r="AF30" s="163"/>
    </row>
    <row r="31" spans="2:32">
      <c r="B31" s="103">
        <f t="shared" si="3"/>
        <v>43</v>
      </c>
      <c r="C31" s="103">
        <f t="shared" si="4"/>
        <v>4</v>
      </c>
      <c r="D31" s="103">
        <f t="shared" si="5"/>
        <v>7</v>
      </c>
      <c r="E31" s="102" t="str">
        <f t="shared" si="6"/>
        <v>s43w4d7</v>
      </c>
      <c r="F31" s="151">
        <f t="shared" si="7"/>
        <v>40426</v>
      </c>
      <c r="G31" s="145">
        <f t="shared" si="8"/>
        <v>27</v>
      </c>
      <c r="H31" s="146">
        <f>IF(H30&gt;4.5,H30+VLOOKUP(CEILING(H30,1),Tables!$L$2:$M$14,2,FALSE),H30+VLOOKUP(FLOOR(H30,1),Tables!$L$2:$M$14,2,FALSE))</f>
        <v>4.5158730158730158</v>
      </c>
      <c r="I31" s="145">
        <f t="shared" si="9"/>
        <v>27</v>
      </c>
      <c r="K31" s="148">
        <f>IF(L30&lt;10,IF(L30&gt;4.5,L30+VLOOKUP(CEILING(L30,1),Tables!$L$2:$M$14,2,FALSE),L30+VLOOKUP(FLOOR(L30,1),Tables!$L$2:$M$14,2,FALSE)),10-(1/3))</f>
        <v>4.5158730158730158</v>
      </c>
      <c r="L31" s="163">
        <f t="shared" si="1"/>
        <v>4.5158730158730158</v>
      </c>
      <c r="N31" s="145">
        <f t="shared" si="2"/>
        <v>27</v>
      </c>
      <c r="P31" s="148">
        <f>IF(Q30&lt;10,IF(Q30&gt;4.5,Q30+VLOOKUP(CEILING(Q30,1),Tables!$L$2:$M$14,2,FALSE),Q30+VLOOKUP(FLOOR(Q30,1),Tables!$L$2:$M$14,2,FALSE)),10-(1/3))</f>
        <v>4.5158730158730158</v>
      </c>
      <c r="Q31" s="163">
        <f t="shared" si="0"/>
        <v>4.5158730158730158</v>
      </c>
      <c r="U31" s="148"/>
      <c r="V31" s="163"/>
      <c r="Z31" s="148"/>
      <c r="AA31" s="163"/>
      <c r="AE31" s="148"/>
      <c r="AF31" s="163"/>
    </row>
    <row r="32" spans="2:32">
      <c r="B32" s="103">
        <f t="shared" si="3"/>
        <v>43</v>
      </c>
      <c r="C32" s="103">
        <f t="shared" si="4"/>
        <v>5</v>
      </c>
      <c r="D32" s="103">
        <f t="shared" si="5"/>
        <v>1</v>
      </c>
      <c r="E32" s="102" t="str">
        <f t="shared" si="6"/>
        <v>s43w5d1</v>
      </c>
      <c r="F32" s="151">
        <f t="shared" si="7"/>
        <v>40427</v>
      </c>
      <c r="G32" s="145">
        <f t="shared" si="8"/>
        <v>28</v>
      </c>
      <c r="H32" s="146">
        <f>IF(H31&gt;4.5,H31+VLOOKUP(CEILING(H31,1),Tables!$L$2:$M$14,2,FALSE),H31+VLOOKUP(FLOOR(H31,1),Tables!$L$2:$M$14,2,FALSE))</f>
        <v>4.5</v>
      </c>
      <c r="I32" s="145">
        <f t="shared" si="9"/>
        <v>28</v>
      </c>
      <c r="K32" s="148">
        <f>IF(L31&lt;10,IF(L31&gt;4.5,L31+VLOOKUP(CEILING(L31,1),Tables!$L$2:$M$14,2,FALSE),L31+VLOOKUP(FLOOR(L31,1),Tables!$L$2:$M$14,2,FALSE)),10-(1/3))</f>
        <v>4.5</v>
      </c>
      <c r="L32" s="163">
        <f t="shared" si="1"/>
        <v>4.5</v>
      </c>
      <c r="N32" s="145">
        <f t="shared" si="2"/>
        <v>28</v>
      </c>
      <c r="P32" s="148">
        <f>IF(Q31&lt;10,IF(Q31&gt;4.5,Q31+VLOOKUP(CEILING(Q31,1),Tables!$L$2:$M$14,2,FALSE),Q31+VLOOKUP(FLOOR(Q31,1),Tables!$L$2:$M$14,2,FALSE)),10-(1/3))</f>
        <v>4.5</v>
      </c>
      <c r="Q32" s="163">
        <f t="shared" si="0"/>
        <v>4.5</v>
      </c>
      <c r="U32" s="148"/>
      <c r="V32" s="163"/>
      <c r="Z32" s="148"/>
      <c r="AA32" s="163"/>
      <c r="AE32" s="148"/>
      <c r="AF32" s="163"/>
    </row>
    <row r="33" spans="2:32">
      <c r="B33" s="103">
        <f t="shared" si="3"/>
        <v>43</v>
      </c>
      <c r="C33" s="103">
        <f t="shared" si="4"/>
        <v>5</v>
      </c>
      <c r="D33" s="103">
        <f t="shared" si="5"/>
        <v>2</v>
      </c>
      <c r="E33" s="102" t="str">
        <f t="shared" si="6"/>
        <v>s43w5d2</v>
      </c>
      <c r="F33" s="151">
        <f t="shared" si="7"/>
        <v>40428</v>
      </c>
      <c r="G33" s="145">
        <f t="shared" si="8"/>
        <v>29</v>
      </c>
      <c r="H33" s="146">
        <f>IF(H32&gt;4.5,H32+VLOOKUP(CEILING(H32,1),Tables!$L$2:$M$14,2,FALSE),H32+VLOOKUP(FLOOR(H32,1),Tables!$L$2:$M$14,2,FALSE))</f>
        <v>4.5158730158730158</v>
      </c>
      <c r="I33" s="145">
        <f t="shared" si="9"/>
        <v>29</v>
      </c>
      <c r="K33" s="148">
        <f>IF(L32&lt;10,IF(L32&gt;4.5,L32+VLOOKUP(CEILING(L32,1),Tables!$L$2:$M$14,2,FALSE),L32+VLOOKUP(FLOOR(L32,1),Tables!$L$2:$M$14,2,FALSE)),10-(1/3))</f>
        <v>4.5158730158730158</v>
      </c>
      <c r="L33" s="163">
        <f t="shared" si="1"/>
        <v>4.5158730158730158</v>
      </c>
      <c r="N33" s="145">
        <f t="shared" si="2"/>
        <v>29</v>
      </c>
      <c r="P33" s="148">
        <f>IF(Q32&lt;10,IF(Q32&gt;4.5,Q32+VLOOKUP(CEILING(Q32,1),Tables!$L$2:$M$14,2,FALSE),Q32+VLOOKUP(FLOOR(Q32,1),Tables!$L$2:$M$14,2,FALSE)),10-(1/3))</f>
        <v>4.5158730158730158</v>
      </c>
      <c r="Q33" s="163">
        <f t="shared" si="0"/>
        <v>4.5158730158730158</v>
      </c>
      <c r="U33" s="148"/>
      <c r="V33" s="163"/>
      <c r="Z33" s="148"/>
      <c r="AA33" s="163"/>
      <c r="AE33" s="148"/>
      <c r="AF33" s="163"/>
    </row>
    <row r="34" spans="2:32">
      <c r="B34" s="103">
        <f t="shared" si="3"/>
        <v>43</v>
      </c>
      <c r="C34" s="103">
        <f t="shared" si="4"/>
        <v>5</v>
      </c>
      <c r="D34" s="103">
        <f t="shared" si="5"/>
        <v>3</v>
      </c>
      <c r="E34" s="102" t="str">
        <f t="shared" si="6"/>
        <v>s43w5d3</v>
      </c>
      <c r="F34" s="151">
        <f t="shared" si="7"/>
        <v>40429</v>
      </c>
      <c r="G34" s="145">
        <f t="shared" si="8"/>
        <v>30</v>
      </c>
      <c r="H34" s="146">
        <f>IF(H33&gt;4.5,H33+VLOOKUP(CEILING(H33,1),Tables!$L$2:$M$14,2,FALSE),H33+VLOOKUP(FLOOR(H33,1),Tables!$L$2:$M$14,2,FALSE))</f>
        <v>4.5</v>
      </c>
      <c r="I34" s="145">
        <f t="shared" si="9"/>
        <v>30</v>
      </c>
      <c r="K34" s="148">
        <f>IF(L33&lt;10,IF(L33&gt;4.5,L33+VLOOKUP(CEILING(L33,1),Tables!$L$2:$M$14,2,FALSE),L33+VLOOKUP(FLOOR(L33,1),Tables!$L$2:$M$14,2,FALSE)),10-(1/3))</f>
        <v>4.5</v>
      </c>
      <c r="L34" s="163">
        <f t="shared" si="1"/>
        <v>4.5</v>
      </c>
      <c r="N34" s="145">
        <f t="shared" si="2"/>
        <v>30</v>
      </c>
      <c r="P34" s="148">
        <f>IF(Q33&lt;10,IF(Q33&gt;4.5,Q33+VLOOKUP(CEILING(Q33,1),Tables!$L$2:$M$14,2,FALSE),Q33+VLOOKUP(FLOOR(Q33,1),Tables!$L$2:$M$14,2,FALSE)),10-(1/3))</f>
        <v>4.5</v>
      </c>
      <c r="Q34" s="163">
        <f t="shared" si="0"/>
        <v>4.5</v>
      </c>
      <c r="U34" s="148"/>
      <c r="V34" s="163"/>
      <c r="Z34" s="148"/>
      <c r="AA34" s="163"/>
      <c r="AE34" s="148"/>
      <c r="AF34" s="163"/>
    </row>
    <row r="35" spans="2:32">
      <c r="B35" s="103">
        <f t="shared" ref="B35:B98" si="10">IF(AND(C34=16,D34=7),B34+1,B34)</f>
        <v>43</v>
      </c>
      <c r="C35" s="103">
        <f t="shared" ref="C35:C98" si="11">IF(B35&gt;B34,1,IF(D34=7,C34+1,C34))</f>
        <v>5</v>
      </c>
      <c r="D35" s="103">
        <f t="shared" ref="D35:D98" si="12">IF(D34=7,1,D34+1)</f>
        <v>4</v>
      </c>
      <c r="E35" s="102" t="str">
        <f t="shared" ref="E35:E98" si="13">CONCATENATE("s",B35,"w",C35,"d",D35)</f>
        <v>s43w5d4</v>
      </c>
      <c r="F35" s="151">
        <f t="shared" ref="F35:F98" si="14">F34+1</f>
        <v>40430</v>
      </c>
      <c r="G35" s="145">
        <f t="shared" ref="G35:G98" si="15">G34+1</f>
        <v>31</v>
      </c>
      <c r="H35" s="146">
        <f>IF(H34&gt;4.5,H34+VLOOKUP(CEILING(H34,1),Tables!$L$2:$M$14,2,FALSE),H34+VLOOKUP(FLOOR(H34,1),Tables!$L$2:$M$14,2,FALSE))</f>
        <v>4.5158730158730158</v>
      </c>
      <c r="I35" s="145">
        <f t="shared" ref="I35:I98" si="16">I34+1</f>
        <v>31</v>
      </c>
      <c r="K35" s="148">
        <f>IF(L34&lt;10,IF(L34&gt;4.5,L34+VLOOKUP(CEILING(L34,1),Tables!$L$2:$M$14,2,FALSE),L34+VLOOKUP(FLOOR(L34,1),Tables!$L$2:$M$14,2,FALSE)),10-(1/3))</f>
        <v>4.5158730158730158</v>
      </c>
      <c r="L35" s="163">
        <f t="shared" ref="L35:L98" si="17">IF(J35="pic",K35*1.33,IF(J35="mots",K35*0.5,K35))</f>
        <v>4.5158730158730158</v>
      </c>
      <c r="N35" s="145">
        <f t="shared" ref="N35:N98" si="18">N34+1</f>
        <v>31</v>
      </c>
      <c r="P35" s="148">
        <f>IF(Q34&lt;10,IF(Q34&gt;4.5,Q34+VLOOKUP(CEILING(Q34,1),Tables!$L$2:$M$14,2,FALSE),Q34+VLOOKUP(FLOOR(Q34,1),Tables!$L$2:$M$14,2,FALSE)),10-(1/3))</f>
        <v>4.5158730158730158</v>
      </c>
      <c r="Q35" s="163">
        <f t="shared" ref="Q35:Q98" si="19">IF(O35="pic",P35*1.33,IF(O35="mots",P35*0.5,P35))</f>
        <v>4.5158730158730158</v>
      </c>
      <c r="U35" s="148"/>
      <c r="V35" s="163"/>
      <c r="Z35" s="148"/>
      <c r="AA35" s="163"/>
      <c r="AE35" s="148"/>
      <c r="AF35" s="163"/>
    </row>
    <row r="36" spans="2:32">
      <c r="B36" s="103">
        <f t="shared" si="10"/>
        <v>43</v>
      </c>
      <c r="C36" s="103">
        <f t="shared" si="11"/>
        <v>5</v>
      </c>
      <c r="D36" s="103">
        <f t="shared" si="12"/>
        <v>5</v>
      </c>
      <c r="E36" s="102" t="str">
        <f t="shared" si="13"/>
        <v>s43w5d5</v>
      </c>
      <c r="F36" s="151">
        <f t="shared" si="14"/>
        <v>40431</v>
      </c>
      <c r="G36" s="145">
        <f t="shared" si="15"/>
        <v>32</v>
      </c>
      <c r="H36" s="146">
        <f>IF(H35&gt;4.5,H35+VLOOKUP(CEILING(H35,1),Tables!$L$2:$M$14,2,FALSE),H35+VLOOKUP(FLOOR(H35,1),Tables!$L$2:$M$14,2,FALSE))</f>
        <v>4.5</v>
      </c>
      <c r="I36" s="145">
        <f t="shared" si="16"/>
        <v>32</v>
      </c>
      <c r="K36" s="148">
        <f>IF(L35&lt;10,IF(L35&gt;4.5,L35+VLOOKUP(CEILING(L35,1),Tables!$L$2:$M$14,2,FALSE),L35+VLOOKUP(FLOOR(L35,1),Tables!$L$2:$M$14,2,FALSE)),10-(1/3))</f>
        <v>4.5</v>
      </c>
      <c r="L36" s="163">
        <f t="shared" si="17"/>
        <v>4.5</v>
      </c>
      <c r="N36" s="145">
        <f t="shared" si="18"/>
        <v>32</v>
      </c>
      <c r="P36" s="148">
        <f>IF(Q35&lt;10,IF(Q35&gt;4.5,Q35+VLOOKUP(CEILING(Q35,1),Tables!$L$2:$M$14,2,FALSE),Q35+VLOOKUP(FLOOR(Q35,1),Tables!$L$2:$M$14,2,FALSE)),10-(1/3))</f>
        <v>4.5</v>
      </c>
      <c r="Q36" s="163">
        <f t="shared" si="19"/>
        <v>4.5</v>
      </c>
      <c r="U36" s="148"/>
      <c r="V36" s="163"/>
      <c r="Z36" s="148"/>
      <c r="AA36" s="163"/>
      <c r="AE36" s="148"/>
      <c r="AF36" s="163"/>
    </row>
    <row r="37" spans="2:32">
      <c r="B37" s="103">
        <f t="shared" si="10"/>
        <v>43</v>
      </c>
      <c r="C37" s="103">
        <f t="shared" si="11"/>
        <v>5</v>
      </c>
      <c r="D37" s="103">
        <f t="shared" si="12"/>
        <v>6</v>
      </c>
      <c r="E37" s="102" t="str">
        <f t="shared" si="13"/>
        <v>s43w5d6</v>
      </c>
      <c r="F37" s="151">
        <f t="shared" si="14"/>
        <v>40432</v>
      </c>
      <c r="G37" s="145">
        <f t="shared" si="15"/>
        <v>33</v>
      </c>
      <c r="H37" s="146">
        <f>IF(H36&gt;4.5,H36+VLOOKUP(CEILING(H36,1),Tables!$L$2:$M$14,2,FALSE),H36+VLOOKUP(FLOOR(H36,1),Tables!$L$2:$M$14,2,FALSE))</f>
        <v>4.5158730158730158</v>
      </c>
      <c r="I37" s="145">
        <f t="shared" si="16"/>
        <v>33</v>
      </c>
      <c r="K37" s="148">
        <f>IF(L36&lt;10,IF(L36&gt;4.5,L36+VLOOKUP(CEILING(L36,1),Tables!$L$2:$M$14,2,FALSE),L36+VLOOKUP(FLOOR(L36,1),Tables!$L$2:$M$14,2,FALSE)),10-(1/3))</f>
        <v>4.5158730158730158</v>
      </c>
      <c r="L37" s="163">
        <f t="shared" si="17"/>
        <v>4.5158730158730158</v>
      </c>
      <c r="N37" s="145">
        <f t="shared" si="18"/>
        <v>33</v>
      </c>
      <c r="P37" s="148">
        <f>IF(Q36&lt;10,IF(Q36&gt;4.5,Q36+VLOOKUP(CEILING(Q36,1),Tables!$L$2:$M$14,2,FALSE),Q36+VLOOKUP(FLOOR(Q36,1),Tables!$L$2:$M$14,2,FALSE)),10-(1/3))</f>
        <v>4.5158730158730158</v>
      </c>
      <c r="Q37" s="163">
        <f t="shared" si="19"/>
        <v>4.5158730158730158</v>
      </c>
      <c r="U37" s="148"/>
      <c r="V37" s="163"/>
      <c r="Z37" s="148"/>
      <c r="AA37" s="163"/>
      <c r="AE37" s="148"/>
      <c r="AF37" s="163"/>
    </row>
    <row r="38" spans="2:32">
      <c r="B38" s="103">
        <f t="shared" si="10"/>
        <v>43</v>
      </c>
      <c r="C38" s="103">
        <f t="shared" si="11"/>
        <v>5</v>
      </c>
      <c r="D38" s="103">
        <f t="shared" si="12"/>
        <v>7</v>
      </c>
      <c r="E38" s="102" t="str">
        <f t="shared" si="13"/>
        <v>s43w5d7</v>
      </c>
      <c r="F38" s="151">
        <f t="shared" si="14"/>
        <v>40433</v>
      </c>
      <c r="G38" s="145">
        <f t="shared" si="15"/>
        <v>34</v>
      </c>
      <c r="H38" s="146">
        <f>IF(H37&gt;4.5,H37+VLOOKUP(CEILING(H37,1),Tables!$L$2:$M$14,2,FALSE),H37+VLOOKUP(FLOOR(H37,1),Tables!$L$2:$M$14,2,FALSE))</f>
        <v>4.5</v>
      </c>
      <c r="I38" s="145">
        <f t="shared" si="16"/>
        <v>34</v>
      </c>
      <c r="K38" s="148">
        <f>IF(L37&lt;10,IF(L37&gt;4.5,L37+VLOOKUP(CEILING(L37,1),Tables!$L$2:$M$14,2,FALSE),L37+VLOOKUP(FLOOR(L37,1),Tables!$L$2:$M$14,2,FALSE)),10-(1/3))</f>
        <v>4.5</v>
      </c>
      <c r="L38" s="163">
        <f t="shared" si="17"/>
        <v>4.5</v>
      </c>
      <c r="N38" s="145">
        <f t="shared" si="18"/>
        <v>34</v>
      </c>
      <c r="P38" s="148">
        <f>IF(Q37&lt;10,IF(Q37&gt;4.5,Q37+VLOOKUP(CEILING(Q37,1),Tables!$L$2:$M$14,2,FALSE),Q37+VLOOKUP(FLOOR(Q37,1),Tables!$L$2:$M$14,2,FALSE)),10-(1/3))</f>
        <v>4.5</v>
      </c>
      <c r="Q38" s="163">
        <f t="shared" si="19"/>
        <v>4.5</v>
      </c>
      <c r="U38" s="148"/>
      <c r="V38" s="163"/>
      <c r="Z38" s="148"/>
      <c r="AA38" s="163"/>
      <c r="AE38" s="148"/>
      <c r="AF38" s="163"/>
    </row>
    <row r="39" spans="2:32">
      <c r="B39" s="103">
        <f t="shared" si="10"/>
        <v>43</v>
      </c>
      <c r="C39" s="103">
        <f t="shared" si="11"/>
        <v>6</v>
      </c>
      <c r="D39" s="103">
        <f t="shared" si="12"/>
        <v>1</v>
      </c>
      <c r="E39" s="102" t="str">
        <f t="shared" si="13"/>
        <v>s43w6d1</v>
      </c>
      <c r="F39" s="151">
        <f t="shared" si="14"/>
        <v>40434</v>
      </c>
      <c r="G39" s="145">
        <f t="shared" si="15"/>
        <v>35</v>
      </c>
      <c r="H39" s="146">
        <f>IF(H38&gt;4.5,H38+VLOOKUP(CEILING(H38,1),Tables!$L$2:$M$14,2,FALSE),H38+VLOOKUP(FLOOR(H38,1),Tables!$L$2:$M$14,2,FALSE))</f>
        <v>4.5158730158730158</v>
      </c>
      <c r="I39" s="145">
        <f t="shared" si="16"/>
        <v>35</v>
      </c>
      <c r="K39" s="148">
        <f>IF(L38&lt;10,IF(L38&gt;4.5,L38+VLOOKUP(CEILING(L38,1),Tables!$L$2:$M$14,2,FALSE),L38+VLOOKUP(FLOOR(L38,1),Tables!$L$2:$M$14,2,FALSE)),10-(1/3))</f>
        <v>4.5158730158730158</v>
      </c>
      <c r="L39" s="163">
        <f t="shared" si="17"/>
        <v>4.5158730158730158</v>
      </c>
      <c r="N39" s="145">
        <f t="shared" si="18"/>
        <v>35</v>
      </c>
      <c r="P39" s="148">
        <f>IF(Q38&lt;10,IF(Q38&gt;4.5,Q38+VLOOKUP(CEILING(Q38,1),Tables!$L$2:$M$14,2,FALSE),Q38+VLOOKUP(FLOOR(Q38,1),Tables!$L$2:$M$14,2,FALSE)),10-(1/3))</f>
        <v>4.5158730158730158</v>
      </c>
      <c r="Q39" s="163">
        <f t="shared" si="19"/>
        <v>4.5158730158730158</v>
      </c>
      <c r="U39" s="148"/>
      <c r="V39" s="163"/>
      <c r="Z39" s="148"/>
      <c r="AA39" s="163"/>
      <c r="AE39" s="148"/>
      <c r="AF39" s="163"/>
    </row>
    <row r="40" spans="2:32">
      <c r="B40" s="103">
        <f t="shared" si="10"/>
        <v>43</v>
      </c>
      <c r="C40" s="103">
        <f t="shared" si="11"/>
        <v>6</v>
      </c>
      <c r="D40" s="103">
        <f t="shared" si="12"/>
        <v>2</v>
      </c>
      <c r="E40" s="102" t="str">
        <f t="shared" si="13"/>
        <v>s43w6d2</v>
      </c>
      <c r="F40" s="151">
        <f t="shared" si="14"/>
        <v>40435</v>
      </c>
      <c r="G40" s="145">
        <f t="shared" si="15"/>
        <v>36</v>
      </c>
      <c r="H40" s="146">
        <f>IF(H39&gt;4.5,H39+VLOOKUP(CEILING(H39,1),Tables!$L$2:$M$14,2,FALSE),H39+VLOOKUP(FLOOR(H39,1),Tables!$L$2:$M$14,2,FALSE))</f>
        <v>4.5</v>
      </c>
      <c r="I40" s="145">
        <f t="shared" si="16"/>
        <v>36</v>
      </c>
      <c r="K40" s="148">
        <f>IF(L39&lt;10,IF(L39&gt;4.5,L39+VLOOKUP(CEILING(L39,1),Tables!$L$2:$M$14,2,FALSE),L39+VLOOKUP(FLOOR(L39,1),Tables!$L$2:$M$14,2,FALSE)),10-(1/3))</f>
        <v>4.5</v>
      </c>
      <c r="L40" s="163">
        <f t="shared" si="17"/>
        <v>4.5</v>
      </c>
      <c r="N40" s="145">
        <f t="shared" si="18"/>
        <v>36</v>
      </c>
      <c r="P40" s="148">
        <f>IF(Q39&lt;10,IF(Q39&gt;4.5,Q39+VLOOKUP(CEILING(Q39,1),Tables!$L$2:$M$14,2,FALSE),Q39+VLOOKUP(FLOOR(Q39,1),Tables!$L$2:$M$14,2,FALSE)),10-(1/3))</f>
        <v>4.5</v>
      </c>
      <c r="Q40" s="163">
        <f t="shared" si="19"/>
        <v>4.5</v>
      </c>
      <c r="U40" s="148"/>
      <c r="V40" s="163"/>
      <c r="Z40" s="148"/>
      <c r="AA40" s="163"/>
      <c r="AE40" s="148"/>
      <c r="AF40" s="163"/>
    </row>
    <row r="41" spans="2:32">
      <c r="B41" s="103">
        <f t="shared" si="10"/>
        <v>43</v>
      </c>
      <c r="C41" s="103">
        <f t="shared" si="11"/>
        <v>6</v>
      </c>
      <c r="D41" s="103">
        <f t="shared" si="12"/>
        <v>3</v>
      </c>
      <c r="E41" s="102" t="str">
        <f t="shared" si="13"/>
        <v>s43w6d3</v>
      </c>
      <c r="F41" s="151">
        <f t="shared" si="14"/>
        <v>40436</v>
      </c>
      <c r="G41" s="145">
        <f t="shared" si="15"/>
        <v>37</v>
      </c>
      <c r="H41" s="146">
        <f>IF(H40&gt;4.5,H40+VLOOKUP(CEILING(H40,1),Tables!$L$2:$M$14,2,FALSE),H40+VLOOKUP(FLOOR(H40,1),Tables!$L$2:$M$14,2,FALSE))</f>
        <v>4.5158730158730158</v>
      </c>
      <c r="I41" s="145">
        <f t="shared" si="16"/>
        <v>37</v>
      </c>
      <c r="K41" s="148">
        <f>IF(L40&lt;10,IF(L40&gt;4.5,L40+VLOOKUP(CEILING(L40,1),Tables!$L$2:$M$14,2,FALSE),L40+VLOOKUP(FLOOR(L40,1),Tables!$L$2:$M$14,2,FALSE)),10-(1/3))</f>
        <v>4.5158730158730158</v>
      </c>
      <c r="L41" s="163">
        <f t="shared" si="17"/>
        <v>4.5158730158730158</v>
      </c>
      <c r="N41" s="145">
        <f t="shared" si="18"/>
        <v>37</v>
      </c>
      <c r="P41" s="148">
        <f>IF(Q40&lt;10,IF(Q40&gt;4.5,Q40+VLOOKUP(CEILING(Q40,1),Tables!$L$2:$M$14,2,FALSE),Q40+VLOOKUP(FLOOR(Q40,1),Tables!$L$2:$M$14,2,FALSE)),10-(1/3))</f>
        <v>4.5158730158730158</v>
      </c>
      <c r="Q41" s="163">
        <f t="shared" si="19"/>
        <v>4.5158730158730158</v>
      </c>
      <c r="U41" s="148"/>
      <c r="V41" s="163"/>
      <c r="Z41" s="148"/>
      <c r="AA41" s="163"/>
      <c r="AE41" s="148"/>
      <c r="AF41" s="163"/>
    </row>
    <row r="42" spans="2:32">
      <c r="B42" s="103">
        <f t="shared" si="10"/>
        <v>43</v>
      </c>
      <c r="C42" s="103">
        <f t="shared" si="11"/>
        <v>6</v>
      </c>
      <c r="D42" s="103">
        <f t="shared" si="12"/>
        <v>4</v>
      </c>
      <c r="E42" s="102" t="str">
        <f t="shared" si="13"/>
        <v>s43w6d4</v>
      </c>
      <c r="F42" s="151">
        <f t="shared" si="14"/>
        <v>40437</v>
      </c>
      <c r="G42" s="145">
        <f t="shared" si="15"/>
        <v>38</v>
      </c>
      <c r="H42" s="146">
        <f>IF(H41&gt;4.5,H41+VLOOKUP(CEILING(H41,1),Tables!$L$2:$M$14,2,FALSE),H41+VLOOKUP(FLOOR(H41,1),Tables!$L$2:$M$14,2,FALSE))</f>
        <v>4.5</v>
      </c>
      <c r="I42" s="145">
        <f t="shared" si="16"/>
        <v>38</v>
      </c>
      <c r="K42" s="148">
        <f>IF(L41&lt;10,IF(L41&gt;4.5,L41+VLOOKUP(CEILING(L41,1),Tables!$L$2:$M$14,2,FALSE),L41+VLOOKUP(FLOOR(L41,1),Tables!$L$2:$M$14,2,FALSE)),10-(1/3))</f>
        <v>4.5</v>
      </c>
      <c r="L42" s="163">
        <f t="shared" si="17"/>
        <v>4.5</v>
      </c>
      <c r="N42" s="145">
        <f t="shared" si="18"/>
        <v>38</v>
      </c>
      <c r="P42" s="148">
        <f>IF(Q41&lt;10,IF(Q41&gt;4.5,Q41+VLOOKUP(CEILING(Q41,1),Tables!$L$2:$M$14,2,FALSE),Q41+VLOOKUP(FLOOR(Q41,1),Tables!$L$2:$M$14,2,FALSE)),10-(1/3))</f>
        <v>4.5</v>
      </c>
      <c r="Q42" s="163">
        <f t="shared" si="19"/>
        <v>4.5</v>
      </c>
      <c r="U42" s="148"/>
      <c r="V42" s="163"/>
      <c r="Z42" s="148"/>
      <c r="AA42" s="163"/>
      <c r="AE42" s="148"/>
      <c r="AF42" s="163"/>
    </row>
    <row r="43" spans="2:32">
      <c r="B43" s="103">
        <f t="shared" si="10"/>
        <v>43</v>
      </c>
      <c r="C43" s="103">
        <f t="shared" si="11"/>
        <v>6</v>
      </c>
      <c r="D43" s="103">
        <f t="shared" si="12"/>
        <v>5</v>
      </c>
      <c r="E43" s="102" t="str">
        <f t="shared" si="13"/>
        <v>s43w6d5</v>
      </c>
      <c r="F43" s="151">
        <f t="shared" si="14"/>
        <v>40438</v>
      </c>
      <c r="G43" s="145">
        <f t="shared" si="15"/>
        <v>39</v>
      </c>
      <c r="H43" s="146">
        <f>IF(H42&gt;4.5,H42+VLOOKUP(CEILING(H42,1),Tables!$L$2:$M$14,2,FALSE),H42+VLOOKUP(FLOOR(H42,1),Tables!$L$2:$M$14,2,FALSE))</f>
        <v>4.5158730158730158</v>
      </c>
      <c r="I43" s="145">
        <f t="shared" si="16"/>
        <v>39</v>
      </c>
      <c r="K43" s="148">
        <f>IF(L42&lt;10,IF(L42&gt;4.5,L42+VLOOKUP(CEILING(L42,1),Tables!$L$2:$M$14,2,FALSE),L42+VLOOKUP(FLOOR(L42,1),Tables!$L$2:$M$14,2,FALSE)),10-(1/3))</f>
        <v>4.5158730158730158</v>
      </c>
      <c r="L43" s="163">
        <f t="shared" si="17"/>
        <v>4.5158730158730158</v>
      </c>
      <c r="N43" s="145">
        <f t="shared" si="18"/>
        <v>39</v>
      </c>
      <c r="P43" s="148">
        <f>IF(Q42&lt;10,IF(Q42&gt;4.5,Q42+VLOOKUP(CEILING(Q42,1),Tables!$L$2:$M$14,2,FALSE),Q42+VLOOKUP(FLOOR(Q42,1),Tables!$L$2:$M$14,2,FALSE)),10-(1/3))</f>
        <v>4.5158730158730158</v>
      </c>
      <c r="Q43" s="163">
        <f t="shared" si="19"/>
        <v>4.5158730158730158</v>
      </c>
      <c r="U43" s="148"/>
      <c r="V43" s="163"/>
      <c r="Z43" s="148"/>
      <c r="AA43" s="163"/>
      <c r="AE43" s="148"/>
      <c r="AF43" s="163"/>
    </row>
    <row r="44" spans="2:32">
      <c r="B44" s="103">
        <f t="shared" si="10"/>
        <v>43</v>
      </c>
      <c r="C44" s="103">
        <f t="shared" si="11"/>
        <v>6</v>
      </c>
      <c r="D44" s="103">
        <f t="shared" si="12"/>
        <v>6</v>
      </c>
      <c r="E44" s="102" t="str">
        <f t="shared" si="13"/>
        <v>s43w6d6</v>
      </c>
      <c r="F44" s="151">
        <f t="shared" si="14"/>
        <v>40439</v>
      </c>
      <c r="G44" s="145">
        <f t="shared" si="15"/>
        <v>40</v>
      </c>
      <c r="H44" s="146">
        <f>IF(H43&gt;4.5,H43+VLOOKUP(CEILING(H43,1),Tables!$L$2:$M$14,2,FALSE),H43+VLOOKUP(FLOOR(H43,1),Tables!$L$2:$M$14,2,FALSE))</f>
        <v>4.5</v>
      </c>
      <c r="I44" s="145">
        <f t="shared" si="16"/>
        <v>40</v>
      </c>
      <c r="K44" s="148">
        <f>IF(L43&lt;10,IF(L43&gt;4.5,L43+VLOOKUP(CEILING(L43,1),Tables!$L$2:$M$14,2,FALSE),L43+VLOOKUP(FLOOR(L43,1),Tables!$L$2:$M$14,2,FALSE)),10-(1/3))</f>
        <v>4.5</v>
      </c>
      <c r="L44" s="163">
        <f t="shared" si="17"/>
        <v>4.5</v>
      </c>
      <c r="N44" s="145">
        <f t="shared" si="18"/>
        <v>40</v>
      </c>
      <c r="P44" s="148">
        <f>IF(Q43&lt;10,IF(Q43&gt;4.5,Q43+VLOOKUP(CEILING(Q43,1),Tables!$L$2:$M$14,2,FALSE),Q43+VLOOKUP(FLOOR(Q43,1),Tables!$L$2:$M$14,2,FALSE)),10-(1/3))</f>
        <v>4.5</v>
      </c>
      <c r="Q44" s="163">
        <f t="shared" si="19"/>
        <v>4.5</v>
      </c>
      <c r="U44" s="148"/>
      <c r="V44" s="163"/>
      <c r="Z44" s="148"/>
      <c r="AA44" s="163"/>
      <c r="AE44" s="148"/>
      <c r="AF44" s="163"/>
    </row>
    <row r="45" spans="2:32">
      <c r="B45" s="103">
        <f t="shared" si="10"/>
        <v>43</v>
      </c>
      <c r="C45" s="103">
        <f t="shared" si="11"/>
        <v>6</v>
      </c>
      <c r="D45" s="103">
        <f t="shared" si="12"/>
        <v>7</v>
      </c>
      <c r="E45" s="102" t="str">
        <f t="shared" si="13"/>
        <v>s43w6d7</v>
      </c>
      <c r="F45" s="151">
        <f t="shared" si="14"/>
        <v>40440</v>
      </c>
      <c r="G45" s="145">
        <f t="shared" si="15"/>
        <v>41</v>
      </c>
      <c r="H45" s="146">
        <f>IF(H44&gt;4.5,H44+VLOOKUP(CEILING(H44,1),Tables!$L$2:$M$14,2,FALSE),H44+VLOOKUP(FLOOR(H44,1),Tables!$L$2:$M$14,2,FALSE))</f>
        <v>4.5158730158730158</v>
      </c>
      <c r="I45" s="145">
        <f t="shared" si="16"/>
        <v>41</v>
      </c>
      <c r="K45" s="148">
        <f>IF(L44&lt;10,IF(L44&gt;4.5,L44+VLOOKUP(CEILING(L44,1),Tables!$L$2:$M$14,2,FALSE),L44+VLOOKUP(FLOOR(L44,1),Tables!$L$2:$M$14,2,FALSE)),10-(1/3))</f>
        <v>4.5158730158730158</v>
      </c>
      <c r="L45" s="163">
        <f t="shared" si="17"/>
        <v>4.5158730158730158</v>
      </c>
      <c r="N45" s="145">
        <f t="shared" si="18"/>
        <v>41</v>
      </c>
      <c r="P45" s="148">
        <f>IF(Q44&lt;10,IF(Q44&gt;4.5,Q44+VLOOKUP(CEILING(Q44,1),Tables!$L$2:$M$14,2,FALSE),Q44+VLOOKUP(FLOOR(Q44,1),Tables!$L$2:$M$14,2,FALSE)),10-(1/3))</f>
        <v>4.5158730158730158</v>
      </c>
      <c r="Q45" s="163">
        <f t="shared" si="19"/>
        <v>4.5158730158730158</v>
      </c>
      <c r="U45" s="148"/>
      <c r="V45" s="163"/>
      <c r="Z45" s="148"/>
      <c r="AA45" s="163"/>
      <c r="AE45" s="148"/>
      <c r="AF45" s="163"/>
    </row>
    <row r="46" spans="2:32">
      <c r="B46" s="103">
        <f t="shared" si="10"/>
        <v>43</v>
      </c>
      <c r="C46" s="103">
        <f t="shared" si="11"/>
        <v>7</v>
      </c>
      <c r="D46" s="103">
        <f t="shared" si="12"/>
        <v>1</v>
      </c>
      <c r="E46" s="102" t="str">
        <f t="shared" si="13"/>
        <v>s43w7d1</v>
      </c>
      <c r="F46" s="151">
        <f t="shared" si="14"/>
        <v>40441</v>
      </c>
      <c r="G46" s="145">
        <f t="shared" si="15"/>
        <v>42</v>
      </c>
      <c r="H46" s="146">
        <f>IF(H45&gt;4.5,H45+VLOOKUP(CEILING(H45,1),Tables!$L$2:$M$14,2,FALSE),H45+VLOOKUP(FLOOR(H45,1),Tables!$L$2:$M$14,2,FALSE))</f>
        <v>4.5</v>
      </c>
      <c r="I46" s="145">
        <f t="shared" si="16"/>
        <v>42</v>
      </c>
      <c r="K46" s="148">
        <f>IF(L45&lt;10,IF(L45&gt;4.5,L45+VLOOKUP(CEILING(L45,1),Tables!$L$2:$M$14,2,FALSE),L45+VLOOKUP(FLOOR(L45,1),Tables!$L$2:$M$14,2,FALSE)),10-(1/3))</f>
        <v>4.5</v>
      </c>
      <c r="L46" s="163">
        <f t="shared" si="17"/>
        <v>4.5</v>
      </c>
      <c r="N46" s="145">
        <f t="shared" si="18"/>
        <v>42</v>
      </c>
      <c r="P46" s="148">
        <f>IF(Q45&lt;10,IF(Q45&gt;4.5,Q45+VLOOKUP(CEILING(Q45,1),Tables!$L$2:$M$14,2,FALSE),Q45+VLOOKUP(FLOOR(Q45,1),Tables!$L$2:$M$14,2,FALSE)),10-(1/3))</f>
        <v>4.5</v>
      </c>
      <c r="Q46" s="163">
        <f t="shared" si="19"/>
        <v>4.5</v>
      </c>
      <c r="U46" s="148"/>
      <c r="V46" s="163"/>
      <c r="Z46" s="148"/>
      <c r="AA46" s="163"/>
      <c r="AE46" s="148"/>
      <c r="AF46" s="163"/>
    </row>
    <row r="47" spans="2:32">
      <c r="B47" s="103">
        <f t="shared" si="10"/>
        <v>43</v>
      </c>
      <c r="C47" s="103">
        <f t="shared" si="11"/>
        <v>7</v>
      </c>
      <c r="D47" s="103">
        <f t="shared" si="12"/>
        <v>2</v>
      </c>
      <c r="E47" s="102" t="str">
        <f t="shared" si="13"/>
        <v>s43w7d2</v>
      </c>
      <c r="F47" s="151">
        <f t="shared" si="14"/>
        <v>40442</v>
      </c>
      <c r="G47" s="145">
        <f t="shared" si="15"/>
        <v>43</v>
      </c>
      <c r="H47" s="146">
        <f>IF(H46&gt;4.5,H46+VLOOKUP(CEILING(H46,1),Tables!$L$2:$M$14,2,FALSE),H46+VLOOKUP(FLOOR(H46,1),Tables!$L$2:$M$14,2,FALSE))</f>
        <v>4.5158730158730158</v>
      </c>
      <c r="I47" s="145">
        <f t="shared" si="16"/>
        <v>43</v>
      </c>
      <c r="K47" s="148">
        <f>IF(L46&lt;10,IF(L46&gt;4.5,L46+VLOOKUP(CEILING(L46,1),Tables!$L$2:$M$14,2,FALSE),L46+VLOOKUP(FLOOR(L46,1),Tables!$L$2:$M$14,2,FALSE)),10-(1/3))</f>
        <v>4.5158730158730158</v>
      </c>
      <c r="L47" s="163">
        <f t="shared" si="17"/>
        <v>4.5158730158730158</v>
      </c>
      <c r="N47" s="145">
        <f t="shared" si="18"/>
        <v>43</v>
      </c>
      <c r="P47" s="148">
        <f>IF(Q46&lt;10,IF(Q46&gt;4.5,Q46+VLOOKUP(CEILING(Q46,1),Tables!$L$2:$M$14,2,FALSE),Q46+VLOOKUP(FLOOR(Q46,1),Tables!$L$2:$M$14,2,FALSE)),10-(1/3))</f>
        <v>4.5158730158730158</v>
      </c>
      <c r="Q47" s="163">
        <f t="shared" si="19"/>
        <v>4.5158730158730158</v>
      </c>
      <c r="U47" s="148"/>
      <c r="V47" s="163"/>
      <c r="Z47" s="148"/>
      <c r="AA47" s="163"/>
      <c r="AE47" s="148"/>
      <c r="AF47" s="163"/>
    </row>
    <row r="48" spans="2:32">
      <c r="B48" s="103">
        <f t="shared" si="10"/>
        <v>43</v>
      </c>
      <c r="C48" s="103">
        <f t="shared" si="11"/>
        <v>7</v>
      </c>
      <c r="D48" s="103">
        <f t="shared" si="12"/>
        <v>3</v>
      </c>
      <c r="E48" s="102" t="str">
        <f t="shared" si="13"/>
        <v>s43w7d3</v>
      </c>
      <c r="F48" s="151">
        <f t="shared" si="14"/>
        <v>40443</v>
      </c>
      <c r="G48" s="145">
        <f t="shared" si="15"/>
        <v>44</v>
      </c>
      <c r="H48" s="146">
        <f>IF(H47&gt;4.5,H47+VLOOKUP(CEILING(H47,1),Tables!$L$2:$M$14,2,FALSE),H47+VLOOKUP(FLOOR(H47,1),Tables!$L$2:$M$14,2,FALSE))</f>
        <v>4.5</v>
      </c>
      <c r="I48" s="145">
        <f t="shared" si="16"/>
        <v>44</v>
      </c>
      <c r="K48" s="148">
        <f>IF(L47&lt;10,IF(L47&gt;4.5,L47+VLOOKUP(CEILING(L47,1),Tables!$L$2:$M$14,2,FALSE),L47+VLOOKUP(FLOOR(L47,1),Tables!$L$2:$M$14,2,FALSE)),10-(1/3))</f>
        <v>4.5</v>
      </c>
      <c r="L48" s="163">
        <f t="shared" si="17"/>
        <v>4.5</v>
      </c>
      <c r="N48" s="145">
        <f t="shared" si="18"/>
        <v>44</v>
      </c>
      <c r="P48" s="148">
        <f>IF(Q47&lt;10,IF(Q47&gt;4.5,Q47+VLOOKUP(CEILING(Q47,1),Tables!$L$2:$M$14,2,FALSE),Q47+VLOOKUP(FLOOR(Q47,1),Tables!$L$2:$M$14,2,FALSE)),10-(1/3))</f>
        <v>4.5</v>
      </c>
      <c r="Q48" s="163">
        <f t="shared" si="19"/>
        <v>4.5</v>
      </c>
      <c r="U48" s="148"/>
      <c r="V48" s="163"/>
      <c r="Z48" s="148"/>
      <c r="AA48" s="163"/>
      <c r="AE48" s="148"/>
      <c r="AF48" s="163"/>
    </row>
    <row r="49" spans="2:32">
      <c r="B49" s="103">
        <f t="shared" si="10"/>
        <v>43</v>
      </c>
      <c r="C49" s="103">
        <f t="shared" si="11"/>
        <v>7</v>
      </c>
      <c r="D49" s="103">
        <f t="shared" si="12"/>
        <v>4</v>
      </c>
      <c r="E49" s="102" t="str">
        <f t="shared" si="13"/>
        <v>s43w7d4</v>
      </c>
      <c r="F49" s="151">
        <f t="shared" si="14"/>
        <v>40444</v>
      </c>
      <c r="G49" s="145">
        <f t="shared" si="15"/>
        <v>45</v>
      </c>
      <c r="H49" s="146">
        <f>IF(H48&gt;4.5,H48+VLOOKUP(CEILING(H48,1),Tables!$L$2:$M$14,2,FALSE),H48+VLOOKUP(FLOOR(H48,1),Tables!$L$2:$M$14,2,FALSE))</f>
        <v>4.5158730158730158</v>
      </c>
      <c r="I49" s="145">
        <f t="shared" si="16"/>
        <v>45</v>
      </c>
      <c r="K49" s="148">
        <f>IF(L48&lt;10,IF(L48&gt;4.5,L48+VLOOKUP(CEILING(L48,1),Tables!$L$2:$M$14,2,FALSE),L48+VLOOKUP(FLOOR(L48,1),Tables!$L$2:$M$14,2,FALSE)),10-(1/3))</f>
        <v>4.5158730158730158</v>
      </c>
      <c r="L49" s="163">
        <f t="shared" si="17"/>
        <v>4.5158730158730158</v>
      </c>
      <c r="N49" s="145">
        <f t="shared" si="18"/>
        <v>45</v>
      </c>
      <c r="P49" s="148">
        <f>IF(Q48&lt;10,IF(Q48&gt;4.5,Q48+VLOOKUP(CEILING(Q48,1),Tables!$L$2:$M$14,2,FALSE),Q48+VLOOKUP(FLOOR(Q48,1),Tables!$L$2:$M$14,2,FALSE)),10-(1/3))</f>
        <v>4.5158730158730158</v>
      </c>
      <c r="Q49" s="163">
        <f t="shared" si="19"/>
        <v>4.5158730158730158</v>
      </c>
      <c r="U49" s="148"/>
      <c r="V49" s="163"/>
      <c r="Z49" s="148"/>
      <c r="AA49" s="163"/>
      <c r="AE49" s="148"/>
      <c r="AF49" s="163"/>
    </row>
    <row r="50" spans="2:32">
      <c r="B50" s="103">
        <f t="shared" si="10"/>
        <v>43</v>
      </c>
      <c r="C50" s="103">
        <f t="shared" si="11"/>
        <v>7</v>
      </c>
      <c r="D50" s="103">
        <f t="shared" si="12"/>
        <v>5</v>
      </c>
      <c r="E50" s="102" t="str">
        <f t="shared" si="13"/>
        <v>s43w7d5</v>
      </c>
      <c r="F50" s="151">
        <f t="shared" si="14"/>
        <v>40445</v>
      </c>
      <c r="G50" s="145">
        <f t="shared" si="15"/>
        <v>46</v>
      </c>
      <c r="H50" s="146">
        <f>IF(H49&gt;4.5,H49+VLOOKUP(CEILING(H49,1),Tables!$L$2:$M$14,2,FALSE),H49+VLOOKUP(FLOOR(H49,1),Tables!$L$2:$M$14,2,FALSE))</f>
        <v>4.5</v>
      </c>
      <c r="I50" s="145">
        <f t="shared" si="16"/>
        <v>46</v>
      </c>
      <c r="K50" s="148">
        <f>IF(L49&lt;10,IF(L49&gt;4.5,L49+VLOOKUP(CEILING(L49,1),Tables!$L$2:$M$14,2,FALSE),L49+VLOOKUP(FLOOR(L49,1),Tables!$L$2:$M$14,2,FALSE)),10-(1/3))</f>
        <v>4.5</v>
      </c>
      <c r="L50" s="163">
        <f t="shared" si="17"/>
        <v>4.5</v>
      </c>
      <c r="N50" s="145">
        <f t="shared" si="18"/>
        <v>46</v>
      </c>
      <c r="P50" s="148">
        <f>IF(Q49&lt;10,IF(Q49&gt;4.5,Q49+VLOOKUP(CEILING(Q49,1),Tables!$L$2:$M$14,2,FALSE),Q49+VLOOKUP(FLOOR(Q49,1),Tables!$L$2:$M$14,2,FALSE)),10-(1/3))</f>
        <v>4.5</v>
      </c>
      <c r="Q50" s="163">
        <f t="shared" si="19"/>
        <v>4.5</v>
      </c>
      <c r="U50" s="148"/>
      <c r="V50" s="163"/>
      <c r="Z50" s="148"/>
      <c r="AA50" s="163"/>
      <c r="AE50" s="148"/>
      <c r="AF50" s="163"/>
    </row>
    <row r="51" spans="2:32">
      <c r="B51" s="103">
        <f t="shared" si="10"/>
        <v>43</v>
      </c>
      <c r="C51" s="103">
        <f t="shared" si="11"/>
        <v>7</v>
      </c>
      <c r="D51" s="103">
        <f t="shared" si="12"/>
        <v>6</v>
      </c>
      <c r="E51" s="102" t="str">
        <f t="shared" si="13"/>
        <v>s43w7d6</v>
      </c>
      <c r="F51" s="151">
        <f t="shared" si="14"/>
        <v>40446</v>
      </c>
      <c r="G51" s="145">
        <f t="shared" si="15"/>
        <v>47</v>
      </c>
      <c r="H51" s="146">
        <f>IF(H50&gt;4.5,H50+VLOOKUP(CEILING(H50,1),Tables!$L$2:$M$14,2,FALSE),H50+VLOOKUP(FLOOR(H50,1),Tables!$L$2:$M$14,2,FALSE))</f>
        <v>4.5158730158730158</v>
      </c>
      <c r="I51" s="145">
        <f t="shared" si="16"/>
        <v>47</v>
      </c>
      <c r="K51" s="148">
        <f>IF(L50&lt;10,IF(L50&gt;4.5,L50+VLOOKUP(CEILING(L50,1),Tables!$L$2:$M$14,2,FALSE),L50+VLOOKUP(FLOOR(L50,1),Tables!$L$2:$M$14,2,FALSE)),10-(1/3))</f>
        <v>4.5158730158730158</v>
      </c>
      <c r="L51" s="163">
        <f t="shared" si="17"/>
        <v>4.5158730158730158</v>
      </c>
      <c r="N51" s="145">
        <f t="shared" si="18"/>
        <v>47</v>
      </c>
      <c r="P51" s="148">
        <f>IF(Q50&lt;10,IF(Q50&gt;4.5,Q50+VLOOKUP(CEILING(Q50,1),Tables!$L$2:$M$14,2,FALSE),Q50+VLOOKUP(FLOOR(Q50,1),Tables!$L$2:$M$14,2,FALSE)),10-(1/3))</f>
        <v>4.5158730158730158</v>
      </c>
      <c r="Q51" s="163">
        <f t="shared" si="19"/>
        <v>4.5158730158730158</v>
      </c>
      <c r="U51" s="148"/>
      <c r="V51" s="163"/>
      <c r="Z51" s="148"/>
      <c r="AA51" s="163"/>
      <c r="AE51" s="148"/>
      <c r="AF51" s="163"/>
    </row>
    <row r="52" spans="2:32">
      <c r="B52" s="103">
        <f t="shared" si="10"/>
        <v>43</v>
      </c>
      <c r="C52" s="103">
        <f t="shared" si="11"/>
        <v>7</v>
      </c>
      <c r="D52" s="103">
        <f t="shared" si="12"/>
        <v>7</v>
      </c>
      <c r="E52" s="102" t="str">
        <f t="shared" si="13"/>
        <v>s43w7d7</v>
      </c>
      <c r="F52" s="151">
        <f t="shared" si="14"/>
        <v>40447</v>
      </c>
      <c r="G52" s="145">
        <f t="shared" si="15"/>
        <v>48</v>
      </c>
      <c r="H52" s="146">
        <f>IF(H51&gt;4.5,H51+VLOOKUP(CEILING(H51,1),Tables!$L$2:$M$14,2,FALSE),H51+VLOOKUP(FLOOR(H51,1),Tables!$L$2:$M$14,2,FALSE))</f>
        <v>4.5</v>
      </c>
      <c r="I52" s="145">
        <f t="shared" si="16"/>
        <v>48</v>
      </c>
      <c r="K52" s="148">
        <f>IF(L51&lt;10,IF(L51&gt;4.5,L51+VLOOKUP(CEILING(L51,1),Tables!$L$2:$M$14,2,FALSE),L51+VLOOKUP(FLOOR(L51,1),Tables!$L$2:$M$14,2,FALSE)),10-(1/3))</f>
        <v>4.5</v>
      </c>
      <c r="L52" s="163">
        <f t="shared" si="17"/>
        <v>4.5</v>
      </c>
      <c r="N52" s="145">
        <f t="shared" si="18"/>
        <v>48</v>
      </c>
      <c r="P52" s="148">
        <f>IF(Q51&lt;10,IF(Q51&gt;4.5,Q51+VLOOKUP(CEILING(Q51,1),Tables!$L$2:$M$14,2,FALSE),Q51+VLOOKUP(FLOOR(Q51,1),Tables!$L$2:$M$14,2,FALSE)),10-(1/3))</f>
        <v>4.5</v>
      </c>
      <c r="Q52" s="163">
        <f t="shared" si="19"/>
        <v>4.5</v>
      </c>
      <c r="U52" s="148"/>
      <c r="V52" s="163"/>
      <c r="Z52" s="148"/>
      <c r="AA52" s="163"/>
      <c r="AE52" s="148"/>
      <c r="AF52" s="163"/>
    </row>
    <row r="53" spans="2:32">
      <c r="B53" s="103">
        <f t="shared" si="10"/>
        <v>43</v>
      </c>
      <c r="C53" s="103">
        <f t="shared" si="11"/>
        <v>8</v>
      </c>
      <c r="D53" s="103">
        <f t="shared" si="12"/>
        <v>1</v>
      </c>
      <c r="E53" s="102" t="str">
        <f t="shared" si="13"/>
        <v>s43w8d1</v>
      </c>
      <c r="F53" s="151">
        <f t="shared" si="14"/>
        <v>40448</v>
      </c>
      <c r="G53" s="145">
        <f t="shared" si="15"/>
        <v>49</v>
      </c>
      <c r="H53" s="146">
        <f>IF(H52&gt;4.5,H52+VLOOKUP(CEILING(H52,1),Tables!$L$2:$M$14,2,FALSE),H52+VLOOKUP(FLOOR(H52,1),Tables!$L$2:$M$14,2,FALSE))</f>
        <v>4.5158730158730158</v>
      </c>
      <c r="I53" s="145">
        <f t="shared" si="16"/>
        <v>49</v>
      </c>
      <c r="K53" s="148">
        <f>IF(L52&lt;10,IF(L52&gt;4.5,L52+VLOOKUP(CEILING(L52,1),Tables!$L$2:$M$14,2,FALSE),L52+VLOOKUP(FLOOR(L52,1),Tables!$L$2:$M$14,2,FALSE)),10-(1/3))</f>
        <v>4.5158730158730158</v>
      </c>
      <c r="L53" s="163">
        <f t="shared" si="17"/>
        <v>4.5158730158730158</v>
      </c>
      <c r="N53" s="145">
        <f t="shared" si="18"/>
        <v>49</v>
      </c>
      <c r="P53" s="148">
        <f>IF(Q52&lt;10,IF(Q52&gt;4.5,Q52+VLOOKUP(CEILING(Q52,1),Tables!$L$2:$M$14,2,FALSE),Q52+VLOOKUP(FLOOR(Q52,1),Tables!$L$2:$M$14,2,FALSE)),10-(1/3))</f>
        <v>4.5158730158730158</v>
      </c>
      <c r="Q53" s="163">
        <f t="shared" si="19"/>
        <v>4.5158730158730158</v>
      </c>
      <c r="U53" s="148"/>
      <c r="V53" s="163"/>
      <c r="Z53" s="148"/>
      <c r="AA53" s="163"/>
      <c r="AE53" s="148"/>
      <c r="AF53" s="163"/>
    </row>
    <row r="54" spans="2:32">
      <c r="B54" s="103">
        <f t="shared" si="10"/>
        <v>43</v>
      </c>
      <c r="C54" s="103">
        <f t="shared" si="11"/>
        <v>8</v>
      </c>
      <c r="D54" s="103">
        <f t="shared" si="12"/>
        <v>2</v>
      </c>
      <c r="E54" s="102" t="str">
        <f t="shared" si="13"/>
        <v>s43w8d2</v>
      </c>
      <c r="F54" s="151">
        <f t="shared" si="14"/>
        <v>40449</v>
      </c>
      <c r="G54" s="145">
        <f t="shared" si="15"/>
        <v>50</v>
      </c>
      <c r="H54" s="146">
        <f>IF(H53&gt;4.5,H53+VLOOKUP(CEILING(H53,1),Tables!$L$2:$M$14,2,FALSE),H53+VLOOKUP(FLOOR(H53,1),Tables!$L$2:$M$14,2,FALSE))</f>
        <v>4.5</v>
      </c>
      <c r="I54" s="145">
        <f t="shared" si="16"/>
        <v>50</v>
      </c>
      <c r="K54" s="148">
        <f>IF(L53&lt;10,IF(L53&gt;4.5,L53+VLOOKUP(CEILING(L53,1),Tables!$L$2:$M$14,2,FALSE),L53+VLOOKUP(FLOOR(L53,1),Tables!$L$2:$M$14,2,FALSE)),10-(1/3))</f>
        <v>4.5</v>
      </c>
      <c r="L54" s="163">
        <f t="shared" si="17"/>
        <v>4.5</v>
      </c>
      <c r="N54" s="145">
        <f t="shared" si="18"/>
        <v>50</v>
      </c>
      <c r="P54" s="148">
        <f>IF(Q53&lt;10,IF(Q53&gt;4.5,Q53+VLOOKUP(CEILING(Q53,1),Tables!$L$2:$M$14,2,FALSE),Q53+VLOOKUP(FLOOR(Q53,1),Tables!$L$2:$M$14,2,FALSE)),10-(1/3))</f>
        <v>4.5</v>
      </c>
      <c r="Q54" s="163">
        <f t="shared" si="19"/>
        <v>4.5</v>
      </c>
      <c r="U54" s="148"/>
      <c r="V54" s="163"/>
      <c r="Z54" s="148"/>
      <c r="AA54" s="163"/>
      <c r="AE54" s="148"/>
      <c r="AF54" s="163"/>
    </row>
    <row r="55" spans="2:32">
      <c r="B55" s="103">
        <f t="shared" si="10"/>
        <v>43</v>
      </c>
      <c r="C55" s="103">
        <f t="shared" si="11"/>
        <v>8</v>
      </c>
      <c r="D55" s="103">
        <f t="shared" si="12"/>
        <v>3</v>
      </c>
      <c r="E55" s="102" t="str">
        <f t="shared" si="13"/>
        <v>s43w8d3</v>
      </c>
      <c r="F55" s="151">
        <f t="shared" si="14"/>
        <v>40450</v>
      </c>
      <c r="G55" s="145">
        <f t="shared" si="15"/>
        <v>51</v>
      </c>
      <c r="H55" s="146">
        <f>IF(H54&gt;4.5,H54+VLOOKUP(CEILING(H54,1),Tables!$L$2:$M$14,2,FALSE),H54+VLOOKUP(FLOOR(H54,1),Tables!$L$2:$M$14,2,FALSE))</f>
        <v>4.5158730158730158</v>
      </c>
      <c r="I55" s="145">
        <f t="shared" si="16"/>
        <v>51</v>
      </c>
      <c r="K55" s="148">
        <f>IF(L54&lt;10,IF(L54&gt;4.5,L54+VLOOKUP(CEILING(L54,1),Tables!$L$2:$M$14,2,FALSE),L54+VLOOKUP(FLOOR(L54,1),Tables!$L$2:$M$14,2,FALSE)),10-(1/3))</f>
        <v>4.5158730158730158</v>
      </c>
      <c r="L55" s="163">
        <f t="shared" si="17"/>
        <v>4.5158730158730158</v>
      </c>
      <c r="N55" s="145">
        <f t="shared" si="18"/>
        <v>51</v>
      </c>
      <c r="O55" s="147" t="s">
        <v>451</v>
      </c>
      <c r="P55" s="148">
        <f>IF(Q54&lt;10,IF(Q54&gt;4.5,Q54+VLOOKUP(CEILING(Q54,1),Tables!$L$2:$M$14,2,FALSE),Q54+VLOOKUP(FLOOR(Q54,1),Tables!$L$2:$M$14,2,FALSE)),10-(1/3))</f>
        <v>4.5158730158730158</v>
      </c>
      <c r="Q55" s="163">
        <f t="shared" si="19"/>
        <v>6.0061111111111112</v>
      </c>
      <c r="U55" s="148"/>
      <c r="V55" s="163"/>
      <c r="Z55" s="148"/>
      <c r="AA55" s="163"/>
      <c r="AE55" s="148"/>
      <c r="AF55" s="163"/>
    </row>
    <row r="56" spans="2:32">
      <c r="B56" s="103">
        <f t="shared" si="10"/>
        <v>43</v>
      </c>
      <c r="C56" s="103">
        <f t="shared" si="11"/>
        <v>8</v>
      </c>
      <c r="D56" s="103">
        <f t="shared" si="12"/>
        <v>4</v>
      </c>
      <c r="E56" s="102" t="str">
        <f t="shared" si="13"/>
        <v>s43w8d4</v>
      </c>
      <c r="F56" s="151">
        <f t="shared" si="14"/>
        <v>40451</v>
      </c>
      <c r="G56" s="145">
        <f t="shared" si="15"/>
        <v>52</v>
      </c>
      <c r="H56" s="146">
        <f>IF(H55&gt;4.5,H55+VLOOKUP(CEILING(H55,1),Tables!$L$2:$M$14,2,FALSE),H55+VLOOKUP(FLOOR(H55,1),Tables!$L$2:$M$14,2,FALSE))</f>
        <v>4.5</v>
      </c>
      <c r="I56" s="145">
        <f t="shared" si="16"/>
        <v>52</v>
      </c>
      <c r="K56" s="148">
        <f>IF(L55&lt;10,IF(L55&gt;4.5,L55+VLOOKUP(CEILING(L55,1),Tables!$L$2:$M$14,2,FALSE),L55+VLOOKUP(FLOOR(L55,1),Tables!$L$2:$M$14,2,FALSE)),10-(1/3))</f>
        <v>4.5</v>
      </c>
      <c r="L56" s="163">
        <f t="shared" si="17"/>
        <v>4.5</v>
      </c>
      <c r="N56" s="145">
        <f t="shared" si="18"/>
        <v>52</v>
      </c>
      <c r="P56" s="148">
        <f>IF(Q55&lt;10,IF(Q55&gt;4.5,Q55+VLOOKUP(CEILING(Q55,1),Tables!$L$2:$M$14,2,FALSE),Q55+VLOOKUP(FLOOR(Q55,1),Tables!$L$2:$M$14,2,FALSE)),10-(1/3))</f>
        <v>5.9291880341880345</v>
      </c>
      <c r="Q56" s="163">
        <f t="shared" si="19"/>
        <v>5.9291880341880345</v>
      </c>
      <c r="U56" s="148"/>
      <c r="V56" s="163"/>
      <c r="Z56" s="148"/>
      <c r="AA56" s="163"/>
      <c r="AE56" s="148"/>
      <c r="AF56" s="163"/>
    </row>
    <row r="57" spans="2:32">
      <c r="B57" s="103">
        <f t="shared" si="10"/>
        <v>43</v>
      </c>
      <c r="C57" s="103">
        <f t="shared" si="11"/>
        <v>8</v>
      </c>
      <c r="D57" s="103">
        <f t="shared" si="12"/>
        <v>5</v>
      </c>
      <c r="E57" s="102" t="str">
        <f t="shared" si="13"/>
        <v>s43w8d5</v>
      </c>
      <c r="F57" s="151">
        <f t="shared" si="14"/>
        <v>40452</v>
      </c>
      <c r="G57" s="145">
        <f t="shared" si="15"/>
        <v>53</v>
      </c>
      <c r="H57" s="146">
        <f>IF(H56&gt;4.5,H56+VLOOKUP(CEILING(H56,1),Tables!$L$2:$M$14,2,FALSE),H56+VLOOKUP(FLOOR(H56,1),Tables!$L$2:$M$14,2,FALSE))</f>
        <v>4.5158730158730158</v>
      </c>
      <c r="I57" s="145">
        <f t="shared" si="16"/>
        <v>53</v>
      </c>
      <c r="K57" s="148">
        <f>IF(L56&lt;10,IF(L56&gt;4.5,L56+VLOOKUP(CEILING(L56,1),Tables!$L$2:$M$14,2,FALSE),L56+VLOOKUP(FLOOR(L56,1),Tables!$L$2:$M$14,2,FALSE)),10-(1/3))</f>
        <v>4.5158730158730158</v>
      </c>
      <c r="L57" s="163">
        <f t="shared" si="17"/>
        <v>4.5158730158730158</v>
      </c>
      <c r="N57" s="145">
        <f t="shared" si="18"/>
        <v>53</v>
      </c>
      <c r="P57" s="148">
        <f>IF(Q56&lt;10,IF(Q56&gt;4.5,Q56+VLOOKUP(CEILING(Q56,1),Tables!$L$2:$M$14,2,FALSE),Q56+VLOOKUP(FLOOR(Q56,1),Tables!$L$2:$M$14,2,FALSE)),10-(1/3))</f>
        <v>5.8988850038850043</v>
      </c>
      <c r="Q57" s="163">
        <f t="shared" si="19"/>
        <v>5.8988850038850043</v>
      </c>
      <c r="U57" s="148"/>
      <c r="V57" s="163"/>
      <c r="Z57" s="148"/>
      <c r="AA57" s="163"/>
      <c r="AE57" s="148"/>
      <c r="AF57" s="163"/>
    </row>
    <row r="58" spans="2:32">
      <c r="B58" s="103">
        <f t="shared" si="10"/>
        <v>43</v>
      </c>
      <c r="C58" s="103">
        <f t="shared" si="11"/>
        <v>8</v>
      </c>
      <c r="D58" s="103">
        <f t="shared" si="12"/>
        <v>6</v>
      </c>
      <c r="E58" s="102" t="str">
        <f t="shared" si="13"/>
        <v>s43w8d6</v>
      </c>
      <c r="F58" s="151">
        <f t="shared" si="14"/>
        <v>40453</v>
      </c>
      <c r="G58" s="145">
        <f t="shared" si="15"/>
        <v>54</v>
      </c>
      <c r="H58" s="146">
        <f>IF(H57&gt;4.5,H57+VLOOKUP(CEILING(H57,1),Tables!$L$2:$M$14,2,FALSE),H57+VLOOKUP(FLOOR(H57,1),Tables!$L$2:$M$14,2,FALSE))</f>
        <v>4.5</v>
      </c>
      <c r="I58" s="145">
        <f t="shared" si="16"/>
        <v>54</v>
      </c>
      <c r="K58" s="148">
        <f>IF(L57&lt;10,IF(L57&gt;4.5,L57+VLOOKUP(CEILING(L57,1),Tables!$L$2:$M$14,2,FALSE),L57+VLOOKUP(FLOOR(L57,1),Tables!$L$2:$M$14,2,FALSE)),10-(1/3))</f>
        <v>4.5</v>
      </c>
      <c r="L58" s="163">
        <f t="shared" si="17"/>
        <v>4.5</v>
      </c>
      <c r="N58" s="145">
        <f t="shared" si="18"/>
        <v>54</v>
      </c>
      <c r="P58" s="148">
        <f>IF(Q57&lt;10,IF(Q57&gt;4.5,Q57+VLOOKUP(CEILING(Q57,1),Tables!$L$2:$M$14,2,FALSE),Q57+VLOOKUP(FLOOR(Q57,1),Tables!$L$2:$M$14,2,FALSE)),10-(1/3))</f>
        <v>5.868581973581974</v>
      </c>
      <c r="Q58" s="163">
        <f t="shared" si="19"/>
        <v>5.868581973581974</v>
      </c>
      <c r="U58" s="148"/>
      <c r="V58" s="163"/>
      <c r="Z58" s="148"/>
      <c r="AA58" s="163"/>
      <c r="AE58" s="148"/>
      <c r="AF58" s="163"/>
    </row>
    <row r="59" spans="2:32">
      <c r="B59" s="103">
        <f t="shared" si="10"/>
        <v>43</v>
      </c>
      <c r="C59" s="103">
        <f t="shared" si="11"/>
        <v>8</v>
      </c>
      <c r="D59" s="103">
        <f t="shared" si="12"/>
        <v>7</v>
      </c>
      <c r="E59" s="102" t="str">
        <f t="shared" si="13"/>
        <v>s43w8d7</v>
      </c>
      <c r="F59" s="151">
        <f t="shared" si="14"/>
        <v>40454</v>
      </c>
      <c r="G59" s="145">
        <f t="shared" si="15"/>
        <v>55</v>
      </c>
      <c r="H59" s="146">
        <f>IF(H58&gt;4.5,H58+VLOOKUP(CEILING(H58,1),Tables!$L$2:$M$14,2,FALSE),H58+VLOOKUP(FLOOR(H58,1),Tables!$L$2:$M$14,2,FALSE))</f>
        <v>4.5158730158730158</v>
      </c>
      <c r="I59" s="145">
        <f t="shared" si="16"/>
        <v>55</v>
      </c>
      <c r="K59" s="148">
        <f>IF(L58&lt;10,IF(L58&gt;4.5,L58+VLOOKUP(CEILING(L58,1),Tables!$L$2:$M$14,2,FALSE),L58+VLOOKUP(FLOOR(L58,1),Tables!$L$2:$M$14,2,FALSE)),10-(1/3))</f>
        <v>4.5158730158730158</v>
      </c>
      <c r="L59" s="163">
        <f t="shared" si="17"/>
        <v>4.5158730158730158</v>
      </c>
      <c r="N59" s="145">
        <f t="shared" si="18"/>
        <v>55</v>
      </c>
      <c r="O59" s="147" t="s">
        <v>451</v>
      </c>
      <c r="P59" s="148">
        <f>IF(Q58&lt;10,IF(Q58&gt;4.5,Q58+VLOOKUP(CEILING(Q58,1),Tables!$L$2:$M$14,2,FALSE),Q58+VLOOKUP(FLOOR(Q58,1),Tables!$L$2:$M$14,2,FALSE)),10-(1/3))</f>
        <v>5.8382789432789437</v>
      </c>
      <c r="Q59" s="163">
        <f t="shared" si="19"/>
        <v>7.7649109945609958</v>
      </c>
      <c r="U59" s="148"/>
      <c r="V59" s="163"/>
      <c r="Z59" s="148"/>
      <c r="AA59" s="163"/>
      <c r="AE59" s="148"/>
      <c r="AF59" s="163"/>
    </row>
    <row r="60" spans="2:32">
      <c r="B60" s="103">
        <f t="shared" si="10"/>
        <v>43</v>
      </c>
      <c r="C60" s="103">
        <f t="shared" si="11"/>
        <v>9</v>
      </c>
      <c r="D60" s="103">
        <f t="shared" si="12"/>
        <v>1</v>
      </c>
      <c r="E60" s="102" t="str">
        <f t="shared" si="13"/>
        <v>s43w9d1</v>
      </c>
      <c r="F60" s="151">
        <f t="shared" si="14"/>
        <v>40455</v>
      </c>
      <c r="G60" s="145">
        <f t="shared" si="15"/>
        <v>56</v>
      </c>
      <c r="H60" s="146">
        <f>IF(H59&gt;4.5,H59+VLOOKUP(CEILING(H59,1),Tables!$L$2:$M$14,2,FALSE),H59+VLOOKUP(FLOOR(H59,1),Tables!$L$2:$M$14,2,FALSE))</f>
        <v>4.5</v>
      </c>
      <c r="I60" s="145">
        <f t="shared" si="16"/>
        <v>56</v>
      </c>
      <c r="K60" s="148">
        <f>IF(L59&lt;10,IF(L59&gt;4.5,L59+VLOOKUP(CEILING(L59,1),Tables!$L$2:$M$14,2,FALSE),L59+VLOOKUP(FLOOR(L59,1),Tables!$L$2:$M$14,2,FALSE)),10-(1/3))</f>
        <v>4.5</v>
      </c>
      <c r="L60" s="163">
        <f t="shared" si="17"/>
        <v>4.5</v>
      </c>
      <c r="N60" s="145">
        <f t="shared" si="18"/>
        <v>56</v>
      </c>
      <c r="P60" s="148">
        <f>IF(Q59&lt;10,IF(Q59&gt;4.5,Q59+VLOOKUP(CEILING(Q59,1),Tables!$L$2:$M$14,2,FALSE),Q59+VLOOKUP(FLOOR(Q59,1),Tables!$L$2:$M$14,2,FALSE)),10-(1/3))</f>
        <v>7.6220538517038525</v>
      </c>
      <c r="Q60" s="163">
        <f t="shared" si="19"/>
        <v>7.6220538517038525</v>
      </c>
      <c r="U60" s="148"/>
      <c r="V60" s="163"/>
      <c r="Z60" s="148"/>
      <c r="AA60" s="163"/>
      <c r="AE60" s="148"/>
      <c r="AF60" s="163"/>
    </row>
    <row r="61" spans="2:32">
      <c r="B61" s="103">
        <f t="shared" si="10"/>
        <v>43</v>
      </c>
      <c r="C61" s="103">
        <f t="shared" si="11"/>
        <v>9</v>
      </c>
      <c r="D61" s="103">
        <f t="shared" si="12"/>
        <v>2</v>
      </c>
      <c r="E61" s="102" t="str">
        <f t="shared" si="13"/>
        <v>s43w9d2</v>
      </c>
      <c r="F61" s="151">
        <f t="shared" si="14"/>
        <v>40456</v>
      </c>
      <c r="G61" s="145">
        <f t="shared" si="15"/>
        <v>57</v>
      </c>
      <c r="H61" s="146">
        <f>IF(H60&gt;4.5,H60+VLOOKUP(CEILING(H60,1),Tables!$L$2:$M$14,2,FALSE),H60+VLOOKUP(FLOOR(H60,1),Tables!$L$2:$M$14,2,FALSE))</f>
        <v>4.5158730158730158</v>
      </c>
      <c r="I61" s="145">
        <f t="shared" si="16"/>
        <v>57</v>
      </c>
      <c r="K61" s="148">
        <f>IF(L60&lt;10,IF(L60&gt;4.5,L60+VLOOKUP(CEILING(L60,1),Tables!$L$2:$M$14,2,FALSE),L60+VLOOKUP(FLOOR(L60,1),Tables!$L$2:$M$14,2,FALSE)),10-(1/3))</f>
        <v>4.5158730158730158</v>
      </c>
      <c r="L61" s="163">
        <f t="shared" si="17"/>
        <v>4.5158730158730158</v>
      </c>
      <c r="N61" s="145">
        <f t="shared" si="18"/>
        <v>57</v>
      </c>
      <c r="P61" s="148">
        <f>IF(Q60&lt;10,IF(Q60&gt;4.5,Q60+VLOOKUP(CEILING(Q60,1),Tables!$L$2:$M$14,2,FALSE),Q60+VLOOKUP(FLOOR(Q60,1),Tables!$L$2:$M$14,2,FALSE)),10-(1/3))</f>
        <v>7.4791967088467093</v>
      </c>
      <c r="Q61" s="163">
        <f t="shared" si="19"/>
        <v>7.4791967088467093</v>
      </c>
      <c r="U61" s="148"/>
      <c r="V61" s="163"/>
      <c r="Z61" s="148"/>
      <c r="AA61" s="163"/>
      <c r="AE61" s="148"/>
      <c r="AF61" s="163"/>
    </row>
    <row r="62" spans="2:32">
      <c r="B62" s="103">
        <f t="shared" si="10"/>
        <v>43</v>
      </c>
      <c r="C62" s="103">
        <f t="shared" si="11"/>
        <v>9</v>
      </c>
      <c r="D62" s="103">
        <f t="shared" si="12"/>
        <v>3</v>
      </c>
      <c r="E62" s="102" t="str">
        <f t="shared" si="13"/>
        <v>s43w9d3</v>
      </c>
      <c r="F62" s="151">
        <f t="shared" si="14"/>
        <v>40457</v>
      </c>
      <c r="G62" s="145">
        <f t="shared" si="15"/>
        <v>58</v>
      </c>
      <c r="H62" s="146">
        <f>IF(H61&gt;4.5,H61+VLOOKUP(CEILING(H61,1),Tables!$L$2:$M$14,2,FALSE),H61+VLOOKUP(FLOOR(H61,1),Tables!$L$2:$M$14,2,FALSE))</f>
        <v>4.5</v>
      </c>
      <c r="I62" s="145">
        <f t="shared" si="16"/>
        <v>58</v>
      </c>
      <c r="K62" s="148">
        <f>IF(L61&lt;10,IF(L61&gt;4.5,L61+VLOOKUP(CEILING(L61,1),Tables!$L$2:$M$14,2,FALSE),L61+VLOOKUP(FLOOR(L61,1),Tables!$L$2:$M$14,2,FALSE)),10-(1/3))</f>
        <v>4.5</v>
      </c>
      <c r="L62" s="163">
        <f t="shared" si="17"/>
        <v>4.5</v>
      </c>
      <c r="N62" s="145">
        <f t="shared" si="18"/>
        <v>58</v>
      </c>
      <c r="O62" s="147" t="s">
        <v>451</v>
      </c>
      <c r="P62" s="148">
        <f>IF(Q61&lt;10,IF(Q61&gt;4.5,Q61+VLOOKUP(CEILING(Q61,1),Tables!$L$2:$M$14,2,FALSE),Q61+VLOOKUP(FLOOR(Q61,1),Tables!$L$2:$M$14,2,FALSE)),10-(1/3))</f>
        <v>7.336339565989566</v>
      </c>
      <c r="Q62" s="163">
        <f t="shared" si="19"/>
        <v>9.7573316227661238</v>
      </c>
      <c r="U62" s="148"/>
      <c r="V62" s="163"/>
      <c r="Z62" s="148"/>
      <c r="AA62" s="163"/>
      <c r="AE62" s="148"/>
      <c r="AF62" s="163"/>
    </row>
    <row r="63" spans="2:32">
      <c r="B63" s="103">
        <f t="shared" si="10"/>
        <v>43</v>
      </c>
      <c r="C63" s="103">
        <f t="shared" si="11"/>
        <v>9</v>
      </c>
      <c r="D63" s="103">
        <f t="shared" si="12"/>
        <v>4</v>
      </c>
      <c r="E63" s="102" t="str">
        <f t="shared" si="13"/>
        <v>s43w9d4</v>
      </c>
      <c r="F63" s="151">
        <f t="shared" si="14"/>
        <v>40458</v>
      </c>
      <c r="G63" s="145">
        <f t="shared" si="15"/>
        <v>59</v>
      </c>
      <c r="H63" s="146">
        <f>IF(H62&gt;4.5,H62+VLOOKUP(CEILING(H62,1),Tables!$L$2:$M$14,2,FALSE),H62+VLOOKUP(FLOOR(H62,1),Tables!$L$2:$M$14,2,FALSE))</f>
        <v>4.5158730158730158</v>
      </c>
      <c r="I63" s="145">
        <f t="shared" si="16"/>
        <v>59</v>
      </c>
      <c r="K63" s="148">
        <f>IF(L62&lt;10,IF(L62&gt;4.5,L62+VLOOKUP(CEILING(L62,1),Tables!$L$2:$M$14,2,FALSE),L62+VLOOKUP(FLOOR(L62,1),Tables!$L$2:$M$14,2,FALSE)),10-(1/3))</f>
        <v>4.5158730158730158</v>
      </c>
      <c r="L63" s="163">
        <f t="shared" si="17"/>
        <v>4.5158730158730158</v>
      </c>
      <c r="N63" s="145">
        <f t="shared" si="18"/>
        <v>59</v>
      </c>
      <c r="P63" s="148">
        <f>IF(Q62&lt;10,IF(Q62&gt;4.5,Q62+VLOOKUP(CEILING(Q62,1),Tables!$L$2:$M$14,2,FALSE),Q62+VLOOKUP(FLOOR(Q62,1),Tables!$L$2:$M$14,2,FALSE)),10-(1/3))</f>
        <v>9.4239982894327898</v>
      </c>
      <c r="Q63" s="163">
        <f t="shared" si="19"/>
        <v>9.4239982894327898</v>
      </c>
      <c r="U63" s="148"/>
      <c r="V63" s="163"/>
      <c r="Z63" s="148"/>
      <c r="AA63" s="163"/>
      <c r="AE63" s="148"/>
      <c r="AF63" s="163"/>
    </row>
    <row r="64" spans="2:32">
      <c r="B64" s="103">
        <f t="shared" si="10"/>
        <v>43</v>
      </c>
      <c r="C64" s="103">
        <f t="shared" si="11"/>
        <v>9</v>
      </c>
      <c r="D64" s="103">
        <f t="shared" si="12"/>
        <v>5</v>
      </c>
      <c r="E64" s="102" t="str">
        <f t="shared" si="13"/>
        <v>s43w9d5</v>
      </c>
      <c r="F64" s="151">
        <f t="shared" si="14"/>
        <v>40459</v>
      </c>
      <c r="G64" s="145">
        <f t="shared" si="15"/>
        <v>60</v>
      </c>
      <c r="H64" s="146">
        <f>IF(H63&gt;4.5,H63+VLOOKUP(CEILING(H63,1),Tables!$L$2:$M$14,2,FALSE),H63+VLOOKUP(FLOOR(H63,1),Tables!$L$2:$M$14,2,FALSE))</f>
        <v>4.5</v>
      </c>
      <c r="I64" s="145">
        <f t="shared" si="16"/>
        <v>60</v>
      </c>
      <c r="K64" s="148">
        <f>IF(L63&lt;10,IF(L63&gt;4.5,L63+VLOOKUP(CEILING(L63,1),Tables!$L$2:$M$14,2,FALSE),L63+VLOOKUP(FLOOR(L63,1),Tables!$L$2:$M$14,2,FALSE)),10-(1/3))</f>
        <v>4.5</v>
      </c>
      <c r="L64" s="163">
        <f t="shared" si="17"/>
        <v>4.5</v>
      </c>
      <c r="N64" s="145">
        <f t="shared" si="18"/>
        <v>60</v>
      </c>
      <c r="P64" s="148">
        <f>IF(Q63&lt;10,IF(Q63&gt;4.5,Q63+VLOOKUP(CEILING(Q63,1),Tables!$L$2:$M$14,2,FALSE),Q63+VLOOKUP(FLOOR(Q63,1),Tables!$L$2:$M$14,2,FALSE)),10-(1/3))</f>
        <v>9.0906649560994559</v>
      </c>
      <c r="Q64" s="163">
        <f t="shared" si="19"/>
        <v>9.0906649560994559</v>
      </c>
      <c r="U64" s="148"/>
      <c r="V64" s="163"/>
      <c r="Z64" s="148"/>
      <c r="AA64" s="163"/>
      <c r="AE64" s="148"/>
      <c r="AF64" s="163"/>
    </row>
    <row r="65" spans="2:32">
      <c r="B65" s="103">
        <f t="shared" si="10"/>
        <v>43</v>
      </c>
      <c r="C65" s="103">
        <f t="shared" si="11"/>
        <v>9</v>
      </c>
      <c r="D65" s="103">
        <f t="shared" si="12"/>
        <v>6</v>
      </c>
      <c r="E65" s="102" t="str">
        <f t="shared" si="13"/>
        <v>s43w9d6</v>
      </c>
      <c r="F65" s="151">
        <f t="shared" si="14"/>
        <v>40460</v>
      </c>
      <c r="G65" s="145">
        <f t="shared" si="15"/>
        <v>61</v>
      </c>
      <c r="H65" s="146">
        <f>IF(H64&gt;4.5,H64+VLOOKUP(CEILING(H64,1),Tables!$L$2:$M$14,2,FALSE),H64+VLOOKUP(FLOOR(H64,1),Tables!$L$2:$M$14,2,FALSE))</f>
        <v>4.5158730158730158</v>
      </c>
      <c r="I65" s="145">
        <f t="shared" si="16"/>
        <v>61</v>
      </c>
      <c r="K65" s="148">
        <f>IF(L64&lt;10,IF(L64&gt;4.5,L64+VLOOKUP(CEILING(L64,1),Tables!$L$2:$M$14,2,FALSE),L64+VLOOKUP(FLOOR(L64,1),Tables!$L$2:$M$14,2,FALSE)),10-(1/3))</f>
        <v>4.5158730158730158</v>
      </c>
      <c r="L65" s="163">
        <f t="shared" si="17"/>
        <v>4.5158730158730158</v>
      </c>
      <c r="N65" s="145">
        <f t="shared" si="18"/>
        <v>61</v>
      </c>
      <c r="P65" s="148">
        <f>IF(Q64&lt;10,IF(Q64&gt;4.5,Q64+VLOOKUP(CEILING(Q64,1),Tables!$L$2:$M$14,2,FALSE),Q64+VLOOKUP(FLOOR(Q64,1),Tables!$L$2:$M$14,2,FALSE)),10-(1/3))</f>
        <v>8.757331622766122</v>
      </c>
      <c r="Q65" s="163">
        <f t="shared" si="19"/>
        <v>8.757331622766122</v>
      </c>
      <c r="U65" s="148"/>
      <c r="V65" s="163"/>
      <c r="Z65" s="148"/>
      <c r="AA65" s="163"/>
      <c r="AE65" s="148"/>
      <c r="AF65" s="163"/>
    </row>
    <row r="66" spans="2:32">
      <c r="B66" s="103">
        <f t="shared" si="10"/>
        <v>43</v>
      </c>
      <c r="C66" s="103">
        <f t="shared" si="11"/>
        <v>9</v>
      </c>
      <c r="D66" s="103">
        <f t="shared" si="12"/>
        <v>7</v>
      </c>
      <c r="E66" s="102" t="str">
        <f t="shared" si="13"/>
        <v>s43w9d7</v>
      </c>
      <c r="F66" s="151">
        <f t="shared" si="14"/>
        <v>40461</v>
      </c>
      <c r="G66" s="145">
        <f t="shared" si="15"/>
        <v>62</v>
      </c>
      <c r="H66" s="146">
        <f>IF(H65&gt;4.5,H65+VLOOKUP(CEILING(H65,1),Tables!$L$2:$M$14,2,FALSE),H65+VLOOKUP(FLOOR(H65,1),Tables!$L$2:$M$14,2,FALSE))</f>
        <v>4.5</v>
      </c>
      <c r="I66" s="145">
        <f t="shared" si="16"/>
        <v>62</v>
      </c>
      <c r="K66" s="148">
        <f>IF(L65&lt;10,IF(L65&gt;4.5,L65+VLOOKUP(CEILING(L65,1),Tables!$L$2:$M$14,2,FALSE),L65+VLOOKUP(FLOOR(L65,1),Tables!$L$2:$M$14,2,FALSE)),10-(1/3))</f>
        <v>4.5</v>
      </c>
      <c r="L66" s="163">
        <f t="shared" si="17"/>
        <v>4.5</v>
      </c>
      <c r="N66" s="145">
        <f t="shared" si="18"/>
        <v>62</v>
      </c>
      <c r="O66" s="147" t="s">
        <v>451</v>
      </c>
      <c r="P66" s="148">
        <f>IF(Q65&lt;10,IF(Q65&gt;4.5,Q65+VLOOKUP(CEILING(Q65,1),Tables!$L$2:$M$14,2,FALSE),Q65+VLOOKUP(FLOOR(Q65,1),Tables!$L$2:$M$14,2,FALSE)),10-(1/3))</f>
        <v>8.5573316227661227</v>
      </c>
      <c r="Q66" s="163">
        <f t="shared" si="19"/>
        <v>11.381251058278943</v>
      </c>
      <c r="U66" s="148"/>
      <c r="V66" s="163"/>
      <c r="Z66" s="148"/>
      <c r="AA66" s="163"/>
      <c r="AE66" s="148"/>
      <c r="AF66" s="163"/>
    </row>
    <row r="67" spans="2:32">
      <c r="B67" s="103">
        <f t="shared" si="10"/>
        <v>43</v>
      </c>
      <c r="C67" s="103">
        <f t="shared" si="11"/>
        <v>10</v>
      </c>
      <c r="D67" s="103">
        <f t="shared" si="12"/>
        <v>1</v>
      </c>
      <c r="E67" s="102" t="str">
        <f t="shared" si="13"/>
        <v>s43w10d1</v>
      </c>
      <c r="F67" s="151">
        <f t="shared" si="14"/>
        <v>40462</v>
      </c>
      <c r="G67" s="145">
        <f t="shared" si="15"/>
        <v>63</v>
      </c>
      <c r="H67" s="146">
        <f>IF(H66&gt;4.5,H66+VLOOKUP(CEILING(H66,1),Tables!$L$2:$M$14,2,FALSE),H66+VLOOKUP(FLOOR(H66,1),Tables!$L$2:$M$14,2,FALSE))</f>
        <v>4.5158730158730158</v>
      </c>
      <c r="I67" s="145">
        <f t="shared" si="16"/>
        <v>63</v>
      </c>
      <c r="K67" s="148">
        <f>IF(L66&lt;10,IF(L66&gt;4.5,L66+VLOOKUP(CEILING(L66,1),Tables!$L$2:$M$14,2,FALSE),L66+VLOOKUP(FLOOR(L66,1),Tables!$L$2:$M$14,2,FALSE)),10-(1/3))</f>
        <v>4.5158730158730158</v>
      </c>
      <c r="L67" s="163">
        <f t="shared" si="17"/>
        <v>4.5158730158730158</v>
      </c>
      <c r="N67" s="145">
        <f t="shared" si="18"/>
        <v>63</v>
      </c>
      <c r="P67" s="148">
        <f>IF(Q66&lt;10,IF(Q66&gt;4.5,Q66+VLOOKUP(CEILING(Q66,1),Tables!$L$2:$M$14,2,FALSE),Q66+VLOOKUP(FLOOR(Q66,1),Tables!$L$2:$M$14,2,FALSE)),10-(1/3))</f>
        <v>9.6666666666666661</v>
      </c>
      <c r="Q67" s="163">
        <f t="shared" si="19"/>
        <v>9.6666666666666661</v>
      </c>
      <c r="U67" s="148"/>
      <c r="V67" s="163"/>
      <c r="Z67" s="148"/>
      <c r="AA67" s="163"/>
      <c r="AE67" s="148"/>
      <c r="AF67" s="163"/>
    </row>
    <row r="68" spans="2:32">
      <c r="B68" s="103">
        <f t="shared" si="10"/>
        <v>43</v>
      </c>
      <c r="C68" s="103">
        <f t="shared" si="11"/>
        <v>10</v>
      </c>
      <c r="D68" s="103">
        <f t="shared" si="12"/>
        <v>2</v>
      </c>
      <c r="E68" s="102" t="str">
        <f t="shared" si="13"/>
        <v>s43w10d2</v>
      </c>
      <c r="F68" s="151">
        <f t="shared" si="14"/>
        <v>40463</v>
      </c>
      <c r="G68" s="145">
        <f t="shared" si="15"/>
        <v>64</v>
      </c>
      <c r="H68" s="146">
        <f>IF(H67&gt;4.5,H67+VLOOKUP(CEILING(H67,1),Tables!$L$2:$M$14,2,FALSE),H67+VLOOKUP(FLOOR(H67,1),Tables!$L$2:$M$14,2,FALSE))</f>
        <v>4.5</v>
      </c>
      <c r="I68" s="145">
        <f t="shared" si="16"/>
        <v>64</v>
      </c>
      <c r="K68" s="148">
        <f>IF(L67&lt;10,IF(L67&gt;4.5,L67+VLOOKUP(CEILING(L67,1),Tables!$L$2:$M$14,2,FALSE),L67+VLOOKUP(FLOOR(L67,1),Tables!$L$2:$M$14,2,FALSE)),10-(1/3))</f>
        <v>4.5</v>
      </c>
      <c r="L68" s="163">
        <f t="shared" si="17"/>
        <v>4.5</v>
      </c>
      <c r="N68" s="145">
        <f t="shared" si="18"/>
        <v>64</v>
      </c>
      <c r="P68" s="148">
        <f>IF(Q67&lt;10,IF(Q67&gt;4.5,Q67+VLOOKUP(CEILING(Q67,1),Tables!$L$2:$M$14,2,FALSE),Q67+VLOOKUP(FLOOR(Q67,1),Tables!$L$2:$M$14,2,FALSE)),10-(1/3))</f>
        <v>9.3333333333333321</v>
      </c>
      <c r="Q68" s="163">
        <f t="shared" si="19"/>
        <v>9.3333333333333321</v>
      </c>
      <c r="U68" s="148"/>
      <c r="V68" s="163"/>
      <c r="Z68" s="148"/>
      <c r="AA68" s="163"/>
      <c r="AE68" s="148"/>
      <c r="AF68" s="163"/>
    </row>
    <row r="69" spans="2:32">
      <c r="B69" s="103">
        <f t="shared" si="10"/>
        <v>43</v>
      </c>
      <c r="C69" s="103">
        <f t="shared" si="11"/>
        <v>10</v>
      </c>
      <c r="D69" s="103">
        <f t="shared" si="12"/>
        <v>3</v>
      </c>
      <c r="E69" s="102" t="str">
        <f t="shared" si="13"/>
        <v>s43w10d3</v>
      </c>
      <c r="F69" s="151">
        <f t="shared" si="14"/>
        <v>40464</v>
      </c>
      <c r="G69" s="145">
        <f t="shared" si="15"/>
        <v>65</v>
      </c>
      <c r="H69" s="146">
        <f>IF(H68&gt;4.5,H68+VLOOKUP(CEILING(H68,1),Tables!$L$2:$M$14,2,FALSE),H68+VLOOKUP(FLOOR(H68,1),Tables!$L$2:$M$14,2,FALSE))</f>
        <v>4.5158730158730158</v>
      </c>
      <c r="I69" s="145">
        <f t="shared" si="16"/>
        <v>65</v>
      </c>
      <c r="K69" s="148">
        <f>IF(L68&lt;10,IF(L68&gt;4.5,L68+VLOOKUP(CEILING(L68,1),Tables!$L$2:$M$14,2,FALSE),L68+VLOOKUP(FLOOR(L68,1),Tables!$L$2:$M$14,2,FALSE)),10-(1/3))</f>
        <v>4.5158730158730158</v>
      </c>
      <c r="L69" s="163">
        <f t="shared" si="17"/>
        <v>4.5158730158730158</v>
      </c>
      <c r="N69" s="145">
        <f t="shared" si="18"/>
        <v>65</v>
      </c>
      <c r="O69" s="147" t="s">
        <v>451</v>
      </c>
      <c r="P69" s="148">
        <f>IF(Q68&lt;10,IF(Q68&gt;4.5,Q68+VLOOKUP(CEILING(Q68,1),Tables!$L$2:$M$14,2,FALSE),Q68+VLOOKUP(FLOOR(Q68,1),Tables!$L$2:$M$14,2,FALSE)),10-(1/3))</f>
        <v>8.9999999999999982</v>
      </c>
      <c r="Q69" s="163">
        <f t="shared" si="19"/>
        <v>11.969999999999999</v>
      </c>
      <c r="U69" s="148"/>
      <c r="V69" s="163"/>
      <c r="Z69" s="148"/>
      <c r="AA69" s="163"/>
      <c r="AE69" s="148"/>
      <c r="AF69" s="163"/>
    </row>
    <row r="70" spans="2:32">
      <c r="B70" s="103">
        <f t="shared" si="10"/>
        <v>43</v>
      </c>
      <c r="C70" s="103">
        <f t="shared" si="11"/>
        <v>10</v>
      </c>
      <c r="D70" s="103">
        <f t="shared" si="12"/>
        <v>4</v>
      </c>
      <c r="E70" s="102" t="str">
        <f t="shared" si="13"/>
        <v>s43w10d4</v>
      </c>
      <c r="F70" s="151">
        <f t="shared" si="14"/>
        <v>40465</v>
      </c>
      <c r="G70" s="145">
        <f t="shared" si="15"/>
        <v>66</v>
      </c>
      <c r="H70" s="146">
        <f>IF(H69&gt;4.5,H69+VLOOKUP(CEILING(H69,1),Tables!$L$2:$M$14,2,FALSE),H69+VLOOKUP(FLOOR(H69,1),Tables!$L$2:$M$14,2,FALSE))</f>
        <v>4.5</v>
      </c>
      <c r="I70" s="145">
        <f t="shared" si="16"/>
        <v>66</v>
      </c>
      <c r="K70" s="148">
        <f>IF(L69&lt;10,IF(L69&gt;4.5,L69+VLOOKUP(CEILING(L69,1),Tables!$L$2:$M$14,2,FALSE),L69+VLOOKUP(FLOOR(L69,1),Tables!$L$2:$M$14,2,FALSE)),10-(1/3))</f>
        <v>4.5</v>
      </c>
      <c r="L70" s="163">
        <f t="shared" si="17"/>
        <v>4.5</v>
      </c>
      <c r="N70" s="145">
        <f t="shared" si="18"/>
        <v>66</v>
      </c>
      <c r="P70" s="148">
        <f>IF(Q69&lt;10,IF(Q69&gt;4.5,Q69+VLOOKUP(CEILING(Q69,1),Tables!$L$2:$M$14,2,FALSE),Q69+VLOOKUP(FLOOR(Q69,1),Tables!$L$2:$M$14,2,FALSE)),10-(1/3))</f>
        <v>9.6666666666666661</v>
      </c>
      <c r="Q70" s="163">
        <f t="shared" si="19"/>
        <v>9.6666666666666661</v>
      </c>
      <c r="U70" s="148"/>
      <c r="V70" s="163"/>
      <c r="Z70" s="148"/>
      <c r="AA70" s="163"/>
      <c r="AE70" s="148"/>
      <c r="AF70" s="163"/>
    </row>
    <row r="71" spans="2:32">
      <c r="B71" s="103">
        <f t="shared" si="10"/>
        <v>43</v>
      </c>
      <c r="C71" s="103">
        <f t="shared" si="11"/>
        <v>10</v>
      </c>
      <c r="D71" s="103">
        <f t="shared" si="12"/>
        <v>5</v>
      </c>
      <c r="E71" s="102" t="str">
        <f t="shared" si="13"/>
        <v>s43w10d5</v>
      </c>
      <c r="F71" s="151">
        <f t="shared" si="14"/>
        <v>40466</v>
      </c>
      <c r="G71" s="145">
        <f t="shared" si="15"/>
        <v>67</v>
      </c>
      <c r="H71" s="146">
        <f>IF(H70&gt;4.5,H70+VLOOKUP(CEILING(H70,1),Tables!$L$2:$M$14,2,FALSE),H70+VLOOKUP(FLOOR(H70,1),Tables!$L$2:$M$14,2,FALSE))</f>
        <v>4.5158730158730158</v>
      </c>
      <c r="I71" s="145">
        <f t="shared" si="16"/>
        <v>67</v>
      </c>
      <c r="K71" s="148">
        <f>IF(L70&lt;10,IF(L70&gt;4.5,L70+VLOOKUP(CEILING(L70,1),Tables!$L$2:$M$14,2,FALSE),L70+VLOOKUP(FLOOR(L70,1),Tables!$L$2:$M$14,2,FALSE)),10-(1/3))</f>
        <v>4.5158730158730158</v>
      </c>
      <c r="L71" s="163">
        <f t="shared" si="17"/>
        <v>4.5158730158730158</v>
      </c>
      <c r="N71" s="145">
        <f t="shared" si="18"/>
        <v>67</v>
      </c>
      <c r="P71" s="148">
        <f>IF(Q70&lt;10,IF(Q70&gt;4.5,Q70+VLOOKUP(CEILING(Q70,1),Tables!$L$2:$M$14,2,FALSE),Q70+VLOOKUP(FLOOR(Q70,1),Tables!$L$2:$M$14,2,FALSE)),10-(1/3))</f>
        <v>9.3333333333333321</v>
      </c>
      <c r="Q71" s="163">
        <f t="shared" si="19"/>
        <v>9.3333333333333321</v>
      </c>
      <c r="U71" s="148"/>
      <c r="V71" s="163"/>
      <c r="Z71" s="148"/>
      <c r="AA71" s="163"/>
      <c r="AE71" s="148"/>
      <c r="AF71" s="163"/>
    </row>
    <row r="72" spans="2:32">
      <c r="B72" s="103">
        <f t="shared" si="10"/>
        <v>43</v>
      </c>
      <c r="C72" s="103">
        <f t="shared" si="11"/>
        <v>10</v>
      </c>
      <c r="D72" s="103">
        <f t="shared" si="12"/>
        <v>6</v>
      </c>
      <c r="E72" s="102" t="str">
        <f t="shared" si="13"/>
        <v>s43w10d6</v>
      </c>
      <c r="F72" s="151">
        <f t="shared" si="14"/>
        <v>40467</v>
      </c>
      <c r="G72" s="145">
        <f t="shared" si="15"/>
        <v>68</v>
      </c>
      <c r="H72" s="146">
        <f>IF(H71&gt;4.5,H71+VLOOKUP(CEILING(H71,1),Tables!$L$2:$M$14,2,FALSE),H71+VLOOKUP(FLOOR(H71,1),Tables!$L$2:$M$14,2,FALSE))</f>
        <v>4.5</v>
      </c>
      <c r="I72" s="145">
        <f t="shared" si="16"/>
        <v>68</v>
      </c>
      <c r="K72" s="148">
        <f>IF(L71&lt;10,IF(L71&gt;4.5,L71+VLOOKUP(CEILING(L71,1),Tables!$L$2:$M$14,2,FALSE),L71+VLOOKUP(FLOOR(L71,1),Tables!$L$2:$M$14,2,FALSE)),10-(1/3))</f>
        <v>4.5</v>
      </c>
      <c r="L72" s="163">
        <f t="shared" si="17"/>
        <v>4.5</v>
      </c>
      <c r="N72" s="145">
        <f t="shared" si="18"/>
        <v>68</v>
      </c>
      <c r="P72" s="148">
        <f>IF(Q71&lt;10,IF(Q71&gt;4.5,Q71+VLOOKUP(CEILING(Q71,1),Tables!$L$2:$M$14,2,FALSE),Q71+VLOOKUP(FLOOR(Q71,1),Tables!$L$2:$M$14,2,FALSE)),10-(1/3))</f>
        <v>8.9999999999999982</v>
      </c>
      <c r="Q72" s="163">
        <f t="shared" si="19"/>
        <v>8.9999999999999982</v>
      </c>
      <c r="U72" s="148"/>
      <c r="V72" s="163"/>
      <c r="Z72" s="148"/>
      <c r="AA72" s="163"/>
      <c r="AE72" s="148"/>
      <c r="AF72" s="163"/>
    </row>
    <row r="73" spans="2:32">
      <c r="B73" s="103">
        <f t="shared" si="10"/>
        <v>43</v>
      </c>
      <c r="C73" s="103">
        <f t="shared" si="11"/>
        <v>10</v>
      </c>
      <c r="D73" s="103">
        <f t="shared" si="12"/>
        <v>7</v>
      </c>
      <c r="E73" s="102" t="str">
        <f t="shared" si="13"/>
        <v>s43w10d7</v>
      </c>
      <c r="F73" s="151">
        <f t="shared" si="14"/>
        <v>40468</v>
      </c>
      <c r="G73" s="145">
        <f t="shared" si="15"/>
        <v>69</v>
      </c>
      <c r="H73" s="146">
        <f>IF(H72&gt;4.5,H72+VLOOKUP(CEILING(H72,1),Tables!$L$2:$M$14,2,FALSE),H72+VLOOKUP(FLOOR(H72,1),Tables!$L$2:$M$14,2,FALSE))</f>
        <v>4.5158730158730158</v>
      </c>
      <c r="I73" s="145">
        <f t="shared" si="16"/>
        <v>69</v>
      </c>
      <c r="K73" s="148">
        <f>IF(L72&lt;10,IF(L72&gt;4.5,L72+VLOOKUP(CEILING(L72,1),Tables!$L$2:$M$14,2,FALSE),L72+VLOOKUP(FLOOR(L72,1),Tables!$L$2:$M$14,2,FALSE)),10-(1/3))</f>
        <v>4.5158730158730158</v>
      </c>
      <c r="L73" s="163">
        <f t="shared" si="17"/>
        <v>4.5158730158730158</v>
      </c>
      <c r="N73" s="145">
        <f t="shared" si="18"/>
        <v>69</v>
      </c>
      <c r="P73" s="148">
        <f>IF(Q72&lt;10,IF(Q72&gt;4.5,Q72+VLOOKUP(CEILING(Q72,1),Tables!$L$2:$M$14,2,FALSE),Q72+VLOOKUP(FLOOR(Q72,1),Tables!$L$2:$M$14,2,FALSE)),10-(1/3))</f>
        <v>8.7999999999999989</v>
      </c>
      <c r="Q73" s="163">
        <f t="shared" si="19"/>
        <v>8.7999999999999989</v>
      </c>
      <c r="U73" s="148"/>
      <c r="V73" s="163"/>
      <c r="Z73" s="148"/>
      <c r="AA73" s="163"/>
      <c r="AE73" s="148"/>
      <c r="AF73" s="163"/>
    </row>
    <row r="74" spans="2:32">
      <c r="B74" s="103">
        <f t="shared" si="10"/>
        <v>43</v>
      </c>
      <c r="C74" s="103">
        <f t="shared" si="11"/>
        <v>11</v>
      </c>
      <c r="D74" s="103">
        <f t="shared" si="12"/>
        <v>1</v>
      </c>
      <c r="E74" s="102" t="str">
        <f t="shared" si="13"/>
        <v>s43w11d1</v>
      </c>
      <c r="F74" s="151">
        <f t="shared" si="14"/>
        <v>40469</v>
      </c>
      <c r="G74" s="145">
        <f t="shared" si="15"/>
        <v>70</v>
      </c>
      <c r="H74" s="146">
        <f>IF(H73&gt;4.5,H73+VLOOKUP(CEILING(H73,1),Tables!$L$2:$M$14,2,FALSE),H73+VLOOKUP(FLOOR(H73,1),Tables!$L$2:$M$14,2,FALSE))</f>
        <v>4.5</v>
      </c>
      <c r="I74" s="145">
        <f t="shared" si="16"/>
        <v>70</v>
      </c>
      <c r="K74" s="148">
        <f>IF(L73&lt;10,IF(L73&gt;4.5,L73+VLOOKUP(CEILING(L73,1),Tables!$L$2:$M$14,2,FALSE),L73+VLOOKUP(FLOOR(L73,1),Tables!$L$2:$M$14,2,FALSE)),10-(1/3))</f>
        <v>4.5</v>
      </c>
      <c r="L74" s="163">
        <f t="shared" si="17"/>
        <v>4.5</v>
      </c>
      <c r="N74" s="145">
        <f t="shared" si="18"/>
        <v>70</v>
      </c>
      <c r="P74" s="148">
        <f>IF(Q73&lt;10,IF(Q73&gt;4.5,Q73+VLOOKUP(CEILING(Q73,1),Tables!$L$2:$M$14,2,FALSE),Q73+VLOOKUP(FLOOR(Q73,1),Tables!$L$2:$M$14,2,FALSE)),10-(1/3))</f>
        <v>8.6</v>
      </c>
      <c r="Q74" s="163">
        <f t="shared" si="19"/>
        <v>8.6</v>
      </c>
      <c r="U74" s="148"/>
      <c r="V74" s="163"/>
      <c r="Z74" s="148"/>
      <c r="AA74" s="163"/>
      <c r="AE74" s="148"/>
      <c r="AF74" s="163"/>
    </row>
    <row r="75" spans="2:32">
      <c r="B75" s="103">
        <f t="shared" si="10"/>
        <v>43</v>
      </c>
      <c r="C75" s="103">
        <f t="shared" si="11"/>
        <v>11</v>
      </c>
      <c r="D75" s="103">
        <f t="shared" si="12"/>
        <v>2</v>
      </c>
      <c r="E75" s="102" t="str">
        <f t="shared" si="13"/>
        <v>s43w11d2</v>
      </c>
      <c r="F75" s="151">
        <f t="shared" si="14"/>
        <v>40470</v>
      </c>
      <c r="G75" s="145">
        <f t="shared" si="15"/>
        <v>71</v>
      </c>
      <c r="H75" s="146">
        <f>IF(H74&gt;4.5,H74+VLOOKUP(CEILING(H74,1),Tables!$L$2:$M$14,2,FALSE),H74+VLOOKUP(FLOOR(H74,1),Tables!$L$2:$M$14,2,FALSE))</f>
        <v>4.5158730158730158</v>
      </c>
      <c r="I75" s="145">
        <f t="shared" si="16"/>
        <v>71</v>
      </c>
      <c r="K75" s="148">
        <f>IF(L74&lt;10,IF(L74&gt;4.5,L74+VLOOKUP(CEILING(L74,1),Tables!$L$2:$M$14,2,FALSE),L74+VLOOKUP(FLOOR(L74,1),Tables!$L$2:$M$14,2,FALSE)),10-(1/3))</f>
        <v>4.5158730158730158</v>
      </c>
      <c r="L75" s="163">
        <f t="shared" si="17"/>
        <v>4.5158730158730158</v>
      </c>
      <c r="N75" s="145">
        <f t="shared" si="18"/>
        <v>71</v>
      </c>
      <c r="P75" s="148">
        <f>IF(Q74&lt;10,IF(Q74&gt;4.5,Q74+VLOOKUP(CEILING(Q74,1),Tables!$L$2:$M$14,2,FALSE),Q74+VLOOKUP(FLOOR(Q74,1),Tables!$L$2:$M$14,2,FALSE)),10-(1/3))</f>
        <v>8.4</v>
      </c>
      <c r="Q75" s="163">
        <f t="shared" si="19"/>
        <v>8.4</v>
      </c>
      <c r="U75" s="148"/>
      <c r="V75" s="163"/>
      <c r="Z75" s="148"/>
      <c r="AA75" s="163"/>
      <c r="AE75" s="148"/>
      <c r="AF75" s="163"/>
    </row>
    <row r="76" spans="2:32">
      <c r="B76" s="103">
        <f t="shared" si="10"/>
        <v>43</v>
      </c>
      <c r="C76" s="103">
        <f t="shared" si="11"/>
        <v>11</v>
      </c>
      <c r="D76" s="103">
        <f t="shared" si="12"/>
        <v>3</v>
      </c>
      <c r="E76" s="102" t="str">
        <f t="shared" si="13"/>
        <v>s43w11d3</v>
      </c>
      <c r="F76" s="151">
        <f t="shared" si="14"/>
        <v>40471</v>
      </c>
      <c r="G76" s="145">
        <f t="shared" si="15"/>
        <v>72</v>
      </c>
      <c r="H76" s="146">
        <f>IF(H75&gt;4.5,H75+VLOOKUP(CEILING(H75,1),Tables!$L$2:$M$14,2,FALSE),H75+VLOOKUP(FLOOR(H75,1),Tables!$L$2:$M$14,2,FALSE))</f>
        <v>4.5</v>
      </c>
      <c r="I76" s="145">
        <f t="shared" si="16"/>
        <v>72</v>
      </c>
      <c r="K76" s="148">
        <f>IF(L75&lt;10,IF(L75&gt;4.5,L75+VLOOKUP(CEILING(L75,1),Tables!$L$2:$M$14,2,FALSE),L75+VLOOKUP(FLOOR(L75,1),Tables!$L$2:$M$14,2,FALSE)),10-(1/3))</f>
        <v>4.5</v>
      </c>
      <c r="L76" s="163">
        <f t="shared" si="17"/>
        <v>4.5</v>
      </c>
      <c r="N76" s="145">
        <f t="shared" si="18"/>
        <v>72</v>
      </c>
      <c r="P76" s="148">
        <f>IF(Q75&lt;10,IF(Q75&gt;4.5,Q75+VLOOKUP(CEILING(Q75,1),Tables!$L$2:$M$14,2,FALSE),Q75+VLOOKUP(FLOOR(Q75,1),Tables!$L$2:$M$14,2,FALSE)),10-(1/3))</f>
        <v>8.2000000000000011</v>
      </c>
      <c r="Q76" s="163">
        <f t="shared" si="19"/>
        <v>8.2000000000000011</v>
      </c>
      <c r="U76" s="148"/>
      <c r="V76" s="163"/>
      <c r="Z76" s="148"/>
      <c r="AA76" s="163"/>
      <c r="AE76" s="148"/>
      <c r="AF76" s="163"/>
    </row>
    <row r="77" spans="2:32">
      <c r="B77" s="103">
        <f t="shared" si="10"/>
        <v>43</v>
      </c>
      <c r="C77" s="103">
        <f t="shared" si="11"/>
        <v>11</v>
      </c>
      <c r="D77" s="103">
        <f t="shared" si="12"/>
        <v>4</v>
      </c>
      <c r="E77" s="102" t="str">
        <f t="shared" si="13"/>
        <v>s43w11d4</v>
      </c>
      <c r="F77" s="151">
        <f t="shared" si="14"/>
        <v>40472</v>
      </c>
      <c r="G77" s="145">
        <f t="shared" si="15"/>
        <v>73</v>
      </c>
      <c r="H77" s="146">
        <f>IF(H76&gt;4.5,H76+VLOOKUP(CEILING(H76,1),Tables!$L$2:$M$14,2,FALSE),H76+VLOOKUP(FLOOR(H76,1),Tables!$L$2:$M$14,2,FALSE))</f>
        <v>4.5158730158730158</v>
      </c>
      <c r="I77" s="145">
        <f t="shared" si="16"/>
        <v>73</v>
      </c>
      <c r="K77" s="148">
        <f>IF(L76&lt;10,IF(L76&gt;4.5,L76+VLOOKUP(CEILING(L76,1),Tables!$L$2:$M$14,2,FALSE),L76+VLOOKUP(FLOOR(L76,1),Tables!$L$2:$M$14,2,FALSE)),10-(1/3))</f>
        <v>4.5158730158730158</v>
      </c>
      <c r="L77" s="163">
        <f t="shared" si="17"/>
        <v>4.5158730158730158</v>
      </c>
      <c r="N77" s="145">
        <f t="shared" si="18"/>
        <v>73</v>
      </c>
      <c r="P77" s="148">
        <f>IF(Q76&lt;10,IF(Q76&gt;4.5,Q76+VLOOKUP(CEILING(Q76,1),Tables!$L$2:$M$14,2,FALSE),Q76+VLOOKUP(FLOOR(Q76,1),Tables!$L$2:$M$14,2,FALSE)),10-(1/3))</f>
        <v>8.0000000000000018</v>
      </c>
      <c r="Q77" s="163">
        <f t="shared" si="19"/>
        <v>8.0000000000000018</v>
      </c>
      <c r="U77" s="148"/>
      <c r="V77" s="163"/>
      <c r="Z77" s="148"/>
      <c r="AA77" s="163"/>
      <c r="AE77" s="148"/>
      <c r="AF77" s="163"/>
    </row>
    <row r="78" spans="2:32">
      <c r="B78" s="103">
        <f t="shared" si="10"/>
        <v>43</v>
      </c>
      <c r="C78" s="103">
        <f t="shared" si="11"/>
        <v>11</v>
      </c>
      <c r="D78" s="103">
        <f t="shared" si="12"/>
        <v>5</v>
      </c>
      <c r="E78" s="102" t="str">
        <f t="shared" si="13"/>
        <v>s43w11d5</v>
      </c>
      <c r="F78" s="151">
        <f t="shared" si="14"/>
        <v>40473</v>
      </c>
      <c r="G78" s="145">
        <f t="shared" si="15"/>
        <v>74</v>
      </c>
      <c r="H78" s="146">
        <f>IF(H77&gt;4.5,H77+VLOOKUP(CEILING(H77,1),Tables!$L$2:$M$14,2,FALSE),H77+VLOOKUP(FLOOR(H77,1),Tables!$L$2:$M$14,2,FALSE))</f>
        <v>4.5</v>
      </c>
      <c r="I78" s="145">
        <f t="shared" si="16"/>
        <v>74</v>
      </c>
      <c r="K78" s="148">
        <f>IF(L77&lt;10,IF(L77&gt;4.5,L77+VLOOKUP(CEILING(L77,1),Tables!$L$2:$M$14,2,FALSE),L77+VLOOKUP(FLOOR(L77,1),Tables!$L$2:$M$14,2,FALSE)),10-(1/3))</f>
        <v>4.5</v>
      </c>
      <c r="L78" s="163">
        <f t="shared" si="17"/>
        <v>4.5</v>
      </c>
      <c r="N78" s="145">
        <f t="shared" si="18"/>
        <v>74</v>
      </c>
      <c r="P78" s="148">
        <f>IF(Q77&lt;10,IF(Q77&gt;4.5,Q77+VLOOKUP(CEILING(Q77,1),Tables!$L$2:$M$14,2,FALSE),Q77+VLOOKUP(FLOOR(Q77,1),Tables!$L$2:$M$14,2,FALSE)),10-(1/3))</f>
        <v>7.8571428571428585</v>
      </c>
      <c r="Q78" s="163">
        <f t="shared" si="19"/>
        <v>7.8571428571428585</v>
      </c>
      <c r="U78" s="148"/>
      <c r="V78" s="163"/>
      <c r="Z78" s="148"/>
      <c r="AA78" s="163"/>
      <c r="AE78" s="148"/>
      <c r="AF78" s="163"/>
    </row>
    <row r="79" spans="2:32">
      <c r="B79" s="103">
        <f t="shared" si="10"/>
        <v>43</v>
      </c>
      <c r="C79" s="103">
        <f t="shared" si="11"/>
        <v>11</v>
      </c>
      <c r="D79" s="103">
        <f t="shared" si="12"/>
        <v>6</v>
      </c>
      <c r="E79" s="102" t="str">
        <f t="shared" si="13"/>
        <v>s43w11d6</v>
      </c>
      <c r="F79" s="151">
        <f t="shared" si="14"/>
        <v>40474</v>
      </c>
      <c r="G79" s="145">
        <f t="shared" si="15"/>
        <v>75</v>
      </c>
      <c r="H79" s="146">
        <f>IF(H78&gt;4.5,H78+VLOOKUP(CEILING(H78,1),Tables!$L$2:$M$14,2,FALSE),H78+VLOOKUP(FLOOR(H78,1),Tables!$L$2:$M$14,2,FALSE))</f>
        <v>4.5158730158730158</v>
      </c>
      <c r="I79" s="145">
        <f t="shared" si="16"/>
        <v>75</v>
      </c>
      <c r="K79" s="148">
        <f>IF(L78&lt;10,IF(L78&gt;4.5,L78+VLOOKUP(CEILING(L78,1),Tables!$L$2:$M$14,2,FALSE),L78+VLOOKUP(FLOOR(L78,1),Tables!$L$2:$M$14,2,FALSE)),10-(1/3))</f>
        <v>4.5158730158730158</v>
      </c>
      <c r="L79" s="163">
        <f t="shared" si="17"/>
        <v>4.5158730158730158</v>
      </c>
      <c r="N79" s="145">
        <f t="shared" si="18"/>
        <v>75</v>
      </c>
      <c r="P79" s="148">
        <f>IF(Q78&lt;10,IF(Q78&gt;4.5,Q78+VLOOKUP(CEILING(Q78,1),Tables!$L$2:$M$14,2,FALSE),Q78+VLOOKUP(FLOOR(Q78,1),Tables!$L$2:$M$14,2,FALSE)),10-(1/3))</f>
        <v>7.7142857142857153</v>
      </c>
      <c r="Q79" s="163">
        <f t="shared" si="19"/>
        <v>7.7142857142857153</v>
      </c>
      <c r="U79" s="148"/>
      <c r="V79" s="163"/>
      <c r="Z79" s="148"/>
      <c r="AA79" s="163"/>
      <c r="AE79" s="148"/>
      <c r="AF79" s="163"/>
    </row>
    <row r="80" spans="2:32">
      <c r="B80" s="103">
        <f t="shared" si="10"/>
        <v>43</v>
      </c>
      <c r="C80" s="103">
        <f t="shared" si="11"/>
        <v>11</v>
      </c>
      <c r="D80" s="103">
        <f t="shared" si="12"/>
        <v>7</v>
      </c>
      <c r="E80" s="102" t="str">
        <f t="shared" si="13"/>
        <v>s43w11d7</v>
      </c>
      <c r="F80" s="151">
        <f t="shared" si="14"/>
        <v>40475</v>
      </c>
      <c r="G80" s="145">
        <f t="shared" si="15"/>
        <v>76</v>
      </c>
      <c r="H80" s="146">
        <f>IF(H79&gt;4.5,H79+VLOOKUP(CEILING(H79,1),Tables!$L$2:$M$14,2,FALSE),H79+VLOOKUP(FLOOR(H79,1),Tables!$L$2:$M$14,2,FALSE))</f>
        <v>4.5</v>
      </c>
      <c r="I80" s="145">
        <f t="shared" si="16"/>
        <v>76</v>
      </c>
      <c r="K80" s="148">
        <f>IF(L79&lt;10,IF(L79&gt;4.5,L79+VLOOKUP(CEILING(L79,1),Tables!$L$2:$M$14,2,FALSE),L79+VLOOKUP(FLOOR(L79,1),Tables!$L$2:$M$14,2,FALSE)),10-(1/3))</f>
        <v>4.5</v>
      </c>
      <c r="L80" s="163">
        <f t="shared" si="17"/>
        <v>4.5</v>
      </c>
      <c r="N80" s="145">
        <f t="shared" si="18"/>
        <v>76</v>
      </c>
      <c r="P80" s="148">
        <f>IF(Q79&lt;10,IF(Q79&gt;4.5,Q79+VLOOKUP(CEILING(Q79,1),Tables!$L$2:$M$14,2,FALSE),Q79+VLOOKUP(FLOOR(Q79,1),Tables!$L$2:$M$14,2,FALSE)),10-(1/3))</f>
        <v>7.5714285714285721</v>
      </c>
      <c r="Q80" s="163">
        <f t="shared" si="19"/>
        <v>7.5714285714285721</v>
      </c>
      <c r="U80" s="148"/>
      <c r="V80" s="163"/>
      <c r="Z80" s="148"/>
      <c r="AA80" s="163"/>
      <c r="AE80" s="148"/>
      <c r="AF80" s="163"/>
    </row>
    <row r="81" spans="2:32">
      <c r="B81" s="103">
        <f t="shared" si="10"/>
        <v>43</v>
      </c>
      <c r="C81" s="103">
        <f t="shared" si="11"/>
        <v>12</v>
      </c>
      <c r="D81" s="103">
        <f t="shared" si="12"/>
        <v>1</v>
      </c>
      <c r="E81" s="102" t="str">
        <f t="shared" si="13"/>
        <v>s43w12d1</v>
      </c>
      <c r="F81" s="151">
        <f t="shared" si="14"/>
        <v>40476</v>
      </c>
      <c r="G81" s="145">
        <f t="shared" si="15"/>
        <v>77</v>
      </c>
      <c r="H81" s="146">
        <f>IF(H80&gt;4.5,H80+VLOOKUP(CEILING(H80,1),Tables!$L$2:$M$14,2,FALSE),H80+VLOOKUP(FLOOR(H80,1),Tables!$L$2:$M$14,2,FALSE))</f>
        <v>4.5158730158730158</v>
      </c>
      <c r="I81" s="145">
        <f t="shared" si="16"/>
        <v>77</v>
      </c>
      <c r="K81" s="148">
        <f>IF(L80&lt;10,IF(L80&gt;4.5,L80+VLOOKUP(CEILING(L80,1),Tables!$L$2:$M$14,2,FALSE),L80+VLOOKUP(FLOOR(L80,1),Tables!$L$2:$M$14,2,FALSE)),10-(1/3))</f>
        <v>4.5158730158730158</v>
      </c>
      <c r="L81" s="163">
        <f t="shared" si="17"/>
        <v>4.5158730158730158</v>
      </c>
      <c r="N81" s="145">
        <f t="shared" si="18"/>
        <v>77</v>
      </c>
      <c r="P81" s="148">
        <f>IF(Q80&lt;10,IF(Q80&gt;4.5,Q80+VLOOKUP(CEILING(Q80,1),Tables!$L$2:$M$14,2,FALSE),Q80+VLOOKUP(FLOOR(Q80,1),Tables!$L$2:$M$14,2,FALSE)),10-(1/3))</f>
        <v>7.4285714285714288</v>
      </c>
      <c r="Q81" s="163">
        <f t="shared" si="19"/>
        <v>7.4285714285714288</v>
      </c>
      <c r="U81" s="148"/>
      <c r="V81" s="163"/>
      <c r="Z81" s="148"/>
      <c r="AA81" s="163"/>
      <c r="AE81" s="148"/>
      <c r="AF81" s="163"/>
    </row>
    <row r="82" spans="2:32">
      <c r="B82" s="103">
        <f t="shared" si="10"/>
        <v>43</v>
      </c>
      <c r="C82" s="103">
        <f t="shared" si="11"/>
        <v>12</v>
      </c>
      <c r="D82" s="103">
        <f t="shared" si="12"/>
        <v>2</v>
      </c>
      <c r="E82" s="102" t="str">
        <f t="shared" si="13"/>
        <v>s43w12d2</v>
      </c>
      <c r="F82" s="151">
        <f t="shared" si="14"/>
        <v>40477</v>
      </c>
      <c r="G82" s="145">
        <f t="shared" si="15"/>
        <v>78</v>
      </c>
      <c r="H82" s="146">
        <f>IF(H81&gt;4.5,H81+VLOOKUP(CEILING(H81,1),Tables!$L$2:$M$14,2,FALSE),H81+VLOOKUP(FLOOR(H81,1),Tables!$L$2:$M$14,2,FALSE))</f>
        <v>4.5</v>
      </c>
      <c r="I82" s="145">
        <f t="shared" si="16"/>
        <v>78</v>
      </c>
      <c r="K82" s="148">
        <f>IF(L81&lt;10,IF(L81&gt;4.5,L81+VLOOKUP(CEILING(L81,1),Tables!$L$2:$M$14,2,FALSE),L81+VLOOKUP(FLOOR(L81,1),Tables!$L$2:$M$14,2,FALSE)),10-(1/3))</f>
        <v>4.5</v>
      </c>
      <c r="L82" s="163">
        <f t="shared" si="17"/>
        <v>4.5</v>
      </c>
      <c r="N82" s="145">
        <f t="shared" si="18"/>
        <v>78</v>
      </c>
      <c r="P82" s="148">
        <f>IF(Q81&lt;10,IF(Q81&gt;4.5,Q81+VLOOKUP(CEILING(Q81,1),Tables!$L$2:$M$14,2,FALSE),Q81+VLOOKUP(FLOOR(Q81,1),Tables!$L$2:$M$14,2,FALSE)),10-(1/3))</f>
        <v>7.2857142857142856</v>
      </c>
      <c r="Q82" s="163">
        <f t="shared" si="19"/>
        <v>7.2857142857142856</v>
      </c>
      <c r="U82" s="148"/>
      <c r="V82" s="163"/>
      <c r="Z82" s="148"/>
      <c r="AA82" s="163"/>
      <c r="AE82" s="148"/>
      <c r="AF82" s="163"/>
    </row>
    <row r="83" spans="2:32">
      <c r="B83" s="103">
        <f t="shared" si="10"/>
        <v>43</v>
      </c>
      <c r="C83" s="103">
        <f t="shared" si="11"/>
        <v>12</v>
      </c>
      <c r="D83" s="103">
        <f t="shared" si="12"/>
        <v>3</v>
      </c>
      <c r="E83" s="102" t="str">
        <f t="shared" si="13"/>
        <v>s43w12d3</v>
      </c>
      <c r="F83" s="151">
        <f t="shared" si="14"/>
        <v>40478</v>
      </c>
      <c r="G83" s="145">
        <f t="shared" si="15"/>
        <v>79</v>
      </c>
      <c r="H83" s="146">
        <f>IF(H82&gt;4.5,H82+VLOOKUP(CEILING(H82,1),Tables!$L$2:$M$14,2,FALSE),H82+VLOOKUP(FLOOR(H82,1),Tables!$L$2:$M$14,2,FALSE))</f>
        <v>4.5158730158730158</v>
      </c>
      <c r="I83" s="145">
        <f t="shared" si="16"/>
        <v>79</v>
      </c>
      <c r="K83" s="148">
        <f>IF(L82&lt;10,IF(L82&gt;4.5,L82+VLOOKUP(CEILING(L82,1),Tables!$L$2:$M$14,2,FALSE),L82+VLOOKUP(FLOOR(L82,1),Tables!$L$2:$M$14,2,FALSE)),10-(1/3))</f>
        <v>4.5158730158730158</v>
      </c>
      <c r="L83" s="163">
        <f t="shared" si="17"/>
        <v>4.5158730158730158</v>
      </c>
      <c r="N83" s="145">
        <f t="shared" si="18"/>
        <v>79</v>
      </c>
      <c r="P83" s="148">
        <f>IF(Q82&lt;10,IF(Q82&gt;4.5,Q82+VLOOKUP(CEILING(Q82,1),Tables!$L$2:$M$14,2,FALSE),Q82+VLOOKUP(FLOOR(Q82,1),Tables!$L$2:$M$14,2,FALSE)),10-(1/3))</f>
        <v>7.1428571428571423</v>
      </c>
      <c r="Q83" s="163">
        <f t="shared" si="19"/>
        <v>7.1428571428571423</v>
      </c>
      <c r="U83" s="148"/>
      <c r="V83" s="163"/>
      <c r="Z83" s="148"/>
      <c r="AA83" s="163"/>
      <c r="AE83" s="148"/>
      <c r="AF83" s="163"/>
    </row>
    <row r="84" spans="2:32">
      <c r="B84" s="103">
        <f t="shared" si="10"/>
        <v>43</v>
      </c>
      <c r="C84" s="103">
        <f t="shared" si="11"/>
        <v>12</v>
      </c>
      <c r="D84" s="103">
        <f t="shared" si="12"/>
        <v>4</v>
      </c>
      <c r="E84" s="102" t="str">
        <f t="shared" si="13"/>
        <v>s43w12d4</v>
      </c>
      <c r="F84" s="151">
        <f t="shared" si="14"/>
        <v>40479</v>
      </c>
      <c r="G84" s="145">
        <f t="shared" si="15"/>
        <v>80</v>
      </c>
      <c r="H84" s="146">
        <f>IF(H83&gt;4.5,H83+VLOOKUP(CEILING(H83,1),Tables!$L$2:$M$14,2,FALSE),H83+VLOOKUP(FLOOR(H83,1),Tables!$L$2:$M$14,2,FALSE))</f>
        <v>4.5</v>
      </c>
      <c r="I84" s="145">
        <f t="shared" si="16"/>
        <v>80</v>
      </c>
      <c r="K84" s="148">
        <f>IF(L83&lt;10,IF(L83&gt;4.5,L83+VLOOKUP(CEILING(L83,1),Tables!$L$2:$M$14,2,FALSE),L83+VLOOKUP(FLOOR(L83,1),Tables!$L$2:$M$14,2,FALSE)),10-(1/3))</f>
        <v>4.5</v>
      </c>
      <c r="L84" s="163">
        <f t="shared" si="17"/>
        <v>4.5</v>
      </c>
      <c r="N84" s="145">
        <f t="shared" si="18"/>
        <v>80</v>
      </c>
      <c r="P84" s="148">
        <f>IF(Q83&lt;10,IF(Q83&gt;4.5,Q83+VLOOKUP(CEILING(Q83,1),Tables!$L$2:$M$14,2,FALSE),Q83+VLOOKUP(FLOOR(Q83,1),Tables!$L$2:$M$14,2,FALSE)),10-(1/3))</f>
        <v>6.9999999999999991</v>
      </c>
      <c r="Q84" s="163">
        <f t="shared" si="19"/>
        <v>6.9999999999999991</v>
      </c>
      <c r="U84" s="148"/>
      <c r="V84" s="163"/>
      <c r="Z84" s="148"/>
      <c r="AA84" s="163"/>
      <c r="AE84" s="148"/>
      <c r="AF84" s="163"/>
    </row>
    <row r="85" spans="2:32">
      <c r="B85" s="103">
        <f t="shared" si="10"/>
        <v>43</v>
      </c>
      <c r="C85" s="103">
        <f t="shared" si="11"/>
        <v>12</v>
      </c>
      <c r="D85" s="103">
        <f t="shared" si="12"/>
        <v>5</v>
      </c>
      <c r="E85" s="102" t="str">
        <f t="shared" si="13"/>
        <v>s43w12d5</v>
      </c>
      <c r="F85" s="151">
        <f t="shared" si="14"/>
        <v>40480</v>
      </c>
      <c r="G85" s="145">
        <f t="shared" si="15"/>
        <v>81</v>
      </c>
      <c r="H85" s="146">
        <f>IF(H84&gt;4.5,H84+VLOOKUP(CEILING(H84,1),Tables!$L$2:$M$14,2,FALSE),H84+VLOOKUP(FLOOR(H84,1),Tables!$L$2:$M$14,2,FALSE))</f>
        <v>4.5158730158730158</v>
      </c>
      <c r="I85" s="145">
        <f t="shared" si="16"/>
        <v>81</v>
      </c>
      <c r="K85" s="148">
        <f>IF(L84&lt;10,IF(L84&gt;4.5,L84+VLOOKUP(CEILING(L84,1),Tables!$L$2:$M$14,2,FALSE),L84+VLOOKUP(FLOOR(L84,1),Tables!$L$2:$M$14,2,FALSE)),10-(1/3))</f>
        <v>4.5158730158730158</v>
      </c>
      <c r="L85" s="163">
        <f t="shared" si="17"/>
        <v>4.5158730158730158</v>
      </c>
      <c r="N85" s="145">
        <f t="shared" si="18"/>
        <v>81</v>
      </c>
      <c r="P85" s="148">
        <f>IF(Q84&lt;10,IF(Q84&gt;4.5,Q84+VLOOKUP(CEILING(Q84,1),Tables!$L$2:$M$14,2,FALSE),Q84+VLOOKUP(FLOOR(Q84,1),Tables!$L$2:$M$14,2,FALSE)),10-(1/3))</f>
        <v>6.9230769230769225</v>
      </c>
      <c r="Q85" s="163">
        <f t="shared" si="19"/>
        <v>6.9230769230769225</v>
      </c>
      <c r="U85" s="148"/>
      <c r="V85" s="163"/>
      <c r="Z85" s="148"/>
      <c r="AA85" s="163"/>
      <c r="AE85" s="148"/>
      <c r="AF85" s="163"/>
    </row>
    <row r="86" spans="2:32">
      <c r="B86" s="103">
        <f t="shared" si="10"/>
        <v>43</v>
      </c>
      <c r="C86" s="103">
        <f t="shared" si="11"/>
        <v>12</v>
      </c>
      <c r="D86" s="103">
        <f t="shared" si="12"/>
        <v>6</v>
      </c>
      <c r="E86" s="102" t="str">
        <f t="shared" si="13"/>
        <v>s43w12d6</v>
      </c>
      <c r="F86" s="151">
        <f t="shared" si="14"/>
        <v>40481</v>
      </c>
      <c r="G86" s="145">
        <f t="shared" si="15"/>
        <v>82</v>
      </c>
      <c r="H86" s="146">
        <f>IF(H85&gt;4.5,H85+VLOOKUP(CEILING(H85,1),Tables!$L$2:$M$14,2,FALSE),H85+VLOOKUP(FLOOR(H85,1),Tables!$L$2:$M$14,2,FALSE))</f>
        <v>4.5</v>
      </c>
      <c r="I86" s="145">
        <f t="shared" si="16"/>
        <v>82</v>
      </c>
      <c r="K86" s="148">
        <f>IF(L85&lt;10,IF(L85&gt;4.5,L85+VLOOKUP(CEILING(L85,1),Tables!$L$2:$M$14,2,FALSE),L85+VLOOKUP(FLOOR(L85,1),Tables!$L$2:$M$14,2,FALSE)),10-(1/3))</f>
        <v>4.5</v>
      </c>
      <c r="L86" s="163">
        <f t="shared" si="17"/>
        <v>4.5</v>
      </c>
      <c r="N86" s="145">
        <f t="shared" si="18"/>
        <v>82</v>
      </c>
      <c r="P86" s="148">
        <f>IF(Q85&lt;10,IF(Q85&gt;4.5,Q85+VLOOKUP(CEILING(Q85,1),Tables!$L$2:$M$14,2,FALSE),Q85+VLOOKUP(FLOOR(Q85,1),Tables!$L$2:$M$14,2,FALSE)),10-(1/3))</f>
        <v>6.8461538461538458</v>
      </c>
      <c r="Q86" s="163">
        <f t="shared" si="19"/>
        <v>6.8461538461538458</v>
      </c>
      <c r="U86" s="148"/>
      <c r="V86" s="163"/>
      <c r="Z86" s="148"/>
      <c r="AA86" s="163"/>
      <c r="AE86" s="148"/>
      <c r="AF86" s="163"/>
    </row>
    <row r="87" spans="2:32">
      <c r="B87" s="103">
        <f t="shared" si="10"/>
        <v>43</v>
      </c>
      <c r="C87" s="103">
        <f t="shared" si="11"/>
        <v>12</v>
      </c>
      <c r="D87" s="103">
        <f t="shared" si="12"/>
        <v>7</v>
      </c>
      <c r="E87" s="102" t="str">
        <f t="shared" si="13"/>
        <v>s43w12d7</v>
      </c>
      <c r="F87" s="151">
        <f t="shared" si="14"/>
        <v>40482</v>
      </c>
      <c r="G87" s="145">
        <f t="shared" si="15"/>
        <v>83</v>
      </c>
      <c r="H87" s="146">
        <f>IF(H86&gt;4.5,H86+VLOOKUP(CEILING(H86,1),Tables!$L$2:$M$14,2,FALSE),H86+VLOOKUP(FLOOR(H86,1),Tables!$L$2:$M$14,2,FALSE))</f>
        <v>4.5158730158730158</v>
      </c>
      <c r="I87" s="145">
        <f t="shared" si="16"/>
        <v>83</v>
      </c>
      <c r="K87" s="148">
        <f>IF(L86&lt;10,IF(L86&gt;4.5,L86+VLOOKUP(CEILING(L86,1),Tables!$L$2:$M$14,2,FALSE),L86+VLOOKUP(FLOOR(L86,1),Tables!$L$2:$M$14,2,FALSE)),10-(1/3))</f>
        <v>4.5158730158730158</v>
      </c>
      <c r="L87" s="163">
        <f t="shared" si="17"/>
        <v>4.5158730158730158</v>
      </c>
      <c r="N87" s="145">
        <f t="shared" si="18"/>
        <v>83</v>
      </c>
      <c r="O87" s="147" t="s">
        <v>451</v>
      </c>
      <c r="P87" s="148">
        <f>IF(Q86&lt;10,IF(Q86&gt;4.5,Q86+VLOOKUP(CEILING(Q86,1),Tables!$L$2:$M$14,2,FALSE),Q86+VLOOKUP(FLOOR(Q86,1),Tables!$L$2:$M$14,2,FALSE)),10-(1/3))</f>
        <v>6.7692307692307692</v>
      </c>
      <c r="Q87" s="163">
        <f t="shared" si="19"/>
        <v>9.0030769230769234</v>
      </c>
      <c r="U87" s="148"/>
      <c r="V87" s="163"/>
      <c r="Z87" s="148"/>
      <c r="AA87" s="163"/>
      <c r="AE87" s="148"/>
      <c r="AF87" s="163"/>
    </row>
    <row r="88" spans="2:32">
      <c r="B88" s="103">
        <f t="shared" si="10"/>
        <v>43</v>
      </c>
      <c r="C88" s="103">
        <f t="shared" si="11"/>
        <v>13</v>
      </c>
      <c r="D88" s="103">
        <f t="shared" si="12"/>
        <v>1</v>
      </c>
      <c r="E88" s="102" t="str">
        <f t="shared" si="13"/>
        <v>s43w13d1</v>
      </c>
      <c r="F88" s="151">
        <f t="shared" si="14"/>
        <v>40483</v>
      </c>
      <c r="G88" s="145">
        <f t="shared" si="15"/>
        <v>84</v>
      </c>
      <c r="H88" s="146">
        <f>IF(H87&gt;4.5,H87+VLOOKUP(CEILING(H87,1),Tables!$L$2:$M$14,2,FALSE),H87+VLOOKUP(FLOOR(H87,1),Tables!$L$2:$M$14,2,FALSE))</f>
        <v>4.5</v>
      </c>
      <c r="I88" s="145">
        <f t="shared" si="16"/>
        <v>84</v>
      </c>
      <c r="K88" s="148">
        <f>IF(L87&lt;10,IF(L87&gt;4.5,L87+VLOOKUP(CEILING(L87,1),Tables!$L$2:$M$14,2,FALSE),L87+VLOOKUP(FLOOR(L87,1),Tables!$L$2:$M$14,2,FALSE)),10-(1/3))</f>
        <v>4.5</v>
      </c>
      <c r="L88" s="163">
        <f t="shared" si="17"/>
        <v>4.5</v>
      </c>
      <c r="N88" s="145">
        <f t="shared" si="18"/>
        <v>84</v>
      </c>
      <c r="P88" s="148">
        <f>IF(Q87&lt;10,IF(Q87&gt;4.5,Q87+VLOOKUP(CEILING(Q87,1),Tables!$L$2:$M$14,2,FALSE),Q87+VLOOKUP(FLOOR(Q87,1),Tables!$L$2:$M$14,2,FALSE)),10-(1/3))</f>
        <v>8.6697435897435895</v>
      </c>
      <c r="Q88" s="163">
        <f t="shared" si="19"/>
        <v>8.6697435897435895</v>
      </c>
      <c r="U88" s="148"/>
      <c r="V88" s="163"/>
      <c r="Z88" s="148"/>
      <c r="AA88" s="163"/>
      <c r="AE88" s="148"/>
      <c r="AF88" s="163"/>
    </row>
    <row r="89" spans="2:32">
      <c r="B89" s="103">
        <f t="shared" si="10"/>
        <v>43</v>
      </c>
      <c r="C89" s="103">
        <f t="shared" si="11"/>
        <v>13</v>
      </c>
      <c r="D89" s="103">
        <f t="shared" si="12"/>
        <v>2</v>
      </c>
      <c r="E89" s="102" t="str">
        <f t="shared" si="13"/>
        <v>s43w13d2</v>
      </c>
      <c r="F89" s="151">
        <f t="shared" si="14"/>
        <v>40484</v>
      </c>
      <c r="G89" s="145">
        <f t="shared" si="15"/>
        <v>85</v>
      </c>
      <c r="H89" s="146">
        <f>IF(H88&gt;4.5,H88+VLOOKUP(CEILING(H88,1),Tables!$L$2:$M$14,2,FALSE),H88+VLOOKUP(FLOOR(H88,1),Tables!$L$2:$M$14,2,FALSE))</f>
        <v>4.5158730158730158</v>
      </c>
      <c r="I89" s="145">
        <f t="shared" si="16"/>
        <v>85</v>
      </c>
      <c r="K89" s="148">
        <f>IF(L88&lt;10,IF(L88&gt;4.5,L88+VLOOKUP(CEILING(L88,1),Tables!$L$2:$M$14,2,FALSE),L88+VLOOKUP(FLOOR(L88,1),Tables!$L$2:$M$14,2,FALSE)),10-(1/3))</f>
        <v>4.5158730158730158</v>
      </c>
      <c r="L89" s="163">
        <f t="shared" si="17"/>
        <v>4.5158730158730158</v>
      </c>
      <c r="N89" s="145">
        <f t="shared" si="18"/>
        <v>85</v>
      </c>
      <c r="P89" s="148">
        <f>IF(Q88&lt;10,IF(Q88&gt;4.5,Q88+VLOOKUP(CEILING(Q88,1),Tables!$L$2:$M$14,2,FALSE),Q88+VLOOKUP(FLOOR(Q88,1),Tables!$L$2:$M$14,2,FALSE)),10-(1/3))</f>
        <v>8.4697435897435902</v>
      </c>
      <c r="Q89" s="163">
        <f t="shared" si="19"/>
        <v>8.4697435897435902</v>
      </c>
      <c r="U89" s="148"/>
      <c r="V89" s="163"/>
      <c r="Z89" s="148"/>
      <c r="AA89" s="163"/>
      <c r="AE89" s="148"/>
      <c r="AF89" s="163"/>
    </row>
    <row r="90" spans="2:32">
      <c r="B90" s="103">
        <f t="shared" si="10"/>
        <v>43</v>
      </c>
      <c r="C90" s="103">
        <f t="shared" si="11"/>
        <v>13</v>
      </c>
      <c r="D90" s="103">
        <f t="shared" si="12"/>
        <v>3</v>
      </c>
      <c r="E90" s="102" t="str">
        <f t="shared" si="13"/>
        <v>s43w13d3</v>
      </c>
      <c r="F90" s="151">
        <f t="shared" si="14"/>
        <v>40485</v>
      </c>
      <c r="G90" s="145">
        <f t="shared" si="15"/>
        <v>86</v>
      </c>
      <c r="H90" s="146">
        <f>IF(H89&gt;4.5,H89+VLOOKUP(CEILING(H89,1),Tables!$L$2:$M$14,2,FALSE),H89+VLOOKUP(FLOOR(H89,1),Tables!$L$2:$M$14,2,FALSE))</f>
        <v>4.5</v>
      </c>
      <c r="I90" s="145">
        <f t="shared" si="16"/>
        <v>86</v>
      </c>
      <c r="K90" s="148">
        <f>IF(L89&lt;10,IF(L89&gt;4.5,L89+VLOOKUP(CEILING(L89,1),Tables!$L$2:$M$14,2,FALSE),L89+VLOOKUP(FLOOR(L89,1),Tables!$L$2:$M$14,2,FALSE)),10-(1/3))</f>
        <v>4.5</v>
      </c>
      <c r="L90" s="163">
        <f t="shared" si="17"/>
        <v>4.5</v>
      </c>
      <c r="N90" s="145">
        <f t="shared" si="18"/>
        <v>86</v>
      </c>
      <c r="P90" s="148">
        <f>IF(Q89&lt;10,IF(Q89&gt;4.5,Q89+VLOOKUP(CEILING(Q89,1),Tables!$L$2:$M$14,2,FALSE),Q89+VLOOKUP(FLOOR(Q89,1),Tables!$L$2:$M$14,2,FALSE)),10-(1/3))</f>
        <v>8.2697435897435909</v>
      </c>
      <c r="Q90" s="163">
        <f t="shared" si="19"/>
        <v>8.2697435897435909</v>
      </c>
      <c r="U90" s="148"/>
      <c r="V90" s="163"/>
      <c r="Z90" s="148"/>
      <c r="AA90" s="163"/>
      <c r="AE90" s="148"/>
      <c r="AF90" s="163"/>
    </row>
    <row r="91" spans="2:32">
      <c r="B91" s="103">
        <f t="shared" si="10"/>
        <v>43</v>
      </c>
      <c r="C91" s="103">
        <f t="shared" si="11"/>
        <v>13</v>
      </c>
      <c r="D91" s="103">
        <f t="shared" si="12"/>
        <v>4</v>
      </c>
      <c r="E91" s="102" t="str">
        <f t="shared" si="13"/>
        <v>s43w13d4</v>
      </c>
      <c r="F91" s="151">
        <f t="shared" si="14"/>
        <v>40486</v>
      </c>
      <c r="G91" s="145">
        <f t="shared" si="15"/>
        <v>87</v>
      </c>
      <c r="H91" s="146">
        <f>IF(H90&gt;4.5,H90+VLOOKUP(CEILING(H90,1),Tables!$L$2:$M$14,2,FALSE),H90+VLOOKUP(FLOOR(H90,1),Tables!$L$2:$M$14,2,FALSE))</f>
        <v>4.5158730158730158</v>
      </c>
      <c r="I91" s="145">
        <f t="shared" si="16"/>
        <v>87</v>
      </c>
      <c r="K91" s="148">
        <f>IF(L90&lt;10,IF(L90&gt;4.5,L90+VLOOKUP(CEILING(L90,1),Tables!$L$2:$M$14,2,FALSE),L90+VLOOKUP(FLOOR(L90,1),Tables!$L$2:$M$14,2,FALSE)),10-(1/3))</f>
        <v>4.5158730158730158</v>
      </c>
      <c r="L91" s="163">
        <f t="shared" si="17"/>
        <v>4.5158730158730158</v>
      </c>
      <c r="N91" s="145">
        <f t="shared" si="18"/>
        <v>87</v>
      </c>
      <c r="P91" s="148">
        <f>IF(Q90&lt;10,IF(Q90&gt;4.5,Q90+VLOOKUP(CEILING(Q90,1),Tables!$L$2:$M$14,2,FALSE),Q90+VLOOKUP(FLOOR(Q90,1),Tables!$L$2:$M$14,2,FALSE)),10-(1/3))</f>
        <v>8.0697435897435916</v>
      </c>
      <c r="Q91" s="163">
        <f t="shared" si="19"/>
        <v>8.0697435897435916</v>
      </c>
      <c r="U91" s="148"/>
      <c r="V91" s="163"/>
      <c r="Z91" s="148"/>
      <c r="AA91" s="163"/>
      <c r="AE91" s="148"/>
      <c r="AF91" s="163"/>
    </row>
    <row r="92" spans="2:32">
      <c r="B92" s="103">
        <f t="shared" si="10"/>
        <v>43</v>
      </c>
      <c r="C92" s="103">
        <f t="shared" si="11"/>
        <v>13</v>
      </c>
      <c r="D92" s="103">
        <f t="shared" si="12"/>
        <v>5</v>
      </c>
      <c r="E92" s="102" t="str">
        <f t="shared" si="13"/>
        <v>s43w13d5</v>
      </c>
      <c r="F92" s="151">
        <f t="shared" si="14"/>
        <v>40487</v>
      </c>
      <c r="G92" s="145">
        <f t="shared" si="15"/>
        <v>88</v>
      </c>
      <c r="H92" s="146">
        <f>IF(H91&gt;4.5,H91+VLOOKUP(CEILING(H91,1),Tables!$L$2:$M$14,2,FALSE),H91+VLOOKUP(FLOOR(H91,1),Tables!$L$2:$M$14,2,FALSE))</f>
        <v>4.5</v>
      </c>
      <c r="I92" s="145">
        <f t="shared" si="16"/>
        <v>88</v>
      </c>
      <c r="K92" s="148">
        <f>IF(L91&lt;10,IF(L91&gt;4.5,L91+VLOOKUP(CEILING(L91,1),Tables!$L$2:$M$14,2,FALSE),L91+VLOOKUP(FLOOR(L91,1),Tables!$L$2:$M$14,2,FALSE)),10-(1/3))</f>
        <v>4.5</v>
      </c>
      <c r="L92" s="163">
        <f t="shared" si="17"/>
        <v>4.5</v>
      </c>
      <c r="N92" s="145">
        <f t="shared" si="18"/>
        <v>88</v>
      </c>
      <c r="P92" s="148">
        <f>IF(Q91&lt;10,IF(Q91&gt;4.5,Q91+VLOOKUP(CEILING(Q91,1),Tables!$L$2:$M$14,2,FALSE),Q91+VLOOKUP(FLOOR(Q91,1),Tables!$L$2:$M$14,2,FALSE)),10-(1/3))</f>
        <v>7.8697435897435914</v>
      </c>
      <c r="Q92" s="163">
        <f t="shared" si="19"/>
        <v>7.8697435897435914</v>
      </c>
      <c r="U92" s="148"/>
      <c r="V92" s="163"/>
      <c r="Z92" s="148"/>
      <c r="AA92" s="163"/>
      <c r="AE92" s="148"/>
      <c r="AF92" s="163"/>
    </row>
    <row r="93" spans="2:32">
      <c r="B93" s="103">
        <f t="shared" si="10"/>
        <v>43</v>
      </c>
      <c r="C93" s="103">
        <f t="shared" si="11"/>
        <v>13</v>
      </c>
      <c r="D93" s="103">
        <f t="shared" si="12"/>
        <v>6</v>
      </c>
      <c r="E93" s="102" t="str">
        <f t="shared" si="13"/>
        <v>s43w13d6</v>
      </c>
      <c r="F93" s="151">
        <f t="shared" si="14"/>
        <v>40488</v>
      </c>
      <c r="G93" s="145">
        <f t="shared" si="15"/>
        <v>89</v>
      </c>
      <c r="H93" s="146">
        <f>IF(H92&gt;4.5,H92+VLOOKUP(CEILING(H92,1),Tables!$L$2:$M$14,2,FALSE),H92+VLOOKUP(FLOOR(H92,1),Tables!$L$2:$M$14,2,FALSE))</f>
        <v>4.5158730158730158</v>
      </c>
      <c r="I93" s="145">
        <f t="shared" si="16"/>
        <v>89</v>
      </c>
      <c r="K93" s="148">
        <f>IF(L92&lt;10,IF(L92&gt;4.5,L92+VLOOKUP(CEILING(L92,1),Tables!$L$2:$M$14,2,FALSE),L92+VLOOKUP(FLOOR(L92,1),Tables!$L$2:$M$14,2,FALSE)),10-(1/3))</f>
        <v>4.5158730158730158</v>
      </c>
      <c r="L93" s="163">
        <f t="shared" si="17"/>
        <v>4.5158730158730158</v>
      </c>
      <c r="N93" s="145">
        <f t="shared" si="18"/>
        <v>89</v>
      </c>
      <c r="P93" s="148">
        <f>IF(Q92&lt;10,IF(Q92&gt;4.5,Q92+VLOOKUP(CEILING(Q92,1),Tables!$L$2:$M$14,2,FALSE),Q92+VLOOKUP(FLOOR(Q92,1),Tables!$L$2:$M$14,2,FALSE)),10-(1/3))</f>
        <v>7.7268864468864482</v>
      </c>
      <c r="Q93" s="163">
        <f t="shared" si="19"/>
        <v>7.7268864468864482</v>
      </c>
      <c r="U93" s="148"/>
      <c r="V93" s="163"/>
      <c r="Z93" s="148"/>
      <c r="AA93" s="163"/>
      <c r="AE93" s="148"/>
      <c r="AF93" s="163"/>
    </row>
    <row r="94" spans="2:32">
      <c r="B94" s="103">
        <f t="shared" si="10"/>
        <v>43</v>
      </c>
      <c r="C94" s="103">
        <f t="shared" si="11"/>
        <v>13</v>
      </c>
      <c r="D94" s="103">
        <f t="shared" si="12"/>
        <v>7</v>
      </c>
      <c r="E94" s="102" t="str">
        <f t="shared" si="13"/>
        <v>s43w13d7</v>
      </c>
      <c r="F94" s="151">
        <f t="shared" si="14"/>
        <v>40489</v>
      </c>
      <c r="G94" s="145">
        <f t="shared" si="15"/>
        <v>90</v>
      </c>
      <c r="H94" s="146">
        <f>IF(H93&gt;4.5,H93+VLOOKUP(CEILING(H93,1),Tables!$L$2:$M$14,2,FALSE),H93+VLOOKUP(FLOOR(H93,1),Tables!$L$2:$M$14,2,FALSE))</f>
        <v>4.5</v>
      </c>
      <c r="I94" s="145">
        <f t="shared" si="16"/>
        <v>90</v>
      </c>
      <c r="K94" s="148">
        <f>IF(L93&lt;10,IF(L93&gt;4.5,L93+VLOOKUP(CEILING(L93,1),Tables!$L$2:$M$14,2,FALSE),L93+VLOOKUP(FLOOR(L93,1),Tables!$L$2:$M$14,2,FALSE)),10-(1/3))</f>
        <v>4.5</v>
      </c>
      <c r="L94" s="163">
        <f t="shared" si="17"/>
        <v>4.5</v>
      </c>
      <c r="N94" s="145">
        <f t="shared" si="18"/>
        <v>90</v>
      </c>
      <c r="P94" s="148">
        <f>IF(Q93&lt;10,IF(Q93&gt;4.5,Q93+VLOOKUP(CEILING(Q93,1),Tables!$L$2:$M$14,2,FALSE),Q93+VLOOKUP(FLOOR(Q93,1),Tables!$L$2:$M$14,2,FALSE)),10-(1/3))</f>
        <v>7.584029304029305</v>
      </c>
      <c r="Q94" s="163">
        <f t="shared" si="19"/>
        <v>7.584029304029305</v>
      </c>
      <c r="U94" s="148"/>
      <c r="V94" s="163"/>
      <c r="Z94" s="148"/>
      <c r="AA94" s="163"/>
      <c r="AE94" s="148"/>
      <c r="AF94" s="163"/>
    </row>
    <row r="95" spans="2:32">
      <c r="B95" s="103">
        <f t="shared" si="10"/>
        <v>43</v>
      </c>
      <c r="C95" s="103">
        <f t="shared" si="11"/>
        <v>14</v>
      </c>
      <c r="D95" s="103">
        <f t="shared" si="12"/>
        <v>1</v>
      </c>
      <c r="E95" s="102" t="str">
        <f t="shared" si="13"/>
        <v>s43w14d1</v>
      </c>
      <c r="F95" s="151">
        <f t="shared" si="14"/>
        <v>40490</v>
      </c>
      <c r="G95" s="145">
        <f t="shared" si="15"/>
        <v>91</v>
      </c>
      <c r="H95" s="146">
        <f>IF(H94&gt;4.5,H94+VLOOKUP(CEILING(H94,1),Tables!$L$2:$M$14,2,FALSE),H94+VLOOKUP(FLOOR(H94,1),Tables!$L$2:$M$14,2,FALSE))</f>
        <v>4.5158730158730158</v>
      </c>
      <c r="I95" s="145">
        <f t="shared" si="16"/>
        <v>91</v>
      </c>
      <c r="K95" s="148">
        <f>IF(L94&lt;10,IF(L94&gt;4.5,L94+VLOOKUP(CEILING(L94,1),Tables!$L$2:$M$14,2,FALSE),L94+VLOOKUP(FLOOR(L94,1),Tables!$L$2:$M$14,2,FALSE)),10-(1/3))</f>
        <v>4.5158730158730158</v>
      </c>
      <c r="L95" s="163">
        <f t="shared" si="17"/>
        <v>4.5158730158730158</v>
      </c>
      <c r="N95" s="145">
        <f t="shared" si="18"/>
        <v>91</v>
      </c>
      <c r="P95" s="148">
        <f>IF(Q94&lt;10,IF(Q94&gt;4.5,Q94+VLOOKUP(CEILING(Q94,1),Tables!$L$2:$M$14,2,FALSE),Q94+VLOOKUP(FLOOR(Q94,1),Tables!$L$2:$M$14,2,FALSE)),10-(1/3))</f>
        <v>7.4411721611721617</v>
      </c>
      <c r="Q95" s="163">
        <f t="shared" si="19"/>
        <v>7.4411721611721617</v>
      </c>
      <c r="U95" s="148"/>
      <c r="V95" s="163"/>
      <c r="Z95" s="148"/>
      <c r="AA95" s="163"/>
      <c r="AE95" s="148"/>
      <c r="AF95" s="163"/>
    </row>
    <row r="96" spans="2:32">
      <c r="B96" s="103">
        <f t="shared" si="10"/>
        <v>43</v>
      </c>
      <c r="C96" s="103">
        <f t="shared" si="11"/>
        <v>14</v>
      </c>
      <c r="D96" s="103">
        <f t="shared" si="12"/>
        <v>2</v>
      </c>
      <c r="E96" s="102" t="str">
        <f t="shared" si="13"/>
        <v>s43w14d2</v>
      </c>
      <c r="F96" s="151">
        <f t="shared" si="14"/>
        <v>40491</v>
      </c>
      <c r="G96" s="145">
        <f t="shared" si="15"/>
        <v>92</v>
      </c>
      <c r="H96" s="146">
        <f>IF(H95&gt;4.5,H95+VLOOKUP(CEILING(H95,1),Tables!$L$2:$M$14,2,FALSE),H95+VLOOKUP(FLOOR(H95,1),Tables!$L$2:$M$14,2,FALSE))</f>
        <v>4.5</v>
      </c>
      <c r="I96" s="145">
        <f t="shared" si="16"/>
        <v>92</v>
      </c>
      <c r="K96" s="148">
        <f>IF(L95&lt;10,IF(L95&gt;4.5,L95+VLOOKUP(CEILING(L95,1),Tables!$L$2:$M$14,2,FALSE),L95+VLOOKUP(FLOOR(L95,1),Tables!$L$2:$M$14,2,FALSE)),10-(1/3))</f>
        <v>4.5</v>
      </c>
      <c r="L96" s="163">
        <f t="shared" si="17"/>
        <v>4.5</v>
      </c>
      <c r="N96" s="145">
        <f t="shared" si="18"/>
        <v>92</v>
      </c>
      <c r="P96" s="148">
        <f>IF(Q95&lt;10,IF(Q95&gt;4.5,Q95+VLOOKUP(CEILING(Q95,1),Tables!$L$2:$M$14,2,FALSE),Q95+VLOOKUP(FLOOR(Q95,1),Tables!$L$2:$M$14,2,FALSE)),10-(1/3))</f>
        <v>7.2983150183150185</v>
      </c>
      <c r="Q96" s="163">
        <f t="shared" si="19"/>
        <v>7.2983150183150185</v>
      </c>
      <c r="U96" s="148"/>
      <c r="V96" s="163"/>
      <c r="Z96" s="148"/>
      <c r="AA96" s="163"/>
      <c r="AE96" s="148"/>
      <c r="AF96" s="163"/>
    </row>
    <row r="97" spans="2:32">
      <c r="B97" s="103">
        <f t="shared" si="10"/>
        <v>43</v>
      </c>
      <c r="C97" s="103">
        <f t="shared" si="11"/>
        <v>14</v>
      </c>
      <c r="D97" s="103">
        <f t="shared" si="12"/>
        <v>3</v>
      </c>
      <c r="E97" s="102" t="str">
        <f t="shared" si="13"/>
        <v>s43w14d3</v>
      </c>
      <c r="F97" s="151">
        <f t="shared" si="14"/>
        <v>40492</v>
      </c>
      <c r="G97" s="145">
        <f t="shared" si="15"/>
        <v>93</v>
      </c>
      <c r="H97" s="146">
        <f>IF(H96&gt;4.5,H96+VLOOKUP(CEILING(H96,1),Tables!$L$2:$M$14,2,FALSE),H96+VLOOKUP(FLOOR(H96,1),Tables!$L$2:$M$14,2,FALSE))</f>
        <v>4.5158730158730158</v>
      </c>
      <c r="I97" s="145">
        <f t="shared" si="16"/>
        <v>93</v>
      </c>
      <c r="K97" s="148">
        <f>IF(L96&lt;10,IF(L96&gt;4.5,L96+VLOOKUP(CEILING(L96,1),Tables!$L$2:$M$14,2,FALSE),L96+VLOOKUP(FLOOR(L96,1),Tables!$L$2:$M$14,2,FALSE)),10-(1/3))</f>
        <v>4.5158730158730158</v>
      </c>
      <c r="L97" s="163">
        <f t="shared" si="17"/>
        <v>4.5158730158730158</v>
      </c>
      <c r="N97" s="145">
        <f t="shared" si="18"/>
        <v>93</v>
      </c>
      <c r="P97" s="148">
        <f>IF(Q96&lt;10,IF(Q96&gt;4.5,Q96+VLOOKUP(CEILING(Q96,1),Tables!$L$2:$M$14,2,FALSE),Q96+VLOOKUP(FLOOR(Q96,1),Tables!$L$2:$M$14,2,FALSE)),10-(1/3))</f>
        <v>7.1554578754578753</v>
      </c>
      <c r="Q97" s="163">
        <f t="shared" si="19"/>
        <v>7.1554578754578753</v>
      </c>
      <c r="U97" s="148"/>
      <c r="V97" s="163"/>
      <c r="Z97" s="148"/>
      <c r="AA97" s="163"/>
      <c r="AE97" s="148"/>
      <c r="AF97" s="163"/>
    </row>
    <row r="98" spans="2:32">
      <c r="B98" s="103">
        <f t="shared" si="10"/>
        <v>43</v>
      </c>
      <c r="C98" s="103">
        <f t="shared" si="11"/>
        <v>14</v>
      </c>
      <c r="D98" s="103">
        <f t="shared" si="12"/>
        <v>4</v>
      </c>
      <c r="E98" s="102" t="str">
        <f t="shared" si="13"/>
        <v>s43w14d4</v>
      </c>
      <c r="F98" s="151">
        <f t="shared" si="14"/>
        <v>40493</v>
      </c>
      <c r="G98" s="145">
        <f t="shared" si="15"/>
        <v>94</v>
      </c>
      <c r="H98" s="146">
        <f>IF(H97&gt;4.5,H97+VLOOKUP(CEILING(H97,1),Tables!$L$2:$M$14,2,FALSE),H97+VLOOKUP(FLOOR(H97,1),Tables!$L$2:$M$14,2,FALSE))</f>
        <v>4.5</v>
      </c>
      <c r="I98" s="145">
        <f t="shared" si="16"/>
        <v>94</v>
      </c>
      <c r="K98" s="148">
        <f>IF(L97&lt;10,IF(L97&gt;4.5,L97+VLOOKUP(CEILING(L97,1),Tables!$L$2:$M$14,2,FALSE),L97+VLOOKUP(FLOOR(L97,1),Tables!$L$2:$M$14,2,FALSE)),10-(1/3))</f>
        <v>4.5</v>
      </c>
      <c r="L98" s="163">
        <f t="shared" si="17"/>
        <v>4.5</v>
      </c>
      <c r="N98" s="145">
        <f t="shared" si="18"/>
        <v>94</v>
      </c>
      <c r="P98" s="148">
        <f>IF(Q97&lt;10,IF(Q97&gt;4.5,Q97+VLOOKUP(CEILING(Q97,1),Tables!$L$2:$M$14,2,FALSE),Q97+VLOOKUP(FLOOR(Q97,1),Tables!$L$2:$M$14,2,FALSE)),10-(1/3))</f>
        <v>7.012600732600732</v>
      </c>
      <c r="Q98" s="163">
        <f t="shared" si="19"/>
        <v>7.012600732600732</v>
      </c>
      <c r="U98" s="148"/>
      <c r="V98" s="163"/>
      <c r="Z98" s="148"/>
      <c r="AA98" s="163"/>
      <c r="AE98" s="148"/>
      <c r="AF98" s="163"/>
    </row>
    <row r="99" spans="2:32">
      <c r="B99" s="103">
        <f t="shared" ref="B99:B115" si="20">IF(AND(C98=16,D98=7),B98+1,B98)</f>
        <v>43</v>
      </c>
      <c r="C99" s="103">
        <f t="shared" ref="C99:C115" si="21">IF(B99&gt;B98,1,IF(D98=7,C98+1,C98))</f>
        <v>14</v>
      </c>
      <c r="D99" s="103">
        <f t="shared" ref="D99:D115" si="22">IF(D98=7,1,D98+1)</f>
        <v>5</v>
      </c>
      <c r="E99" s="102" t="str">
        <f t="shared" ref="E99:E115" si="23">CONCATENATE("s",B99,"w",C99,"d",D99)</f>
        <v>s43w14d5</v>
      </c>
      <c r="F99" s="151">
        <f t="shared" ref="F99:F115" si="24">F98+1</f>
        <v>40494</v>
      </c>
      <c r="G99" s="145">
        <f t="shared" ref="G99:G115" si="25">G98+1</f>
        <v>95</v>
      </c>
      <c r="H99" s="146">
        <f>IF(H98&gt;4.5,H98+VLOOKUP(CEILING(H98,1),Tables!$L$2:$M$14,2,FALSE),H98+VLOOKUP(FLOOR(H98,1),Tables!$L$2:$M$14,2,FALSE))</f>
        <v>4.5158730158730158</v>
      </c>
      <c r="I99" s="145">
        <f t="shared" ref="I99:I115" si="26">I98+1</f>
        <v>95</v>
      </c>
      <c r="K99" s="148">
        <f>IF(L98&lt;10,IF(L98&gt;4.5,L98+VLOOKUP(CEILING(L98,1),Tables!$L$2:$M$14,2,FALSE),L98+VLOOKUP(FLOOR(L98,1),Tables!$L$2:$M$14,2,FALSE)),10-(1/3))</f>
        <v>4.5158730158730158</v>
      </c>
      <c r="L99" s="163">
        <f t="shared" ref="L99:L115" si="27">IF(J99="pic",K99*1.33,IF(J99="mots",K99*0.5,K99))</f>
        <v>4.5158730158730158</v>
      </c>
      <c r="N99" s="145">
        <f t="shared" ref="N99:N115" si="28">N98+1</f>
        <v>95</v>
      </c>
      <c r="P99" s="148">
        <f>IF(Q98&lt;10,IF(Q98&gt;4.5,Q98+VLOOKUP(CEILING(Q98,1),Tables!$L$2:$M$14,2,FALSE),Q98+VLOOKUP(FLOOR(Q98,1),Tables!$L$2:$M$14,2,FALSE)),10-(1/3))</f>
        <v>6.8697435897435888</v>
      </c>
      <c r="Q99" s="163">
        <f t="shared" ref="Q99:Q115" si="29">IF(O99="pic",P99*1.33,IF(O99="mots",P99*0.5,P99))</f>
        <v>6.8697435897435888</v>
      </c>
      <c r="U99" s="148"/>
      <c r="V99" s="163"/>
      <c r="Z99" s="148"/>
      <c r="AA99" s="163"/>
      <c r="AE99" s="148"/>
      <c r="AF99" s="163"/>
    </row>
    <row r="100" spans="2:32">
      <c r="B100" s="103">
        <f t="shared" si="20"/>
        <v>43</v>
      </c>
      <c r="C100" s="103">
        <f t="shared" si="21"/>
        <v>14</v>
      </c>
      <c r="D100" s="103">
        <f t="shared" si="22"/>
        <v>6</v>
      </c>
      <c r="E100" s="102" t="str">
        <f t="shared" si="23"/>
        <v>s43w14d6</v>
      </c>
      <c r="F100" s="151">
        <f t="shared" si="24"/>
        <v>40495</v>
      </c>
      <c r="G100" s="145">
        <f t="shared" si="25"/>
        <v>96</v>
      </c>
      <c r="H100" s="146">
        <f>IF(H99&gt;4.5,H99+VLOOKUP(CEILING(H99,1),Tables!$L$2:$M$14,2,FALSE),H99+VLOOKUP(FLOOR(H99,1),Tables!$L$2:$M$14,2,FALSE))</f>
        <v>4.5</v>
      </c>
      <c r="I100" s="145">
        <f t="shared" si="26"/>
        <v>96</v>
      </c>
      <c r="K100" s="148">
        <f>IF(L99&lt;10,IF(L99&gt;4.5,L99+VLOOKUP(CEILING(L99,1),Tables!$L$2:$M$14,2,FALSE),L99+VLOOKUP(FLOOR(L99,1),Tables!$L$2:$M$14,2,FALSE)),10-(1/3))</f>
        <v>4.5</v>
      </c>
      <c r="L100" s="163">
        <f t="shared" si="27"/>
        <v>4.5</v>
      </c>
      <c r="N100" s="145">
        <f t="shared" si="28"/>
        <v>96</v>
      </c>
      <c r="P100" s="148">
        <f>IF(Q99&lt;10,IF(Q99&gt;4.5,Q99+VLOOKUP(CEILING(Q99,1),Tables!$L$2:$M$14,2,FALSE),Q99+VLOOKUP(FLOOR(Q99,1),Tables!$L$2:$M$14,2,FALSE)),10-(1/3))</f>
        <v>6.7928205128205121</v>
      </c>
      <c r="Q100" s="163">
        <f t="shared" si="29"/>
        <v>6.7928205128205121</v>
      </c>
      <c r="U100" s="148"/>
      <c r="V100" s="163"/>
      <c r="Z100" s="148"/>
      <c r="AA100" s="163"/>
      <c r="AE100" s="148"/>
      <c r="AF100" s="163"/>
    </row>
    <row r="101" spans="2:32">
      <c r="B101" s="103">
        <f t="shared" si="20"/>
        <v>43</v>
      </c>
      <c r="C101" s="103">
        <f t="shared" si="21"/>
        <v>14</v>
      </c>
      <c r="D101" s="103">
        <f t="shared" si="22"/>
        <v>7</v>
      </c>
      <c r="E101" s="102" t="str">
        <f t="shared" si="23"/>
        <v>s43w14d7</v>
      </c>
      <c r="F101" s="151">
        <f t="shared" si="24"/>
        <v>40496</v>
      </c>
      <c r="G101" s="145">
        <f t="shared" si="25"/>
        <v>97</v>
      </c>
      <c r="H101" s="146">
        <f>IF(H100&gt;4.5,H100+VLOOKUP(CEILING(H100,1),Tables!$L$2:$M$14,2,FALSE),H100+VLOOKUP(FLOOR(H100,1),Tables!$L$2:$M$14,2,FALSE))</f>
        <v>4.5158730158730158</v>
      </c>
      <c r="I101" s="145">
        <f t="shared" si="26"/>
        <v>97</v>
      </c>
      <c r="K101" s="148">
        <f>IF(L100&lt;10,IF(L100&gt;4.5,L100+VLOOKUP(CEILING(L100,1),Tables!$L$2:$M$14,2,FALSE),L100+VLOOKUP(FLOOR(L100,1),Tables!$L$2:$M$14,2,FALSE)),10-(1/3))</f>
        <v>4.5158730158730158</v>
      </c>
      <c r="L101" s="163">
        <f t="shared" si="27"/>
        <v>4.5158730158730158</v>
      </c>
      <c r="N101" s="145">
        <f t="shared" si="28"/>
        <v>97</v>
      </c>
      <c r="O101" s="147" t="s">
        <v>451</v>
      </c>
      <c r="P101" s="148">
        <f>IF(Q100&lt;10,IF(Q100&gt;4.5,Q100+VLOOKUP(CEILING(Q100,1),Tables!$L$2:$M$14,2,FALSE),Q100+VLOOKUP(FLOOR(Q100,1),Tables!$L$2:$M$14,2,FALSE)),10-(1/3))</f>
        <v>6.7158974358974355</v>
      </c>
      <c r="Q101" s="163">
        <f t="shared" si="29"/>
        <v>8.932143589743589</v>
      </c>
      <c r="U101" s="148"/>
      <c r="V101" s="163"/>
      <c r="Z101" s="148"/>
      <c r="AA101" s="163"/>
      <c r="AE101" s="148"/>
      <c r="AF101" s="163"/>
    </row>
    <row r="102" spans="2:32">
      <c r="B102" s="103">
        <f t="shared" si="20"/>
        <v>43</v>
      </c>
      <c r="C102" s="103">
        <f t="shared" si="21"/>
        <v>15</v>
      </c>
      <c r="D102" s="103">
        <f t="shared" si="22"/>
        <v>1</v>
      </c>
      <c r="E102" s="102" t="str">
        <f t="shared" si="23"/>
        <v>s43w15d1</v>
      </c>
      <c r="F102" s="151">
        <f t="shared" si="24"/>
        <v>40497</v>
      </c>
      <c r="G102" s="145">
        <f t="shared" si="25"/>
        <v>98</v>
      </c>
      <c r="H102" s="146">
        <f>IF(H101&gt;4.5,H101+VLOOKUP(CEILING(H101,1),Tables!$L$2:$M$14,2,FALSE),H101+VLOOKUP(FLOOR(H101,1),Tables!$L$2:$M$14,2,FALSE))</f>
        <v>4.5</v>
      </c>
      <c r="I102" s="145">
        <f t="shared" si="26"/>
        <v>98</v>
      </c>
      <c r="K102" s="148">
        <f>IF(L101&lt;10,IF(L101&gt;4.5,L101+VLOOKUP(CEILING(L101,1),Tables!$L$2:$M$14,2,FALSE),L101+VLOOKUP(FLOOR(L101,1),Tables!$L$2:$M$14,2,FALSE)),10-(1/3))</f>
        <v>4.5</v>
      </c>
      <c r="L102" s="163">
        <f t="shared" si="27"/>
        <v>4.5</v>
      </c>
      <c r="N102" s="145">
        <f t="shared" si="28"/>
        <v>98</v>
      </c>
      <c r="P102" s="148">
        <f>IF(Q101&lt;10,IF(Q101&gt;4.5,Q101+VLOOKUP(CEILING(Q101,1),Tables!$L$2:$M$14,2,FALSE),Q101+VLOOKUP(FLOOR(Q101,1),Tables!$L$2:$M$14,2,FALSE)),10-(1/3))</f>
        <v>8.7321435897435897</v>
      </c>
      <c r="Q102" s="163">
        <f t="shared" si="29"/>
        <v>8.7321435897435897</v>
      </c>
      <c r="U102" s="148"/>
      <c r="V102" s="163"/>
      <c r="Z102" s="148"/>
      <c r="AA102" s="163"/>
      <c r="AE102" s="148"/>
      <c r="AF102" s="163"/>
    </row>
    <row r="103" spans="2:32">
      <c r="B103" s="103">
        <f t="shared" si="20"/>
        <v>43</v>
      </c>
      <c r="C103" s="103">
        <f t="shared" si="21"/>
        <v>15</v>
      </c>
      <c r="D103" s="103">
        <f t="shared" si="22"/>
        <v>2</v>
      </c>
      <c r="E103" s="102" t="str">
        <f t="shared" si="23"/>
        <v>s43w15d2</v>
      </c>
      <c r="F103" s="151">
        <f t="shared" si="24"/>
        <v>40498</v>
      </c>
      <c r="G103" s="145">
        <f t="shared" si="25"/>
        <v>99</v>
      </c>
      <c r="H103" s="146">
        <f>IF(H102&gt;4.5,H102+VLOOKUP(CEILING(H102,1),Tables!$L$2:$M$14,2,FALSE),H102+VLOOKUP(FLOOR(H102,1),Tables!$L$2:$M$14,2,FALSE))</f>
        <v>4.5158730158730158</v>
      </c>
      <c r="I103" s="145">
        <f t="shared" si="26"/>
        <v>99</v>
      </c>
      <c r="K103" s="148">
        <f>IF(L102&lt;10,IF(L102&gt;4.5,L102+VLOOKUP(CEILING(L102,1),Tables!$L$2:$M$14,2,FALSE),L102+VLOOKUP(FLOOR(L102,1),Tables!$L$2:$M$14,2,FALSE)),10-(1/3))</f>
        <v>4.5158730158730158</v>
      </c>
      <c r="L103" s="163">
        <f t="shared" si="27"/>
        <v>4.5158730158730158</v>
      </c>
      <c r="N103" s="145">
        <f t="shared" si="28"/>
        <v>99</v>
      </c>
      <c r="P103" s="148">
        <f>IF(Q102&lt;10,IF(Q102&gt;4.5,Q102+VLOOKUP(CEILING(Q102,1),Tables!$L$2:$M$14,2,FALSE),Q102+VLOOKUP(FLOOR(Q102,1),Tables!$L$2:$M$14,2,FALSE)),10-(1/3))</f>
        <v>8.5321435897435904</v>
      </c>
      <c r="Q103" s="163">
        <f t="shared" si="29"/>
        <v>8.5321435897435904</v>
      </c>
      <c r="U103" s="148"/>
      <c r="V103" s="163"/>
      <c r="Z103" s="148"/>
      <c r="AA103" s="163"/>
      <c r="AE103" s="148"/>
      <c r="AF103" s="163"/>
    </row>
    <row r="104" spans="2:32">
      <c r="B104" s="103">
        <f t="shared" si="20"/>
        <v>43</v>
      </c>
      <c r="C104" s="103">
        <f t="shared" si="21"/>
        <v>15</v>
      </c>
      <c r="D104" s="103">
        <f t="shared" si="22"/>
        <v>3</v>
      </c>
      <c r="E104" s="102" t="str">
        <f t="shared" si="23"/>
        <v>s43w15d3</v>
      </c>
      <c r="F104" s="151">
        <f t="shared" si="24"/>
        <v>40499</v>
      </c>
      <c r="G104" s="145">
        <f t="shared" si="25"/>
        <v>100</v>
      </c>
      <c r="H104" s="146">
        <f>IF(H103&gt;4.5,H103+VLOOKUP(CEILING(H103,1),Tables!$L$2:$M$14,2,FALSE),H103+VLOOKUP(FLOOR(H103,1),Tables!$L$2:$M$14,2,FALSE))</f>
        <v>4.5</v>
      </c>
      <c r="I104" s="145">
        <f t="shared" si="26"/>
        <v>100</v>
      </c>
      <c r="K104" s="148">
        <f>IF(L103&lt;10,IF(L103&gt;4.5,L103+VLOOKUP(CEILING(L103,1),Tables!$L$2:$M$14,2,FALSE),L103+VLOOKUP(FLOOR(L103,1),Tables!$L$2:$M$14,2,FALSE)),10-(1/3))</f>
        <v>4.5</v>
      </c>
      <c r="L104" s="163">
        <f t="shared" si="27"/>
        <v>4.5</v>
      </c>
      <c r="N104" s="145">
        <f t="shared" si="28"/>
        <v>100</v>
      </c>
      <c r="P104" s="148">
        <f>IF(Q103&lt;10,IF(Q103&gt;4.5,Q103+VLOOKUP(CEILING(Q103,1),Tables!$L$2:$M$14,2,FALSE),Q103+VLOOKUP(FLOOR(Q103,1),Tables!$L$2:$M$14,2,FALSE)),10-(1/3))</f>
        <v>8.3321435897435911</v>
      </c>
      <c r="Q104" s="163">
        <f t="shared" si="29"/>
        <v>8.3321435897435911</v>
      </c>
      <c r="U104" s="148"/>
      <c r="V104" s="163"/>
      <c r="Z104" s="148"/>
      <c r="AA104" s="163"/>
      <c r="AE104" s="148"/>
      <c r="AF104" s="163"/>
    </row>
    <row r="105" spans="2:32">
      <c r="B105" s="103">
        <f t="shared" si="20"/>
        <v>43</v>
      </c>
      <c r="C105" s="103">
        <f t="shared" si="21"/>
        <v>15</v>
      </c>
      <c r="D105" s="103">
        <f t="shared" si="22"/>
        <v>4</v>
      </c>
      <c r="E105" s="102" t="str">
        <f t="shared" si="23"/>
        <v>s43w15d4</v>
      </c>
      <c r="F105" s="151">
        <f t="shared" si="24"/>
        <v>40500</v>
      </c>
      <c r="G105" s="145">
        <f t="shared" si="25"/>
        <v>101</v>
      </c>
      <c r="H105" s="146">
        <f>IF(H104&gt;4.5,H104+VLOOKUP(CEILING(H104,1),Tables!$L$2:$M$14,2,FALSE),H104+VLOOKUP(FLOOR(H104,1),Tables!$L$2:$M$14,2,FALSE))</f>
        <v>4.5158730158730158</v>
      </c>
      <c r="I105" s="145">
        <f t="shared" si="26"/>
        <v>101</v>
      </c>
      <c r="K105" s="148">
        <f>IF(L104&lt;10,IF(L104&gt;4.5,L104+VLOOKUP(CEILING(L104,1),Tables!$L$2:$M$14,2,FALSE),L104+VLOOKUP(FLOOR(L104,1),Tables!$L$2:$M$14,2,FALSE)),10-(1/3))</f>
        <v>4.5158730158730158</v>
      </c>
      <c r="L105" s="163">
        <f t="shared" si="27"/>
        <v>4.5158730158730158</v>
      </c>
      <c r="N105" s="145">
        <f t="shared" si="28"/>
        <v>101</v>
      </c>
      <c r="P105" s="148">
        <f>IF(Q104&lt;10,IF(Q104&gt;4.5,Q104+VLOOKUP(CEILING(Q104,1),Tables!$L$2:$M$14,2,FALSE),Q104+VLOOKUP(FLOOR(Q104,1),Tables!$L$2:$M$14,2,FALSE)),10-(1/3))</f>
        <v>8.1321435897435919</v>
      </c>
      <c r="Q105" s="163">
        <f t="shared" si="29"/>
        <v>8.1321435897435919</v>
      </c>
      <c r="U105" s="148"/>
      <c r="V105" s="163"/>
      <c r="Z105" s="148"/>
      <c r="AA105" s="163"/>
      <c r="AE105" s="148"/>
      <c r="AF105" s="163"/>
    </row>
    <row r="106" spans="2:32">
      <c r="B106" s="103">
        <f t="shared" si="20"/>
        <v>43</v>
      </c>
      <c r="C106" s="103">
        <f t="shared" si="21"/>
        <v>15</v>
      </c>
      <c r="D106" s="103">
        <f t="shared" si="22"/>
        <v>5</v>
      </c>
      <c r="E106" s="102" t="str">
        <f t="shared" si="23"/>
        <v>s43w15d5</v>
      </c>
      <c r="F106" s="151">
        <f t="shared" si="24"/>
        <v>40501</v>
      </c>
      <c r="G106" s="145">
        <f t="shared" si="25"/>
        <v>102</v>
      </c>
      <c r="H106" s="146">
        <f>IF(H105&gt;4.5,H105+VLOOKUP(CEILING(H105,1),Tables!$L$2:$M$14,2,FALSE),H105+VLOOKUP(FLOOR(H105,1),Tables!$L$2:$M$14,2,FALSE))</f>
        <v>4.5</v>
      </c>
      <c r="I106" s="145">
        <f t="shared" si="26"/>
        <v>102</v>
      </c>
      <c r="K106" s="148">
        <f>IF(L105&lt;10,IF(L105&gt;4.5,L105+VLOOKUP(CEILING(L105,1),Tables!$L$2:$M$14,2,FALSE),L105+VLOOKUP(FLOOR(L105,1),Tables!$L$2:$M$14,2,FALSE)),10-(1/3))</f>
        <v>4.5</v>
      </c>
      <c r="L106" s="163">
        <f t="shared" si="27"/>
        <v>4.5</v>
      </c>
      <c r="N106" s="145">
        <f t="shared" si="28"/>
        <v>102</v>
      </c>
      <c r="P106" s="148">
        <f>IF(Q105&lt;10,IF(Q105&gt;4.5,Q105+VLOOKUP(CEILING(Q105,1),Tables!$L$2:$M$14,2,FALSE),Q105+VLOOKUP(FLOOR(Q105,1),Tables!$L$2:$M$14,2,FALSE)),10-(1/3))</f>
        <v>7.9321435897435917</v>
      </c>
      <c r="Q106" s="163">
        <f t="shared" si="29"/>
        <v>7.9321435897435917</v>
      </c>
      <c r="U106" s="148"/>
      <c r="V106" s="163"/>
      <c r="Z106" s="148"/>
      <c r="AA106" s="163"/>
      <c r="AE106" s="148"/>
      <c r="AF106" s="163"/>
    </row>
    <row r="107" spans="2:32">
      <c r="B107" s="103">
        <f t="shared" si="20"/>
        <v>43</v>
      </c>
      <c r="C107" s="103">
        <f t="shared" si="21"/>
        <v>15</v>
      </c>
      <c r="D107" s="103">
        <f t="shared" si="22"/>
        <v>6</v>
      </c>
      <c r="E107" s="102" t="str">
        <f t="shared" si="23"/>
        <v>s43w15d6</v>
      </c>
      <c r="F107" s="151">
        <f t="shared" si="24"/>
        <v>40502</v>
      </c>
      <c r="G107" s="145">
        <f t="shared" si="25"/>
        <v>103</v>
      </c>
      <c r="H107" s="146">
        <f>IF(H106&gt;4.5,H106+VLOOKUP(CEILING(H106,1),Tables!$L$2:$M$14,2,FALSE),H106+VLOOKUP(FLOOR(H106,1),Tables!$L$2:$M$14,2,FALSE))</f>
        <v>4.5158730158730158</v>
      </c>
      <c r="I107" s="145">
        <f t="shared" si="26"/>
        <v>103</v>
      </c>
      <c r="K107" s="148">
        <f>IF(L106&lt;10,IF(L106&gt;4.5,L106+VLOOKUP(CEILING(L106,1),Tables!$L$2:$M$14,2,FALSE),L106+VLOOKUP(FLOOR(L106,1),Tables!$L$2:$M$14,2,FALSE)),10-(1/3))</f>
        <v>4.5158730158730158</v>
      </c>
      <c r="L107" s="163">
        <f t="shared" si="27"/>
        <v>4.5158730158730158</v>
      </c>
      <c r="N107" s="145">
        <f t="shared" si="28"/>
        <v>103</v>
      </c>
      <c r="P107" s="148">
        <f>IF(Q106&lt;10,IF(Q106&gt;4.5,Q106+VLOOKUP(CEILING(Q106,1),Tables!$L$2:$M$14,2,FALSE),Q106+VLOOKUP(FLOOR(Q106,1),Tables!$L$2:$M$14,2,FALSE)),10-(1/3))</f>
        <v>7.7892864468864484</v>
      </c>
      <c r="Q107" s="163">
        <f t="shared" si="29"/>
        <v>7.7892864468864484</v>
      </c>
      <c r="U107" s="148"/>
      <c r="V107" s="163"/>
      <c r="Z107" s="148"/>
      <c r="AA107" s="163"/>
      <c r="AE107" s="148"/>
      <c r="AF107" s="163"/>
    </row>
    <row r="108" spans="2:32">
      <c r="B108" s="103">
        <f t="shared" si="20"/>
        <v>43</v>
      </c>
      <c r="C108" s="103">
        <f t="shared" si="21"/>
        <v>15</v>
      </c>
      <c r="D108" s="103">
        <f t="shared" si="22"/>
        <v>7</v>
      </c>
      <c r="E108" s="102" t="str">
        <f t="shared" si="23"/>
        <v>s43w15d7</v>
      </c>
      <c r="F108" s="151">
        <f t="shared" si="24"/>
        <v>40503</v>
      </c>
      <c r="G108" s="145">
        <f t="shared" si="25"/>
        <v>104</v>
      </c>
      <c r="H108" s="146">
        <f>IF(H107&gt;4.5,H107+VLOOKUP(CEILING(H107,1),Tables!$L$2:$M$14,2,FALSE),H107+VLOOKUP(FLOOR(H107,1),Tables!$L$2:$M$14,2,FALSE))</f>
        <v>4.5</v>
      </c>
      <c r="I108" s="145">
        <f t="shared" si="26"/>
        <v>104</v>
      </c>
      <c r="K108" s="148">
        <f>IF(L107&lt;10,IF(L107&gt;4.5,L107+VLOOKUP(CEILING(L107,1),Tables!$L$2:$M$14,2,FALSE),L107+VLOOKUP(FLOOR(L107,1),Tables!$L$2:$M$14,2,FALSE)),10-(1/3))</f>
        <v>4.5</v>
      </c>
      <c r="L108" s="163">
        <f t="shared" si="27"/>
        <v>4.5</v>
      </c>
      <c r="N108" s="145">
        <f t="shared" si="28"/>
        <v>104</v>
      </c>
      <c r="P108" s="148">
        <f>IF(Q107&lt;10,IF(Q107&gt;4.5,Q107+VLOOKUP(CEILING(Q107,1),Tables!$L$2:$M$14,2,FALSE),Q107+VLOOKUP(FLOOR(Q107,1),Tables!$L$2:$M$14,2,FALSE)),10-(1/3))</f>
        <v>7.6464293040293052</v>
      </c>
      <c r="Q108" s="163">
        <f t="shared" si="29"/>
        <v>7.6464293040293052</v>
      </c>
      <c r="U108" s="148"/>
      <c r="V108" s="163"/>
      <c r="Z108" s="148"/>
      <c r="AA108" s="163"/>
      <c r="AE108" s="148"/>
      <c r="AF108" s="163"/>
    </row>
    <row r="109" spans="2:32">
      <c r="B109" s="103">
        <f t="shared" si="20"/>
        <v>43</v>
      </c>
      <c r="C109" s="103">
        <f t="shared" si="21"/>
        <v>16</v>
      </c>
      <c r="D109" s="103">
        <f t="shared" si="22"/>
        <v>1</v>
      </c>
      <c r="E109" s="102" t="str">
        <f t="shared" si="23"/>
        <v>s43w16d1</v>
      </c>
      <c r="F109" s="151">
        <f t="shared" si="24"/>
        <v>40504</v>
      </c>
      <c r="G109" s="145">
        <f t="shared" si="25"/>
        <v>105</v>
      </c>
      <c r="H109" s="146">
        <f>IF(H108&gt;4.5,H108+VLOOKUP(CEILING(H108,1),Tables!$L$2:$M$14,2,FALSE),H108+VLOOKUP(FLOOR(H108,1),Tables!$L$2:$M$14,2,FALSE))</f>
        <v>4.5158730158730158</v>
      </c>
      <c r="I109" s="145">
        <f t="shared" si="26"/>
        <v>105</v>
      </c>
      <c r="K109" s="148">
        <f>IF(L108&lt;10,IF(L108&gt;4.5,L108+VLOOKUP(CEILING(L108,1),Tables!$L$2:$M$14,2,FALSE),L108+VLOOKUP(FLOOR(L108,1),Tables!$L$2:$M$14,2,FALSE)),10-(1/3))</f>
        <v>4.5158730158730158</v>
      </c>
      <c r="L109" s="163">
        <f t="shared" si="27"/>
        <v>4.5158730158730158</v>
      </c>
      <c r="N109" s="145">
        <f t="shared" si="28"/>
        <v>105</v>
      </c>
      <c r="P109" s="148">
        <f>IF(Q108&lt;10,IF(Q108&gt;4.5,Q108+VLOOKUP(CEILING(Q108,1),Tables!$L$2:$M$14,2,FALSE),Q108+VLOOKUP(FLOOR(Q108,1),Tables!$L$2:$M$14,2,FALSE)),10-(1/3))</f>
        <v>7.503572161172162</v>
      </c>
      <c r="Q109" s="163">
        <f t="shared" si="29"/>
        <v>7.503572161172162</v>
      </c>
      <c r="U109" s="148"/>
      <c r="V109" s="163"/>
      <c r="Z109" s="148"/>
      <c r="AA109" s="163"/>
      <c r="AE109" s="148"/>
      <c r="AF109" s="163"/>
    </row>
    <row r="110" spans="2:32">
      <c r="B110" s="103">
        <f t="shared" si="20"/>
        <v>43</v>
      </c>
      <c r="C110" s="103">
        <f t="shared" si="21"/>
        <v>16</v>
      </c>
      <c r="D110" s="103">
        <f t="shared" si="22"/>
        <v>2</v>
      </c>
      <c r="E110" s="102" t="str">
        <f t="shared" si="23"/>
        <v>s43w16d2</v>
      </c>
      <c r="F110" s="151">
        <f t="shared" si="24"/>
        <v>40505</v>
      </c>
      <c r="G110" s="145">
        <f t="shared" si="25"/>
        <v>106</v>
      </c>
      <c r="H110" s="146">
        <f>IF(H109&gt;4.5,H109+VLOOKUP(CEILING(H109,1),Tables!$L$2:$M$14,2,FALSE),H109+VLOOKUP(FLOOR(H109,1),Tables!$L$2:$M$14,2,FALSE))</f>
        <v>4.5</v>
      </c>
      <c r="I110" s="145">
        <f t="shared" si="26"/>
        <v>106</v>
      </c>
      <c r="K110" s="148">
        <f>IF(L109&lt;10,IF(L109&gt;4.5,L109+VLOOKUP(CEILING(L109,1),Tables!$L$2:$M$14,2,FALSE),L109+VLOOKUP(FLOOR(L109,1),Tables!$L$2:$M$14,2,FALSE)),10-(1/3))</f>
        <v>4.5</v>
      </c>
      <c r="L110" s="163">
        <f t="shared" si="27"/>
        <v>4.5</v>
      </c>
      <c r="N110" s="145">
        <f t="shared" si="28"/>
        <v>106</v>
      </c>
      <c r="P110" s="148">
        <f>IF(Q109&lt;10,IF(Q109&gt;4.5,Q109+VLOOKUP(CEILING(Q109,1),Tables!$L$2:$M$14,2,FALSE),Q109+VLOOKUP(FLOOR(Q109,1),Tables!$L$2:$M$14,2,FALSE)),10-(1/3))</f>
        <v>7.3607150183150187</v>
      </c>
      <c r="Q110" s="163">
        <f t="shared" si="29"/>
        <v>7.3607150183150187</v>
      </c>
      <c r="U110" s="148"/>
      <c r="V110" s="163"/>
      <c r="Z110" s="148"/>
      <c r="AA110" s="163"/>
      <c r="AE110" s="148"/>
      <c r="AF110" s="163"/>
    </row>
    <row r="111" spans="2:32">
      <c r="B111" s="103">
        <f t="shared" si="20"/>
        <v>43</v>
      </c>
      <c r="C111" s="103">
        <f t="shared" si="21"/>
        <v>16</v>
      </c>
      <c r="D111" s="103">
        <f t="shared" si="22"/>
        <v>3</v>
      </c>
      <c r="E111" s="102" t="str">
        <f t="shared" si="23"/>
        <v>s43w16d3</v>
      </c>
      <c r="F111" s="151">
        <f t="shared" si="24"/>
        <v>40506</v>
      </c>
      <c r="G111" s="145">
        <f t="shared" si="25"/>
        <v>107</v>
      </c>
      <c r="H111" s="146">
        <f>IF(H110&gt;4.5,H110+VLOOKUP(CEILING(H110,1),Tables!$L$2:$M$14,2,FALSE),H110+VLOOKUP(FLOOR(H110,1),Tables!$L$2:$M$14,2,FALSE))</f>
        <v>4.5158730158730158</v>
      </c>
      <c r="I111" s="145">
        <f t="shared" si="26"/>
        <v>107</v>
      </c>
      <c r="K111" s="148">
        <f>IF(L110&lt;10,IF(L110&gt;4.5,L110+VLOOKUP(CEILING(L110,1),Tables!$L$2:$M$14,2,FALSE),L110+VLOOKUP(FLOOR(L110,1),Tables!$L$2:$M$14,2,FALSE)),10-(1/3))</f>
        <v>4.5158730158730158</v>
      </c>
      <c r="L111" s="163">
        <f t="shared" si="27"/>
        <v>4.5158730158730158</v>
      </c>
      <c r="N111" s="145">
        <f t="shared" si="28"/>
        <v>107</v>
      </c>
      <c r="P111" s="148">
        <f>IF(Q110&lt;10,IF(Q110&gt;4.5,Q110+VLOOKUP(CEILING(Q110,1),Tables!$L$2:$M$14,2,FALSE),Q110+VLOOKUP(FLOOR(Q110,1),Tables!$L$2:$M$14,2,FALSE)),10-(1/3))</f>
        <v>7.2178578754578755</v>
      </c>
      <c r="Q111" s="163">
        <f t="shared" si="29"/>
        <v>7.2178578754578755</v>
      </c>
      <c r="U111" s="148"/>
      <c r="V111" s="163"/>
      <c r="Z111" s="148"/>
      <c r="AA111" s="163"/>
      <c r="AE111" s="148"/>
      <c r="AF111" s="163"/>
    </row>
    <row r="112" spans="2:32">
      <c r="B112" s="103">
        <f t="shared" si="20"/>
        <v>43</v>
      </c>
      <c r="C112" s="103">
        <f t="shared" si="21"/>
        <v>16</v>
      </c>
      <c r="D112" s="103">
        <f t="shared" si="22"/>
        <v>4</v>
      </c>
      <c r="E112" s="102" t="str">
        <f t="shared" si="23"/>
        <v>s43w16d4</v>
      </c>
      <c r="F112" s="151">
        <f t="shared" si="24"/>
        <v>40507</v>
      </c>
      <c r="G112" s="145">
        <f t="shared" si="25"/>
        <v>108</v>
      </c>
      <c r="H112" s="146">
        <f>IF(H111&gt;4.5,H111+VLOOKUP(CEILING(H111,1),Tables!$L$2:$M$14,2,FALSE),H111+VLOOKUP(FLOOR(H111,1),Tables!$L$2:$M$14,2,FALSE))</f>
        <v>4.5</v>
      </c>
      <c r="I112" s="145">
        <f t="shared" si="26"/>
        <v>108</v>
      </c>
      <c r="K112" s="148">
        <f>IF(L111&lt;10,IF(L111&gt;4.5,L111+VLOOKUP(CEILING(L111,1),Tables!$L$2:$M$14,2,FALSE),L111+VLOOKUP(FLOOR(L111,1),Tables!$L$2:$M$14,2,FALSE)),10-(1/3))</f>
        <v>4.5</v>
      </c>
      <c r="L112" s="163">
        <f t="shared" si="27"/>
        <v>4.5</v>
      </c>
      <c r="N112" s="145">
        <f t="shared" si="28"/>
        <v>108</v>
      </c>
      <c r="P112" s="148">
        <f>IF(Q111&lt;10,IF(Q111&gt;4.5,Q111+VLOOKUP(CEILING(Q111,1),Tables!$L$2:$M$14,2,FALSE),Q111+VLOOKUP(FLOOR(Q111,1),Tables!$L$2:$M$14,2,FALSE)),10-(1/3))</f>
        <v>7.0750007326007323</v>
      </c>
      <c r="Q112" s="163">
        <f t="shared" si="29"/>
        <v>7.0750007326007323</v>
      </c>
      <c r="U112" s="148"/>
      <c r="V112" s="163"/>
      <c r="Z112" s="148"/>
      <c r="AA112" s="163"/>
      <c r="AE112" s="148"/>
      <c r="AF112" s="163"/>
    </row>
    <row r="113" spans="2:32">
      <c r="B113" s="103">
        <f t="shared" si="20"/>
        <v>43</v>
      </c>
      <c r="C113" s="103">
        <f t="shared" si="21"/>
        <v>16</v>
      </c>
      <c r="D113" s="103">
        <f t="shared" si="22"/>
        <v>5</v>
      </c>
      <c r="E113" s="102" t="str">
        <f t="shared" si="23"/>
        <v>s43w16d5</v>
      </c>
      <c r="F113" s="151">
        <f t="shared" si="24"/>
        <v>40508</v>
      </c>
      <c r="G113" s="145">
        <f t="shared" si="25"/>
        <v>109</v>
      </c>
      <c r="H113" s="146">
        <f>IF(H112&gt;4.5,H112+VLOOKUP(CEILING(H112,1),Tables!$L$2:$M$14,2,FALSE),H112+VLOOKUP(FLOOR(H112,1),Tables!$L$2:$M$14,2,FALSE))</f>
        <v>4.5158730158730158</v>
      </c>
      <c r="I113" s="145">
        <f t="shared" si="26"/>
        <v>109</v>
      </c>
      <c r="K113" s="148">
        <f>IF(L112&lt;10,IF(L112&gt;4.5,L112+VLOOKUP(CEILING(L112,1),Tables!$L$2:$M$14,2,FALSE),L112+VLOOKUP(FLOOR(L112,1),Tables!$L$2:$M$14,2,FALSE)),10-(1/3))</f>
        <v>4.5158730158730158</v>
      </c>
      <c r="L113" s="163">
        <f t="shared" si="27"/>
        <v>4.5158730158730158</v>
      </c>
      <c r="N113" s="145">
        <f t="shared" si="28"/>
        <v>109</v>
      </c>
      <c r="P113" s="148">
        <f>IF(Q112&lt;10,IF(Q112&gt;4.5,Q112+VLOOKUP(CEILING(Q112,1),Tables!$L$2:$M$14,2,FALSE),Q112+VLOOKUP(FLOOR(Q112,1),Tables!$L$2:$M$14,2,FALSE)),10-(1/3))</f>
        <v>6.932143589743589</v>
      </c>
      <c r="Q113" s="163">
        <f t="shared" si="29"/>
        <v>6.932143589743589</v>
      </c>
      <c r="U113" s="148"/>
      <c r="V113" s="163"/>
      <c r="Z113" s="148"/>
      <c r="AA113" s="163"/>
      <c r="AE113" s="148"/>
      <c r="AF113" s="163"/>
    </row>
    <row r="114" spans="2:32">
      <c r="B114" s="103">
        <f t="shared" si="20"/>
        <v>43</v>
      </c>
      <c r="C114" s="103">
        <f t="shared" si="21"/>
        <v>16</v>
      </c>
      <c r="D114" s="103">
        <f t="shared" si="22"/>
        <v>6</v>
      </c>
      <c r="E114" s="102" t="str">
        <f t="shared" si="23"/>
        <v>s43w16d6</v>
      </c>
      <c r="F114" s="151">
        <f t="shared" si="24"/>
        <v>40509</v>
      </c>
      <c r="G114" s="145">
        <f t="shared" si="25"/>
        <v>110</v>
      </c>
      <c r="H114" s="146">
        <f>IF(H113&gt;4.5,H113+VLOOKUP(CEILING(H113,1),Tables!$L$2:$M$14,2,FALSE),H113+VLOOKUP(FLOOR(H113,1),Tables!$L$2:$M$14,2,FALSE))</f>
        <v>4.5</v>
      </c>
      <c r="I114" s="145">
        <f t="shared" si="26"/>
        <v>110</v>
      </c>
      <c r="K114" s="148">
        <f>IF(L113&lt;10,IF(L113&gt;4.5,L113+VLOOKUP(CEILING(L113,1),Tables!$L$2:$M$14,2,FALSE),L113+VLOOKUP(FLOOR(L113,1),Tables!$L$2:$M$14,2,FALSE)),10-(1/3))</f>
        <v>4.5</v>
      </c>
      <c r="L114" s="163">
        <f t="shared" si="27"/>
        <v>4.5</v>
      </c>
      <c r="N114" s="145">
        <f t="shared" si="28"/>
        <v>110</v>
      </c>
      <c r="P114" s="148">
        <f>IF(Q113&lt;10,IF(Q113&gt;4.5,Q113+VLOOKUP(CEILING(Q113,1),Tables!$L$2:$M$14,2,FALSE),Q113+VLOOKUP(FLOOR(Q113,1),Tables!$L$2:$M$14,2,FALSE)),10-(1/3))</f>
        <v>6.8552205128205124</v>
      </c>
      <c r="Q114" s="163">
        <f t="shared" si="29"/>
        <v>6.8552205128205124</v>
      </c>
      <c r="U114" s="148"/>
      <c r="V114" s="163"/>
      <c r="Z114" s="148"/>
      <c r="AA114" s="163"/>
      <c r="AE114" s="148"/>
      <c r="AF114" s="163"/>
    </row>
    <row r="115" spans="2:32">
      <c r="B115" s="103">
        <f t="shared" si="20"/>
        <v>43</v>
      </c>
      <c r="C115" s="103">
        <f t="shared" si="21"/>
        <v>16</v>
      </c>
      <c r="D115" s="103">
        <f t="shared" si="22"/>
        <v>7</v>
      </c>
      <c r="E115" s="102" t="str">
        <f t="shared" si="23"/>
        <v>s43w16d7</v>
      </c>
      <c r="F115" s="151">
        <f t="shared" si="24"/>
        <v>40510</v>
      </c>
      <c r="G115" s="145">
        <f t="shared" si="25"/>
        <v>111</v>
      </c>
      <c r="H115" s="146">
        <f>IF(H114&gt;4.5,H114+VLOOKUP(CEILING(H114,1),Tables!$L$2:$M$14,2,FALSE),H114+VLOOKUP(FLOOR(H114,1),Tables!$L$2:$M$14,2,FALSE))</f>
        <v>4.5158730158730158</v>
      </c>
      <c r="I115" s="145">
        <f t="shared" si="26"/>
        <v>111</v>
      </c>
      <c r="K115" s="148">
        <f>IF(L114&lt;10,IF(L114&gt;4.5,L114+VLOOKUP(CEILING(L114,1),Tables!$L$2:$M$14,2,FALSE),L114+VLOOKUP(FLOOR(L114,1),Tables!$L$2:$M$14,2,FALSE)),10-(1/3))</f>
        <v>4.5158730158730158</v>
      </c>
      <c r="L115" s="163">
        <f t="shared" si="27"/>
        <v>4.5158730158730158</v>
      </c>
      <c r="N115" s="145">
        <f t="shared" si="28"/>
        <v>111</v>
      </c>
      <c r="P115" s="148">
        <f>IF(Q114&lt;10,IF(Q114&gt;4.5,Q114+VLOOKUP(CEILING(Q114,1),Tables!$L$2:$M$14,2,FALSE),Q114+VLOOKUP(FLOOR(Q114,1),Tables!$L$2:$M$14,2,FALSE)),10-(1/3))</f>
        <v>6.7782974358974357</v>
      </c>
      <c r="Q115" s="163">
        <f t="shared" si="29"/>
        <v>6.7782974358974357</v>
      </c>
      <c r="U115" s="148"/>
      <c r="V115" s="163"/>
      <c r="Z115" s="148"/>
      <c r="AA115" s="163"/>
      <c r="AE115" s="148"/>
      <c r="AF115" s="163"/>
    </row>
    <row r="116" spans="2:32">
      <c r="F116" s="151"/>
      <c r="K116" s="148"/>
      <c r="L116" s="163"/>
      <c r="P116" s="148"/>
      <c r="Q116" s="163"/>
      <c r="U116" s="148"/>
      <c r="V116" s="163"/>
      <c r="Z116" s="148"/>
      <c r="AA116" s="163"/>
      <c r="AE116" s="148"/>
      <c r="AF116" s="163"/>
    </row>
    <row r="117" spans="2:32">
      <c r="F117" s="151"/>
      <c r="K117" s="148"/>
      <c r="L117" s="163"/>
      <c r="P117" s="148"/>
      <c r="Q117" s="163"/>
      <c r="U117" s="148"/>
      <c r="V117" s="163"/>
      <c r="Z117" s="148"/>
      <c r="AA117" s="163"/>
      <c r="AE117" s="148"/>
      <c r="AF117" s="163"/>
    </row>
    <row r="118" spans="2:32">
      <c r="F118" s="151"/>
      <c r="K118" s="148"/>
      <c r="L118" s="163"/>
      <c r="P118" s="148"/>
      <c r="Q118" s="163"/>
      <c r="U118" s="148"/>
      <c r="V118" s="163"/>
      <c r="Z118" s="148"/>
      <c r="AA118" s="163"/>
      <c r="AE118" s="148"/>
      <c r="AF118" s="163"/>
    </row>
    <row r="119" spans="2:32">
      <c r="F119" s="151"/>
      <c r="K119" s="148"/>
      <c r="L119" s="163"/>
      <c r="P119" s="148"/>
      <c r="Q119" s="163"/>
      <c r="U119" s="148"/>
      <c r="V119" s="163"/>
      <c r="Z119" s="148"/>
      <c r="AA119" s="163"/>
      <c r="AE119" s="148"/>
      <c r="AF119" s="163"/>
    </row>
    <row r="120" spans="2:32">
      <c r="F120" s="151"/>
      <c r="K120" s="148"/>
      <c r="L120" s="163"/>
      <c r="P120" s="148"/>
      <c r="Q120" s="163"/>
      <c r="U120" s="148"/>
      <c r="V120" s="163"/>
      <c r="Z120" s="148"/>
      <c r="AA120" s="163"/>
      <c r="AE120" s="148"/>
      <c r="AF120" s="163"/>
    </row>
    <row r="121" spans="2:32">
      <c r="F121" s="151"/>
      <c r="K121" s="148"/>
      <c r="L121" s="163"/>
      <c r="P121" s="148"/>
      <c r="Q121" s="163"/>
      <c r="U121" s="148"/>
      <c r="V121" s="163"/>
      <c r="Z121" s="148"/>
      <c r="AA121" s="163"/>
      <c r="AE121" s="148"/>
      <c r="AF121" s="163"/>
    </row>
    <row r="122" spans="2:32">
      <c r="F122" s="151"/>
      <c r="K122" s="148"/>
      <c r="L122" s="163"/>
      <c r="P122" s="148"/>
      <c r="Q122" s="163"/>
      <c r="U122" s="148"/>
      <c r="V122" s="163"/>
      <c r="Z122" s="148"/>
      <c r="AA122" s="163"/>
      <c r="AE122" s="148"/>
      <c r="AF122" s="163"/>
    </row>
    <row r="123" spans="2:32">
      <c r="F123" s="151"/>
      <c r="K123" s="148"/>
      <c r="L123" s="163"/>
      <c r="P123" s="148"/>
      <c r="Q123" s="163"/>
      <c r="U123" s="148"/>
      <c r="V123" s="163"/>
      <c r="Z123" s="148"/>
      <c r="AA123" s="163"/>
      <c r="AE123" s="148"/>
      <c r="AF123" s="163"/>
    </row>
    <row r="124" spans="2:32">
      <c r="F124" s="151"/>
      <c r="K124" s="148"/>
      <c r="L124" s="163"/>
      <c r="P124" s="148"/>
      <c r="Q124" s="163"/>
      <c r="U124" s="148"/>
      <c r="V124" s="163"/>
      <c r="Z124" s="148"/>
      <c r="AA124" s="163"/>
      <c r="AE124" s="148"/>
      <c r="AF124" s="163"/>
    </row>
    <row r="125" spans="2:32">
      <c r="F125" s="151"/>
      <c r="K125" s="148"/>
      <c r="L125" s="163"/>
      <c r="P125" s="148"/>
      <c r="Q125" s="163"/>
      <c r="U125" s="148"/>
      <c r="V125" s="163"/>
      <c r="Z125" s="148"/>
      <c r="AA125" s="163"/>
      <c r="AE125" s="148"/>
      <c r="AF125" s="163"/>
    </row>
    <row r="126" spans="2:32">
      <c r="F126" s="151"/>
      <c r="K126" s="148"/>
      <c r="L126" s="163"/>
      <c r="P126" s="148"/>
      <c r="Q126" s="163"/>
      <c r="U126" s="148"/>
      <c r="V126" s="163"/>
      <c r="Z126" s="148"/>
      <c r="AA126" s="163"/>
      <c r="AE126" s="148"/>
      <c r="AF126" s="163"/>
    </row>
    <row r="127" spans="2:32">
      <c r="F127" s="151"/>
      <c r="K127" s="148"/>
      <c r="L127" s="163"/>
      <c r="P127" s="148"/>
      <c r="Q127" s="163"/>
      <c r="U127" s="148"/>
      <c r="V127" s="163"/>
      <c r="Z127" s="148"/>
      <c r="AA127" s="163"/>
      <c r="AE127" s="148"/>
      <c r="AF127" s="163"/>
    </row>
    <row r="128" spans="2:32">
      <c r="F128" s="151"/>
      <c r="K128" s="148"/>
      <c r="L128" s="163"/>
      <c r="P128" s="148"/>
      <c r="Q128" s="163"/>
      <c r="U128" s="148"/>
      <c r="V128" s="163"/>
      <c r="Z128" s="148"/>
      <c r="AA128" s="163"/>
      <c r="AE128" s="148"/>
      <c r="AF128" s="163"/>
    </row>
    <row r="129" spans="6:32">
      <c r="F129" s="151"/>
      <c r="K129" s="148"/>
      <c r="L129" s="163"/>
      <c r="P129" s="148"/>
      <c r="Q129" s="163"/>
      <c r="U129" s="148"/>
      <c r="V129" s="163"/>
      <c r="Z129" s="148"/>
      <c r="AA129" s="163"/>
      <c r="AE129" s="148"/>
      <c r="AF129" s="163"/>
    </row>
    <row r="130" spans="6:32">
      <c r="F130" s="151"/>
      <c r="K130" s="148"/>
      <c r="L130" s="163"/>
      <c r="P130" s="148"/>
      <c r="Q130" s="163"/>
      <c r="U130" s="148"/>
      <c r="V130" s="163"/>
      <c r="Z130" s="148"/>
      <c r="AA130" s="163"/>
      <c r="AE130" s="148"/>
      <c r="AF130" s="163"/>
    </row>
    <row r="131" spans="6:32">
      <c r="F131" s="151"/>
      <c r="K131" s="148"/>
      <c r="L131" s="163"/>
      <c r="P131" s="148"/>
      <c r="Q131" s="163"/>
      <c r="U131" s="148"/>
      <c r="V131" s="163"/>
      <c r="Z131" s="148"/>
      <c r="AA131" s="163"/>
      <c r="AE131" s="148"/>
      <c r="AF131" s="163"/>
    </row>
    <row r="132" spans="6:32">
      <c r="F132" s="151"/>
      <c r="K132" s="148"/>
      <c r="L132" s="163"/>
      <c r="P132" s="148"/>
      <c r="Q132" s="163"/>
      <c r="U132" s="148"/>
      <c r="V132" s="163"/>
      <c r="Z132" s="148"/>
      <c r="AA132" s="163"/>
      <c r="AE132" s="148"/>
      <c r="AF132" s="163"/>
    </row>
    <row r="133" spans="6:32">
      <c r="F133" s="151"/>
      <c r="K133" s="148"/>
      <c r="L133" s="163"/>
      <c r="P133" s="148"/>
      <c r="Q133" s="163"/>
      <c r="U133" s="148"/>
      <c r="V133" s="163"/>
      <c r="Z133" s="148"/>
      <c r="AA133" s="163"/>
      <c r="AE133" s="148"/>
      <c r="AF133" s="163"/>
    </row>
    <row r="134" spans="6:32">
      <c r="F134" s="151"/>
      <c r="K134" s="148"/>
      <c r="L134" s="163"/>
      <c r="P134" s="148"/>
      <c r="Q134" s="163"/>
      <c r="U134" s="148"/>
      <c r="V134" s="163"/>
      <c r="Z134" s="148"/>
      <c r="AA134" s="163"/>
      <c r="AE134" s="148"/>
      <c r="AF134" s="163"/>
    </row>
    <row r="135" spans="6:32">
      <c r="F135" s="151"/>
      <c r="K135" s="148"/>
      <c r="L135" s="163"/>
      <c r="P135" s="148"/>
      <c r="Q135" s="163"/>
      <c r="U135" s="148"/>
      <c r="V135" s="163"/>
      <c r="Z135" s="148"/>
      <c r="AA135" s="163"/>
      <c r="AE135" s="148"/>
      <c r="AF135" s="163"/>
    </row>
    <row r="136" spans="6:32">
      <c r="F136" s="151"/>
      <c r="K136" s="148"/>
      <c r="L136" s="163"/>
      <c r="P136" s="148"/>
      <c r="Q136" s="163"/>
      <c r="U136" s="148"/>
      <c r="V136" s="163"/>
      <c r="Z136" s="148"/>
      <c r="AA136" s="163"/>
      <c r="AE136" s="148"/>
      <c r="AF136" s="163"/>
    </row>
    <row r="137" spans="6:32">
      <c r="F137" s="151"/>
      <c r="K137" s="148"/>
      <c r="L137" s="163"/>
      <c r="P137" s="148"/>
      <c r="Q137" s="163"/>
      <c r="U137" s="148"/>
      <c r="V137" s="163"/>
      <c r="Z137" s="148"/>
      <c r="AA137" s="163"/>
      <c r="AE137" s="148"/>
      <c r="AF137" s="163"/>
    </row>
    <row r="138" spans="6:32">
      <c r="F138" s="151"/>
      <c r="K138" s="148"/>
      <c r="L138" s="163"/>
      <c r="P138" s="148"/>
      <c r="Q138" s="163"/>
      <c r="U138" s="148"/>
      <c r="V138" s="163"/>
      <c r="Z138" s="148"/>
      <c r="AA138" s="163"/>
      <c r="AE138" s="148"/>
      <c r="AF138" s="163"/>
    </row>
    <row r="139" spans="6:32">
      <c r="F139" s="151"/>
      <c r="K139" s="148"/>
      <c r="L139" s="163"/>
      <c r="P139" s="148"/>
      <c r="Q139" s="163"/>
      <c r="U139" s="148"/>
      <c r="V139" s="163"/>
      <c r="Z139" s="148"/>
      <c r="AA139" s="163"/>
      <c r="AE139" s="148"/>
      <c r="AF139" s="163"/>
    </row>
    <row r="140" spans="6:32">
      <c r="F140" s="151"/>
      <c r="K140" s="148"/>
      <c r="L140" s="163"/>
      <c r="P140" s="148"/>
      <c r="Q140" s="163"/>
      <c r="U140" s="148"/>
      <c r="V140" s="163"/>
      <c r="Z140" s="148"/>
      <c r="AA140" s="163"/>
      <c r="AE140" s="148"/>
      <c r="AF140" s="163"/>
    </row>
    <row r="141" spans="6:32">
      <c r="F141" s="151"/>
      <c r="K141" s="148"/>
      <c r="L141" s="163"/>
      <c r="P141" s="148"/>
      <c r="Q141" s="163"/>
      <c r="U141" s="148"/>
      <c r="V141" s="163"/>
      <c r="Z141" s="148"/>
      <c r="AA141" s="163"/>
      <c r="AE141" s="148"/>
      <c r="AF141" s="163"/>
    </row>
    <row r="142" spans="6:32">
      <c r="F142" s="151"/>
      <c r="K142" s="148"/>
      <c r="L142" s="163"/>
      <c r="P142" s="148"/>
      <c r="Q142" s="163"/>
      <c r="U142" s="148"/>
      <c r="V142" s="163"/>
      <c r="Z142" s="148"/>
      <c r="AA142" s="163"/>
      <c r="AE142" s="148"/>
      <c r="AF142" s="163"/>
    </row>
    <row r="143" spans="6:32">
      <c r="F143" s="151"/>
      <c r="K143" s="148"/>
      <c r="L143" s="163"/>
      <c r="P143" s="148"/>
      <c r="Q143" s="163"/>
      <c r="U143" s="148"/>
      <c r="V143" s="163"/>
      <c r="Z143" s="148"/>
      <c r="AA143" s="163"/>
      <c r="AE143" s="148"/>
      <c r="AF143" s="163"/>
    </row>
    <row r="144" spans="6:32">
      <c r="F144" s="151"/>
      <c r="K144" s="148"/>
      <c r="L144" s="163"/>
      <c r="P144" s="148"/>
      <c r="Q144" s="163"/>
      <c r="U144" s="148"/>
      <c r="V144" s="163"/>
      <c r="Z144" s="148"/>
      <c r="AA144" s="163"/>
      <c r="AE144" s="148"/>
      <c r="AF144" s="163"/>
    </row>
    <row r="145" spans="6:32">
      <c r="F145" s="151"/>
      <c r="K145" s="148"/>
      <c r="L145" s="163"/>
      <c r="P145" s="148"/>
      <c r="Q145" s="163"/>
      <c r="U145" s="148"/>
      <c r="V145" s="163"/>
      <c r="Z145" s="148"/>
      <c r="AA145" s="163"/>
      <c r="AE145" s="148"/>
      <c r="AF145" s="163"/>
    </row>
    <row r="146" spans="6:32">
      <c r="F146" s="151"/>
      <c r="K146" s="148"/>
      <c r="L146" s="163"/>
      <c r="P146" s="148"/>
      <c r="Q146" s="163"/>
      <c r="U146" s="148"/>
      <c r="V146" s="163"/>
      <c r="Z146" s="148"/>
      <c r="AA146" s="163"/>
      <c r="AE146" s="148"/>
      <c r="AF146" s="163"/>
    </row>
    <row r="147" spans="6:32">
      <c r="F147" s="151"/>
      <c r="K147" s="148"/>
      <c r="L147" s="163"/>
      <c r="P147" s="148"/>
      <c r="Q147" s="163"/>
      <c r="U147" s="148"/>
      <c r="V147" s="163"/>
      <c r="Z147" s="148"/>
      <c r="AA147" s="163"/>
      <c r="AE147" s="148"/>
      <c r="AF147" s="163"/>
    </row>
    <row r="148" spans="6:32">
      <c r="F148" s="151"/>
      <c r="K148" s="148"/>
      <c r="L148" s="163"/>
      <c r="P148" s="148"/>
      <c r="Q148" s="163"/>
      <c r="U148" s="148"/>
      <c r="V148" s="163"/>
      <c r="Z148" s="148"/>
      <c r="AA148" s="163"/>
      <c r="AE148" s="148"/>
      <c r="AF148" s="163"/>
    </row>
    <row r="149" spans="6:32">
      <c r="F149" s="151"/>
      <c r="K149" s="148"/>
      <c r="L149" s="163"/>
      <c r="P149" s="148"/>
      <c r="Q149" s="163"/>
      <c r="U149" s="148"/>
      <c r="V149" s="163"/>
      <c r="Z149" s="148"/>
      <c r="AA149" s="163"/>
      <c r="AE149" s="148"/>
      <c r="AF149" s="163"/>
    </row>
    <row r="150" spans="6:32">
      <c r="F150" s="151"/>
      <c r="K150" s="148"/>
      <c r="L150" s="163"/>
      <c r="P150" s="148"/>
      <c r="Q150" s="163"/>
      <c r="U150" s="148"/>
      <c r="V150" s="163"/>
      <c r="Z150" s="148"/>
      <c r="AA150" s="163"/>
      <c r="AE150" s="148"/>
      <c r="AF150" s="163"/>
    </row>
    <row r="151" spans="6:32">
      <c r="F151" s="151"/>
      <c r="K151" s="148"/>
      <c r="L151" s="163"/>
      <c r="P151" s="148"/>
      <c r="Q151" s="163"/>
      <c r="U151" s="148"/>
      <c r="V151" s="163"/>
      <c r="Z151" s="148"/>
      <c r="AA151" s="163"/>
      <c r="AE151" s="148"/>
      <c r="AF151" s="163"/>
    </row>
    <row r="152" spans="6:32">
      <c r="F152" s="151"/>
      <c r="K152" s="148"/>
      <c r="L152" s="163"/>
      <c r="P152" s="148"/>
      <c r="Q152" s="163"/>
      <c r="U152" s="148"/>
      <c r="V152" s="163"/>
      <c r="Z152" s="148"/>
      <c r="AA152" s="163"/>
      <c r="AE152" s="148"/>
      <c r="AF152" s="163"/>
    </row>
    <row r="153" spans="6:32">
      <c r="F153" s="151"/>
      <c r="K153" s="148"/>
      <c r="L153" s="163"/>
      <c r="P153" s="148"/>
      <c r="Q153" s="163"/>
      <c r="U153" s="148"/>
      <c r="V153" s="163"/>
      <c r="Z153" s="148"/>
      <c r="AA153" s="163"/>
      <c r="AE153" s="148"/>
      <c r="AF153" s="163"/>
    </row>
    <row r="154" spans="6:32">
      <c r="F154" s="151"/>
      <c r="K154" s="148"/>
      <c r="L154" s="163"/>
      <c r="P154" s="148"/>
      <c r="Q154" s="163"/>
      <c r="U154" s="148"/>
      <c r="V154" s="163"/>
      <c r="Z154" s="148"/>
      <c r="AA154" s="163"/>
      <c r="AE154" s="148"/>
      <c r="AF154" s="163"/>
    </row>
    <row r="155" spans="6:32">
      <c r="F155" s="151"/>
      <c r="K155" s="148"/>
      <c r="L155" s="163"/>
      <c r="P155" s="148"/>
      <c r="Q155" s="163"/>
      <c r="U155" s="148"/>
      <c r="V155" s="163"/>
      <c r="Z155" s="148"/>
      <c r="AA155" s="163"/>
      <c r="AE155" s="148"/>
      <c r="AF155" s="163"/>
    </row>
    <row r="156" spans="6:32">
      <c r="F156" s="151"/>
      <c r="K156" s="148"/>
      <c r="L156" s="163"/>
      <c r="P156" s="148"/>
      <c r="Q156" s="163"/>
      <c r="U156" s="148"/>
      <c r="V156" s="163"/>
      <c r="Z156" s="148"/>
      <c r="AA156" s="163"/>
      <c r="AE156" s="148"/>
      <c r="AF156" s="163"/>
    </row>
    <row r="157" spans="6:32">
      <c r="F157" s="151"/>
      <c r="K157" s="148"/>
      <c r="L157" s="163"/>
      <c r="P157" s="148"/>
      <c r="Q157" s="163"/>
      <c r="U157" s="148"/>
      <c r="V157" s="163"/>
      <c r="Z157" s="148"/>
      <c r="AA157" s="163"/>
      <c r="AE157" s="148"/>
      <c r="AF157" s="163"/>
    </row>
    <row r="158" spans="6:32">
      <c r="F158" s="151"/>
      <c r="K158" s="148"/>
      <c r="L158" s="163"/>
      <c r="P158" s="148"/>
      <c r="Q158" s="163"/>
      <c r="U158" s="148"/>
      <c r="V158" s="163"/>
      <c r="Z158" s="148"/>
      <c r="AA158" s="163"/>
      <c r="AE158" s="148"/>
      <c r="AF158" s="163"/>
    </row>
    <row r="159" spans="6:32">
      <c r="F159" s="151"/>
      <c r="K159" s="148"/>
      <c r="L159" s="163"/>
      <c r="P159" s="148"/>
      <c r="Q159" s="163"/>
      <c r="U159" s="148"/>
      <c r="V159" s="163"/>
      <c r="Z159" s="148"/>
      <c r="AA159" s="163"/>
      <c r="AE159" s="148"/>
      <c r="AF159" s="163"/>
    </row>
    <row r="160" spans="6:32">
      <c r="F160" s="151"/>
      <c r="K160" s="148"/>
      <c r="L160" s="163"/>
      <c r="P160" s="148"/>
      <c r="Q160" s="163"/>
      <c r="U160" s="148"/>
      <c r="V160" s="163"/>
      <c r="Z160" s="148"/>
      <c r="AA160" s="163"/>
      <c r="AE160" s="148"/>
      <c r="AF160" s="163"/>
    </row>
    <row r="161" spans="6:32">
      <c r="F161" s="151"/>
      <c r="K161" s="148"/>
      <c r="L161" s="163"/>
      <c r="P161" s="148"/>
      <c r="Q161" s="163"/>
      <c r="U161" s="148"/>
      <c r="V161" s="163"/>
      <c r="Z161" s="148"/>
      <c r="AA161" s="163"/>
      <c r="AE161" s="148"/>
      <c r="AF161" s="163"/>
    </row>
    <row r="162" spans="6:32">
      <c r="F162" s="151"/>
      <c r="K162" s="148"/>
      <c r="L162" s="163"/>
      <c r="P162" s="148"/>
      <c r="Q162" s="163"/>
      <c r="U162" s="148"/>
      <c r="V162" s="163"/>
      <c r="Z162" s="148"/>
      <c r="AA162" s="163"/>
      <c r="AE162" s="148"/>
      <c r="AF162" s="163"/>
    </row>
    <row r="163" spans="6:32">
      <c r="F163" s="151"/>
      <c r="K163" s="148"/>
      <c r="L163" s="163"/>
      <c r="P163" s="148"/>
      <c r="Q163" s="163"/>
      <c r="U163" s="148"/>
      <c r="V163" s="163"/>
      <c r="Z163" s="148"/>
      <c r="AA163" s="163"/>
      <c r="AE163" s="148"/>
      <c r="AF163" s="163"/>
    </row>
    <row r="164" spans="6:32">
      <c r="F164" s="151"/>
      <c r="K164" s="148"/>
      <c r="L164" s="163"/>
      <c r="P164" s="148"/>
      <c r="Q164" s="163"/>
      <c r="U164" s="148"/>
      <c r="V164" s="163"/>
      <c r="Z164" s="148"/>
      <c r="AA164" s="163"/>
      <c r="AE164" s="148"/>
      <c r="AF164" s="163"/>
    </row>
    <row r="165" spans="6:32">
      <c r="F165" s="151"/>
      <c r="K165" s="148"/>
      <c r="L165" s="163"/>
      <c r="P165" s="148"/>
      <c r="Q165" s="163"/>
      <c r="U165" s="148"/>
      <c r="V165" s="163"/>
      <c r="Z165" s="148"/>
      <c r="AA165" s="163"/>
      <c r="AE165" s="148"/>
      <c r="AF165" s="163"/>
    </row>
    <row r="166" spans="6:32">
      <c r="F166" s="151"/>
      <c r="K166" s="148"/>
      <c r="L166" s="163"/>
      <c r="P166" s="148"/>
      <c r="Q166" s="163"/>
      <c r="U166" s="148"/>
      <c r="V166" s="163"/>
      <c r="Z166" s="148"/>
      <c r="AA166" s="163"/>
      <c r="AE166" s="148"/>
      <c r="AF166" s="163"/>
    </row>
    <row r="167" spans="6:32">
      <c r="F167" s="151"/>
      <c r="K167" s="148"/>
      <c r="L167" s="163"/>
      <c r="P167" s="148"/>
      <c r="Q167" s="163"/>
      <c r="U167" s="148"/>
      <c r="V167" s="163"/>
      <c r="Z167" s="148"/>
      <c r="AA167" s="163"/>
      <c r="AE167" s="148"/>
      <c r="AF167" s="163"/>
    </row>
    <row r="168" spans="6:32">
      <c r="F168" s="151"/>
      <c r="K168" s="148"/>
      <c r="L168" s="163"/>
      <c r="P168" s="148"/>
      <c r="Q168" s="163"/>
      <c r="U168" s="148"/>
      <c r="V168" s="163"/>
      <c r="Z168" s="148"/>
      <c r="AA168" s="163"/>
      <c r="AE168" s="148"/>
      <c r="AF168" s="163"/>
    </row>
    <row r="169" spans="6:32">
      <c r="F169" s="151"/>
      <c r="K169" s="148"/>
      <c r="L169" s="163"/>
      <c r="P169" s="148"/>
      <c r="Q169" s="163"/>
      <c r="U169" s="148"/>
      <c r="V169" s="163"/>
      <c r="Z169" s="148"/>
      <c r="AA169" s="163"/>
      <c r="AE169" s="148"/>
      <c r="AF169" s="163"/>
    </row>
    <row r="170" spans="6:32">
      <c r="F170" s="151"/>
      <c r="K170" s="148"/>
      <c r="L170" s="163"/>
      <c r="P170" s="148"/>
      <c r="Q170" s="163"/>
      <c r="U170" s="148"/>
      <c r="V170" s="163"/>
      <c r="Z170" s="148"/>
      <c r="AA170" s="163"/>
      <c r="AE170" s="148"/>
      <c r="AF170" s="163"/>
    </row>
    <row r="171" spans="6:32">
      <c r="F171" s="151"/>
      <c r="K171" s="148"/>
      <c r="L171" s="163"/>
      <c r="P171" s="148"/>
      <c r="Q171" s="163"/>
      <c r="U171" s="148"/>
      <c r="V171" s="163"/>
      <c r="Z171" s="148"/>
      <c r="AA171" s="163"/>
      <c r="AE171" s="148"/>
      <c r="AF171" s="163"/>
    </row>
    <row r="172" spans="6:32">
      <c r="F172" s="151"/>
      <c r="K172" s="148"/>
      <c r="L172" s="163"/>
      <c r="P172" s="148"/>
      <c r="Q172" s="163"/>
      <c r="U172" s="148"/>
      <c r="V172" s="163"/>
      <c r="Z172" s="148"/>
      <c r="AA172" s="163"/>
      <c r="AE172" s="148"/>
      <c r="AF172" s="163"/>
    </row>
    <row r="173" spans="6:32">
      <c r="F173" s="151"/>
      <c r="K173" s="148"/>
      <c r="L173" s="163"/>
      <c r="P173" s="148"/>
      <c r="Q173" s="163"/>
      <c r="U173" s="148"/>
      <c r="V173" s="163"/>
      <c r="Z173" s="148"/>
      <c r="AA173" s="163"/>
      <c r="AE173" s="148"/>
      <c r="AF173" s="163"/>
    </row>
    <row r="174" spans="6:32">
      <c r="F174" s="151"/>
      <c r="K174" s="148"/>
      <c r="L174" s="163"/>
      <c r="P174" s="148"/>
      <c r="Q174" s="163"/>
      <c r="U174" s="148"/>
      <c r="V174" s="163"/>
      <c r="Z174" s="148"/>
      <c r="AA174" s="163"/>
      <c r="AE174" s="148"/>
      <c r="AF174" s="163"/>
    </row>
    <row r="175" spans="6:32">
      <c r="F175" s="151"/>
      <c r="K175" s="148"/>
      <c r="L175" s="163"/>
      <c r="P175" s="148"/>
      <c r="Q175" s="163"/>
      <c r="U175" s="148"/>
      <c r="V175" s="163"/>
      <c r="Z175" s="148"/>
      <c r="AA175" s="163"/>
      <c r="AE175" s="148"/>
      <c r="AF175" s="163"/>
    </row>
    <row r="176" spans="6:32">
      <c r="F176" s="151"/>
      <c r="K176" s="148"/>
      <c r="L176" s="163"/>
      <c r="P176" s="148"/>
      <c r="Q176" s="163"/>
      <c r="U176" s="148"/>
      <c r="V176" s="163"/>
      <c r="Z176" s="148"/>
      <c r="AA176" s="163"/>
      <c r="AE176" s="148"/>
      <c r="AF176" s="163"/>
    </row>
    <row r="177" spans="6:33">
      <c r="F177" s="151"/>
      <c r="K177" s="148"/>
      <c r="L177" s="163"/>
      <c r="P177" s="148"/>
      <c r="Q177" s="163"/>
      <c r="U177" s="148"/>
      <c r="V177" s="163"/>
      <c r="Z177" s="148"/>
      <c r="AA177" s="163"/>
      <c r="AE177" s="148"/>
      <c r="AF177" s="163"/>
    </row>
    <row r="178" spans="6:33">
      <c r="F178" s="151"/>
      <c r="K178" s="148"/>
      <c r="L178" s="163"/>
      <c r="P178" s="148"/>
      <c r="Q178" s="163"/>
      <c r="U178" s="148"/>
      <c r="V178" s="163"/>
      <c r="Z178" s="148"/>
      <c r="AA178" s="163"/>
      <c r="AE178" s="148"/>
      <c r="AF178" s="163"/>
    </row>
    <row r="179" spans="6:33">
      <c r="F179" s="151"/>
      <c r="K179" s="148"/>
      <c r="L179" s="163"/>
      <c r="P179" s="148"/>
      <c r="Q179" s="163"/>
      <c r="U179" s="148"/>
      <c r="V179" s="163"/>
      <c r="Z179" s="148"/>
      <c r="AA179" s="163"/>
      <c r="AE179" s="148"/>
      <c r="AF179" s="163"/>
    </row>
    <row r="180" spans="6:33">
      <c r="F180" s="151"/>
      <c r="K180" s="148"/>
      <c r="L180" s="163"/>
      <c r="P180" s="148"/>
      <c r="Q180" s="163"/>
      <c r="U180" s="148"/>
      <c r="V180" s="163"/>
      <c r="Z180" s="148"/>
      <c r="AA180" s="163"/>
      <c r="AE180" s="148"/>
      <c r="AF180" s="163"/>
    </row>
    <row r="181" spans="6:33">
      <c r="F181" s="151"/>
      <c r="K181" s="148"/>
      <c r="L181" s="163"/>
      <c r="P181" s="148"/>
      <c r="Q181" s="163"/>
      <c r="U181" s="148"/>
      <c r="V181" s="163"/>
      <c r="Z181" s="148"/>
      <c r="AA181" s="163"/>
      <c r="AE181" s="148"/>
      <c r="AF181" s="163"/>
    </row>
    <row r="182" spans="6:33">
      <c r="F182" s="151"/>
      <c r="K182" s="148"/>
      <c r="L182" s="163"/>
      <c r="P182" s="148"/>
      <c r="Q182" s="163"/>
      <c r="U182" s="148"/>
      <c r="V182" s="163"/>
      <c r="Z182" s="148"/>
      <c r="AA182" s="163"/>
      <c r="AE182" s="148"/>
      <c r="AF182" s="163"/>
    </row>
    <row r="183" spans="6:33">
      <c r="F183" s="151"/>
      <c r="K183" s="148"/>
      <c r="L183" s="163"/>
      <c r="P183" s="148"/>
      <c r="Q183" s="163"/>
      <c r="U183" s="148"/>
      <c r="V183" s="163"/>
      <c r="Z183" s="148"/>
      <c r="AA183" s="163"/>
      <c r="AE183" s="148"/>
      <c r="AF183" s="163"/>
    </row>
    <row r="184" spans="6:33">
      <c r="F184" s="151"/>
      <c r="K184" s="148"/>
      <c r="L184" s="163"/>
      <c r="M184" s="150"/>
      <c r="P184" s="148"/>
      <c r="Q184" s="163"/>
      <c r="R184" s="150"/>
      <c r="U184" s="148"/>
      <c r="V184" s="163"/>
      <c r="W184" s="150"/>
      <c r="Z184" s="148"/>
      <c r="AA184" s="163"/>
      <c r="AB184" s="150"/>
      <c r="AE184" s="148"/>
      <c r="AF184" s="163"/>
      <c r="AG184" s="150"/>
    </row>
    <row r="185" spans="6:33">
      <c r="F185" s="151"/>
      <c r="K185" s="148"/>
      <c r="L185" s="163"/>
      <c r="M185" s="150"/>
      <c r="P185" s="148"/>
      <c r="Q185" s="163"/>
      <c r="R185" s="150"/>
      <c r="U185" s="148"/>
      <c r="V185" s="163"/>
      <c r="W185" s="150"/>
      <c r="Z185" s="148"/>
      <c r="AA185" s="163"/>
      <c r="AB185" s="150"/>
      <c r="AE185" s="148"/>
      <c r="AF185" s="163"/>
      <c r="AG185" s="150"/>
    </row>
    <row r="186" spans="6:33">
      <c r="F186" s="151"/>
      <c r="K186" s="148"/>
      <c r="L186" s="163"/>
      <c r="M186" s="150"/>
      <c r="P186" s="148"/>
      <c r="Q186" s="163"/>
      <c r="R186" s="150"/>
      <c r="U186" s="148"/>
      <c r="V186" s="163"/>
      <c r="W186" s="150"/>
      <c r="Z186" s="148"/>
      <c r="AA186" s="163"/>
      <c r="AB186" s="150"/>
      <c r="AE186" s="148"/>
      <c r="AF186" s="163"/>
      <c r="AG186" s="150"/>
    </row>
    <row r="187" spans="6:33">
      <c r="F187" s="151"/>
      <c r="K187" s="148"/>
      <c r="L187" s="163"/>
      <c r="M187" s="150"/>
      <c r="P187" s="148"/>
      <c r="Q187" s="163"/>
      <c r="R187" s="150"/>
      <c r="U187" s="148"/>
      <c r="V187" s="163"/>
      <c r="W187" s="150"/>
      <c r="Z187" s="148"/>
      <c r="AA187" s="163"/>
      <c r="AB187" s="150"/>
      <c r="AE187" s="148"/>
      <c r="AF187" s="163"/>
      <c r="AG187" s="150"/>
    </row>
    <row r="188" spans="6:33">
      <c r="F188" s="151"/>
      <c r="K188" s="148"/>
      <c r="L188" s="163"/>
      <c r="M188" s="150"/>
      <c r="P188" s="148"/>
      <c r="Q188" s="163"/>
      <c r="R188" s="150"/>
      <c r="U188" s="148"/>
      <c r="V188" s="163"/>
      <c r="W188" s="150"/>
      <c r="Z188" s="148"/>
      <c r="AA188" s="163"/>
      <c r="AB188" s="150"/>
      <c r="AE188" s="148"/>
      <c r="AF188" s="163"/>
      <c r="AG188" s="150"/>
    </row>
    <row r="189" spans="6:33">
      <c r="F189" s="151"/>
      <c r="K189" s="148"/>
      <c r="L189" s="163"/>
      <c r="M189" s="150"/>
      <c r="P189" s="148"/>
      <c r="Q189" s="163"/>
      <c r="R189" s="150"/>
      <c r="U189" s="148"/>
      <c r="V189" s="163"/>
      <c r="W189" s="150"/>
      <c r="Z189" s="148"/>
      <c r="AA189" s="163"/>
      <c r="AB189" s="150"/>
      <c r="AE189" s="148"/>
      <c r="AF189" s="163"/>
      <c r="AG189" s="150"/>
    </row>
    <row r="190" spans="6:33">
      <c r="F190" s="151"/>
      <c r="K190" s="148"/>
      <c r="L190" s="163"/>
      <c r="M190" s="150"/>
      <c r="P190" s="148"/>
      <c r="Q190" s="163"/>
      <c r="R190" s="150"/>
      <c r="U190" s="148"/>
      <c r="V190" s="163"/>
      <c r="W190" s="150"/>
      <c r="Z190" s="148"/>
      <c r="AA190" s="163"/>
      <c r="AB190" s="150"/>
      <c r="AE190" s="148"/>
      <c r="AF190" s="163"/>
      <c r="AG190" s="150"/>
    </row>
    <row r="191" spans="6:33">
      <c r="F191" s="151"/>
      <c r="K191" s="148"/>
      <c r="L191" s="148"/>
      <c r="P191" s="148"/>
      <c r="Q191" s="148"/>
      <c r="U191" s="148"/>
      <c r="V191" s="148"/>
      <c r="Z191" s="148"/>
      <c r="AA191" s="148"/>
      <c r="AE191" s="148"/>
      <c r="AF191" s="148"/>
    </row>
    <row r="192" spans="6:33">
      <c r="F192" s="151"/>
      <c r="K192" s="148"/>
      <c r="L192" s="148"/>
      <c r="P192" s="148"/>
      <c r="Q192" s="148"/>
      <c r="U192" s="148"/>
      <c r="V192" s="148"/>
      <c r="Z192" s="148"/>
      <c r="AA192" s="148"/>
      <c r="AE192" s="148"/>
      <c r="AF192" s="148"/>
    </row>
    <row r="193" spans="6:32">
      <c r="F193" s="151"/>
      <c r="K193" s="148"/>
      <c r="L193" s="148"/>
      <c r="P193" s="148"/>
      <c r="Q193" s="148"/>
      <c r="U193" s="148"/>
      <c r="V193" s="148"/>
      <c r="Z193" s="148"/>
      <c r="AA193" s="148"/>
      <c r="AE193" s="148"/>
      <c r="AF193" s="148"/>
    </row>
    <row r="194" spans="6:32">
      <c r="F194" s="151"/>
      <c r="K194" s="148"/>
      <c r="L194" s="148"/>
      <c r="P194" s="148"/>
      <c r="Q194" s="148"/>
      <c r="U194" s="148"/>
      <c r="V194" s="148"/>
      <c r="Z194" s="148"/>
      <c r="AA194" s="148"/>
      <c r="AE194" s="148"/>
      <c r="AF194" s="148"/>
    </row>
    <row r="195" spans="6:32">
      <c r="F195" s="151"/>
      <c r="K195" s="148"/>
      <c r="L195" s="148"/>
      <c r="P195" s="148"/>
      <c r="Q195" s="148"/>
      <c r="U195" s="148"/>
      <c r="V195" s="148"/>
      <c r="Z195" s="148"/>
      <c r="AA195" s="148"/>
      <c r="AE195" s="148"/>
      <c r="AF195" s="148"/>
    </row>
    <row r="196" spans="6:32">
      <c r="F196" s="151"/>
      <c r="K196" s="148"/>
      <c r="L196" s="148"/>
      <c r="P196" s="148"/>
      <c r="Q196" s="148"/>
      <c r="U196" s="148"/>
      <c r="V196" s="148"/>
      <c r="Z196" s="148"/>
      <c r="AA196" s="148"/>
      <c r="AE196" s="148"/>
      <c r="AF196" s="148"/>
    </row>
    <row r="197" spans="6:32">
      <c r="F197" s="151"/>
      <c r="K197" s="148"/>
      <c r="L197" s="148"/>
      <c r="P197" s="148"/>
      <c r="Q197" s="148"/>
      <c r="U197" s="148"/>
      <c r="V197" s="148"/>
      <c r="Z197" s="148"/>
      <c r="AA197" s="148"/>
      <c r="AE197" s="148"/>
      <c r="AF197" s="148"/>
    </row>
    <row r="198" spans="6:32">
      <c r="F198" s="151"/>
      <c r="K198" s="148"/>
      <c r="L198" s="148"/>
      <c r="P198" s="148"/>
      <c r="Q198" s="148"/>
      <c r="U198" s="148"/>
      <c r="V198" s="148"/>
      <c r="Z198" s="148"/>
      <c r="AA198" s="148"/>
      <c r="AE198" s="148"/>
      <c r="AF198" s="148"/>
    </row>
    <row r="199" spans="6:32">
      <c r="F199" s="151"/>
      <c r="K199" s="148"/>
      <c r="L199" s="148"/>
      <c r="P199" s="148"/>
      <c r="Q199" s="148"/>
      <c r="U199" s="148"/>
      <c r="V199" s="148"/>
      <c r="Z199" s="148"/>
      <c r="AA199" s="148"/>
      <c r="AE199" s="148"/>
      <c r="AF199" s="148"/>
    </row>
    <row r="200" spans="6:32">
      <c r="F200" s="151"/>
      <c r="K200" s="148"/>
      <c r="L200" s="148"/>
      <c r="P200" s="148"/>
      <c r="Q200" s="148"/>
      <c r="U200" s="148"/>
      <c r="V200" s="148"/>
      <c r="Z200" s="148"/>
      <c r="AA200" s="148"/>
      <c r="AE200" s="148"/>
      <c r="AF200" s="148"/>
    </row>
    <row r="201" spans="6:32">
      <c r="K201" s="157"/>
      <c r="L201" s="157"/>
      <c r="P201" s="157"/>
      <c r="Q201" s="157"/>
      <c r="U201" s="157"/>
      <c r="V201" s="157"/>
      <c r="Z201" s="157"/>
      <c r="AA201" s="157"/>
      <c r="AE201" s="157"/>
      <c r="AF201" s="157"/>
    </row>
    <row r="202" spans="6:32">
      <c r="F202" s="151"/>
      <c r="K202" s="148"/>
      <c r="L202" s="148"/>
      <c r="P202" s="148"/>
      <c r="Q202" s="148"/>
      <c r="U202" s="148"/>
      <c r="V202" s="148"/>
      <c r="Z202" s="148"/>
      <c r="AA202" s="148"/>
      <c r="AE202" s="148"/>
      <c r="AF202" s="148"/>
    </row>
    <row r="203" spans="6:32">
      <c r="F203" s="151"/>
      <c r="K203" s="148"/>
      <c r="L203" s="148"/>
      <c r="P203" s="148"/>
      <c r="Q203" s="148"/>
      <c r="U203" s="148"/>
      <c r="V203" s="148"/>
      <c r="Z203" s="148"/>
      <c r="AA203" s="148"/>
      <c r="AE203" s="148"/>
      <c r="AF203" s="148"/>
    </row>
    <row r="204" spans="6:32">
      <c r="F204" s="151"/>
      <c r="K204" s="148"/>
      <c r="L204" s="148"/>
      <c r="P204" s="148"/>
      <c r="Q204" s="148"/>
      <c r="U204" s="148"/>
      <c r="V204" s="148"/>
      <c r="Z204" s="148"/>
      <c r="AA204" s="148"/>
      <c r="AE204" s="148"/>
      <c r="AF204" s="148"/>
    </row>
    <row r="205" spans="6:32">
      <c r="K205" s="157"/>
      <c r="L205" s="157"/>
      <c r="P205" s="157"/>
      <c r="Q205" s="157"/>
      <c r="U205" s="157"/>
      <c r="V205" s="157"/>
      <c r="Z205" s="157"/>
      <c r="AA205" s="157"/>
      <c r="AE205" s="157"/>
      <c r="AF205" s="157"/>
    </row>
    <row r="206" spans="6:32">
      <c r="F206" s="151"/>
      <c r="K206" s="148"/>
      <c r="L206" s="148"/>
      <c r="P206" s="148"/>
      <c r="Q206" s="148"/>
      <c r="U206" s="148"/>
      <c r="V206" s="148"/>
      <c r="Z206" s="148"/>
      <c r="AA206" s="148"/>
      <c r="AE206" s="148"/>
      <c r="AF206" s="148"/>
    </row>
    <row r="207" spans="6:32">
      <c r="F207" s="151"/>
      <c r="K207" s="148"/>
      <c r="L207" s="148"/>
      <c r="P207" s="148"/>
      <c r="Q207" s="148"/>
      <c r="U207" s="148"/>
      <c r="V207" s="148"/>
      <c r="Z207" s="148"/>
      <c r="AA207" s="148"/>
      <c r="AE207" s="148"/>
      <c r="AF207" s="148"/>
    </row>
    <row r="208" spans="6:32">
      <c r="F208" s="151"/>
      <c r="K208" s="148"/>
      <c r="L208" s="148"/>
      <c r="P208" s="148"/>
      <c r="Q208" s="148"/>
      <c r="U208" s="148"/>
      <c r="V208" s="148"/>
      <c r="Z208" s="148"/>
      <c r="AA208" s="148"/>
      <c r="AE208" s="148"/>
      <c r="AF208" s="148"/>
    </row>
    <row r="209" spans="6:32">
      <c r="F209" s="151"/>
      <c r="K209" s="148"/>
      <c r="L209" s="148"/>
      <c r="P209" s="148"/>
      <c r="Q209" s="148"/>
      <c r="U209" s="148"/>
      <c r="V209" s="148"/>
      <c r="Z209" s="148"/>
      <c r="AA209" s="148"/>
      <c r="AE209" s="148"/>
      <c r="AF209" s="148"/>
    </row>
    <row r="210" spans="6:32">
      <c r="K210" s="157"/>
      <c r="L210" s="157"/>
      <c r="P210" s="157"/>
      <c r="Q210" s="157"/>
      <c r="U210" s="157"/>
      <c r="V210" s="157"/>
      <c r="Z210" s="157"/>
      <c r="AA210" s="157"/>
      <c r="AE210" s="157"/>
      <c r="AF210" s="157"/>
    </row>
    <row r="211" spans="6:32">
      <c r="F211" s="151"/>
      <c r="K211" s="148"/>
      <c r="L211" s="148"/>
      <c r="P211" s="148"/>
      <c r="Q211" s="148"/>
      <c r="U211" s="148"/>
      <c r="V211" s="148"/>
      <c r="Z211" s="148"/>
      <c r="AA211" s="148"/>
      <c r="AE211" s="148"/>
      <c r="AF211" s="148"/>
    </row>
    <row r="212" spans="6:32">
      <c r="F212" s="151"/>
      <c r="K212" s="148"/>
      <c r="L212" s="148"/>
      <c r="P212" s="148"/>
      <c r="Q212" s="148"/>
      <c r="U212" s="148"/>
      <c r="V212" s="148"/>
      <c r="Z212" s="148"/>
      <c r="AA212" s="148"/>
      <c r="AE212" s="148"/>
      <c r="AF212" s="148"/>
    </row>
    <row r="213" spans="6:32">
      <c r="F213" s="151"/>
      <c r="K213" s="148"/>
      <c r="L213" s="148"/>
      <c r="P213" s="148"/>
      <c r="Q213" s="148"/>
      <c r="U213" s="148"/>
      <c r="V213" s="148"/>
      <c r="Z213" s="148"/>
      <c r="AA213" s="148"/>
      <c r="AE213" s="148"/>
      <c r="AF213" s="148"/>
    </row>
    <row r="214" spans="6:32">
      <c r="F214" s="151"/>
      <c r="K214" s="148"/>
      <c r="L214" s="148"/>
      <c r="P214" s="148"/>
      <c r="Q214" s="148"/>
      <c r="U214" s="148"/>
      <c r="V214" s="148"/>
      <c r="Z214" s="148"/>
      <c r="AA214" s="148"/>
      <c r="AE214" s="148"/>
      <c r="AF214" s="148"/>
    </row>
    <row r="215" spans="6:32">
      <c r="F215" s="151"/>
      <c r="K215" s="148"/>
      <c r="L215" s="148"/>
      <c r="P215" s="148"/>
      <c r="Q215" s="148"/>
      <c r="U215" s="148"/>
      <c r="V215" s="148"/>
      <c r="Z215" s="148"/>
      <c r="AA215" s="148"/>
      <c r="AE215" s="148"/>
      <c r="AF215" s="148"/>
    </row>
    <row r="216" spans="6:32">
      <c r="F216" s="151"/>
      <c r="K216" s="148"/>
      <c r="L216" s="148"/>
      <c r="P216" s="148"/>
      <c r="Q216" s="148"/>
      <c r="U216" s="148"/>
      <c r="V216" s="148"/>
      <c r="Z216" s="148"/>
      <c r="AA216" s="148"/>
      <c r="AE216" s="148"/>
      <c r="AF216" s="148"/>
    </row>
    <row r="217" spans="6:32">
      <c r="F217" s="151"/>
      <c r="K217" s="148"/>
      <c r="L217" s="148"/>
      <c r="P217" s="148"/>
      <c r="Q217" s="148"/>
      <c r="U217" s="148"/>
      <c r="V217" s="148"/>
      <c r="Z217" s="148"/>
      <c r="AA217" s="148"/>
      <c r="AE217" s="148"/>
      <c r="AF217" s="148"/>
    </row>
    <row r="218" spans="6:32">
      <c r="F218" s="151"/>
      <c r="K218" s="148"/>
      <c r="L218" s="148"/>
      <c r="P218" s="148"/>
      <c r="Q218" s="148"/>
      <c r="U218" s="148"/>
      <c r="V218" s="148"/>
      <c r="Z218" s="148"/>
      <c r="AA218" s="148"/>
      <c r="AE218" s="148"/>
      <c r="AF218" s="148"/>
    </row>
    <row r="219" spans="6:32">
      <c r="F219" s="151"/>
      <c r="K219" s="148"/>
      <c r="L219" s="148"/>
      <c r="P219" s="148"/>
      <c r="Q219" s="148"/>
      <c r="U219" s="148"/>
      <c r="V219" s="148"/>
      <c r="Z219" s="148"/>
      <c r="AA219" s="148"/>
      <c r="AE219" s="148"/>
      <c r="AF219" s="148"/>
    </row>
    <row r="220" spans="6:32">
      <c r="F220" s="151"/>
      <c r="K220" s="148"/>
      <c r="L220" s="148"/>
      <c r="P220" s="148"/>
      <c r="Q220" s="148"/>
      <c r="U220" s="148"/>
      <c r="V220" s="148"/>
      <c r="Z220" s="148"/>
      <c r="AA220" s="148"/>
      <c r="AE220" s="148"/>
      <c r="AF220" s="148"/>
    </row>
    <row r="221" spans="6:32">
      <c r="F221" s="151"/>
      <c r="K221" s="148"/>
      <c r="L221" s="148"/>
      <c r="P221" s="148"/>
      <c r="Q221" s="148"/>
      <c r="U221" s="148"/>
      <c r="V221" s="148"/>
      <c r="Z221" s="148"/>
      <c r="AA221" s="148"/>
      <c r="AE221" s="148"/>
      <c r="AF221" s="148"/>
    </row>
    <row r="222" spans="6:32">
      <c r="F222" s="151"/>
      <c r="K222" s="148"/>
      <c r="L222" s="148"/>
      <c r="P222" s="148"/>
      <c r="Q222" s="148"/>
      <c r="U222" s="148"/>
      <c r="V222" s="148"/>
      <c r="Z222" s="148"/>
      <c r="AA222" s="148"/>
      <c r="AE222" s="148"/>
      <c r="AF222" s="148"/>
    </row>
    <row r="223" spans="6:32">
      <c r="F223" s="151"/>
      <c r="K223" s="148"/>
      <c r="L223" s="148"/>
      <c r="P223" s="148"/>
      <c r="Q223" s="148"/>
      <c r="U223" s="148"/>
      <c r="V223" s="148"/>
      <c r="Z223" s="148"/>
      <c r="AA223" s="148"/>
      <c r="AE223" s="148"/>
      <c r="AF223" s="148"/>
    </row>
    <row r="224" spans="6:32">
      <c r="F224" s="151"/>
      <c r="K224" s="148"/>
      <c r="L224" s="148"/>
      <c r="P224" s="148"/>
      <c r="Q224" s="148"/>
      <c r="U224" s="148"/>
      <c r="V224" s="148"/>
      <c r="Z224" s="148"/>
      <c r="AA224" s="148"/>
      <c r="AE224" s="148"/>
      <c r="AF224" s="148"/>
    </row>
    <row r="225" spans="6:32">
      <c r="F225" s="151"/>
      <c r="K225" s="148"/>
      <c r="L225" s="148"/>
      <c r="P225" s="148"/>
      <c r="Q225" s="148"/>
      <c r="U225" s="148"/>
      <c r="V225" s="148"/>
      <c r="Z225" s="148"/>
      <c r="AA225" s="148"/>
      <c r="AE225" s="148"/>
      <c r="AF225" s="148"/>
    </row>
    <row r="226" spans="6:32">
      <c r="F226" s="151"/>
      <c r="K226" s="148"/>
      <c r="L226" s="148"/>
      <c r="P226" s="148"/>
      <c r="Q226" s="148"/>
      <c r="U226" s="148"/>
      <c r="V226" s="148"/>
      <c r="Z226" s="148"/>
      <c r="AA226" s="148"/>
      <c r="AE226" s="148"/>
      <c r="AF226" s="148"/>
    </row>
    <row r="227" spans="6:32">
      <c r="F227" s="151"/>
      <c r="K227" s="148"/>
      <c r="L227" s="148"/>
      <c r="P227" s="148"/>
      <c r="Q227" s="148"/>
      <c r="U227" s="148"/>
      <c r="V227" s="148"/>
      <c r="Z227" s="148"/>
      <c r="AA227" s="148"/>
      <c r="AE227" s="148"/>
      <c r="AF227" s="148"/>
    </row>
    <row r="228" spans="6:32">
      <c r="F228" s="151"/>
      <c r="K228" s="148"/>
      <c r="L228" s="148"/>
      <c r="P228" s="148"/>
      <c r="Q228" s="148"/>
      <c r="U228" s="148"/>
      <c r="V228" s="148"/>
      <c r="Z228" s="148"/>
      <c r="AA228" s="148"/>
      <c r="AE228" s="148"/>
      <c r="AF228" s="148"/>
    </row>
    <row r="229" spans="6:32">
      <c r="F229" s="151"/>
      <c r="K229" s="148"/>
      <c r="L229" s="148"/>
      <c r="P229" s="148"/>
      <c r="Q229" s="148"/>
      <c r="U229" s="148"/>
      <c r="V229" s="148"/>
      <c r="Z229" s="148"/>
      <c r="AA229" s="148"/>
      <c r="AE229" s="148"/>
      <c r="AF229" s="148"/>
    </row>
    <row r="230" spans="6:32">
      <c r="F230" s="151"/>
      <c r="K230" s="148"/>
      <c r="L230" s="148"/>
      <c r="P230" s="148"/>
      <c r="Q230" s="148"/>
      <c r="U230" s="148"/>
      <c r="V230" s="148"/>
      <c r="Z230" s="148"/>
      <c r="AA230" s="148"/>
      <c r="AE230" s="148"/>
      <c r="AF230" s="148"/>
    </row>
    <row r="231" spans="6:32">
      <c r="F231" s="151"/>
      <c r="K231" s="148"/>
      <c r="L231" s="148"/>
      <c r="P231" s="148"/>
      <c r="Q231" s="148"/>
      <c r="U231" s="148"/>
      <c r="V231" s="148"/>
      <c r="Z231" s="148"/>
      <c r="AA231" s="148"/>
      <c r="AE231" s="148"/>
      <c r="AF231" s="148"/>
    </row>
    <row r="232" spans="6:32">
      <c r="F232" s="151"/>
      <c r="K232" s="148"/>
      <c r="L232" s="148"/>
      <c r="P232" s="148"/>
      <c r="Q232" s="148"/>
      <c r="U232" s="148"/>
      <c r="V232" s="148"/>
      <c r="Z232" s="148"/>
      <c r="AA232" s="148"/>
      <c r="AE232" s="148"/>
      <c r="AF232" s="148"/>
    </row>
    <row r="233" spans="6:32">
      <c r="F233" s="151"/>
      <c r="K233" s="148"/>
      <c r="L233" s="148"/>
      <c r="P233" s="148"/>
      <c r="Q233" s="148"/>
      <c r="U233" s="148"/>
      <c r="V233" s="148"/>
      <c r="Z233" s="148"/>
      <c r="AA233" s="148"/>
      <c r="AE233" s="148"/>
      <c r="AF233" s="148"/>
    </row>
    <row r="234" spans="6:32">
      <c r="F234" s="151"/>
      <c r="K234" s="148"/>
      <c r="L234" s="148"/>
      <c r="P234" s="148"/>
      <c r="Q234" s="148"/>
      <c r="U234" s="148"/>
      <c r="V234" s="148"/>
      <c r="Z234" s="148"/>
      <c r="AA234" s="148"/>
      <c r="AE234" s="148"/>
      <c r="AF234" s="148"/>
    </row>
    <row r="235" spans="6:32">
      <c r="F235" s="151"/>
      <c r="K235" s="148"/>
      <c r="L235" s="148"/>
      <c r="P235" s="148"/>
      <c r="Q235" s="148"/>
      <c r="U235" s="148"/>
      <c r="V235" s="148"/>
      <c r="Z235" s="148"/>
      <c r="AA235" s="148"/>
      <c r="AE235" s="148"/>
      <c r="AF235" s="148"/>
    </row>
    <row r="236" spans="6:32">
      <c r="F236" s="151"/>
      <c r="K236" s="148"/>
      <c r="L236" s="148"/>
      <c r="P236" s="148"/>
      <c r="Q236" s="148"/>
      <c r="U236" s="148"/>
      <c r="V236" s="148"/>
      <c r="Z236" s="148"/>
      <c r="AA236" s="148"/>
      <c r="AE236" s="148"/>
      <c r="AF236" s="148"/>
    </row>
    <row r="237" spans="6:32">
      <c r="F237" s="151"/>
      <c r="K237" s="148"/>
      <c r="L237" s="148"/>
      <c r="P237" s="148"/>
      <c r="Q237" s="148"/>
      <c r="U237" s="148"/>
      <c r="V237" s="148"/>
      <c r="Z237" s="148"/>
      <c r="AA237" s="148"/>
      <c r="AE237" s="148"/>
      <c r="AF237" s="148"/>
    </row>
    <row r="238" spans="6:32">
      <c r="F238" s="151"/>
      <c r="K238" s="148"/>
      <c r="L238" s="148"/>
      <c r="P238" s="148"/>
      <c r="Q238" s="148"/>
      <c r="U238" s="148"/>
      <c r="V238" s="148"/>
      <c r="Z238" s="148"/>
      <c r="AA238" s="148"/>
      <c r="AE238" s="148"/>
      <c r="AF238" s="148"/>
    </row>
    <row r="239" spans="6:32">
      <c r="K239" s="157"/>
      <c r="L239" s="157"/>
      <c r="P239" s="157"/>
      <c r="Q239" s="157"/>
      <c r="U239" s="157"/>
      <c r="V239" s="157"/>
      <c r="Z239" s="157"/>
      <c r="AA239" s="157"/>
      <c r="AE239" s="157"/>
      <c r="AF239" s="157"/>
    </row>
    <row r="240" spans="6:32">
      <c r="F240" s="151"/>
      <c r="K240" s="148"/>
      <c r="L240" s="148"/>
      <c r="P240" s="148"/>
      <c r="Q240" s="148"/>
      <c r="U240" s="148"/>
      <c r="V240" s="148"/>
      <c r="Z240" s="148"/>
      <c r="AA240" s="148"/>
      <c r="AE240" s="148"/>
      <c r="AF240" s="148"/>
    </row>
    <row r="241" spans="6:32">
      <c r="F241" s="151"/>
      <c r="K241" s="148"/>
      <c r="L241" s="148"/>
      <c r="P241" s="148"/>
      <c r="Q241" s="148"/>
      <c r="U241" s="148"/>
      <c r="V241" s="148"/>
      <c r="Z241" s="148"/>
      <c r="AA241" s="148"/>
      <c r="AE241" s="148"/>
      <c r="AF241" s="148"/>
    </row>
    <row r="242" spans="6:32">
      <c r="F242" s="151"/>
      <c r="K242" s="148"/>
      <c r="L242" s="148"/>
      <c r="P242" s="148"/>
      <c r="Q242" s="148"/>
      <c r="U242" s="148"/>
      <c r="V242" s="148"/>
      <c r="Z242" s="148"/>
      <c r="AA242" s="148"/>
      <c r="AE242" s="148"/>
      <c r="AF242" s="148"/>
    </row>
    <row r="243" spans="6:32">
      <c r="K243" s="157"/>
      <c r="L243" s="157"/>
      <c r="P243" s="157"/>
      <c r="Q243" s="157"/>
      <c r="U243" s="157"/>
      <c r="V243" s="157"/>
      <c r="Z243" s="157"/>
      <c r="AA243" s="157"/>
      <c r="AE243" s="157"/>
      <c r="AF243" s="157"/>
    </row>
    <row r="244" spans="6:32">
      <c r="F244" s="151"/>
      <c r="K244" s="148"/>
      <c r="L244" s="148"/>
      <c r="P244" s="148"/>
      <c r="Q244" s="148"/>
      <c r="U244" s="148"/>
      <c r="V244" s="148"/>
      <c r="Z244" s="148"/>
      <c r="AA244" s="148"/>
      <c r="AE244" s="148"/>
      <c r="AF244" s="148"/>
    </row>
    <row r="245" spans="6:32">
      <c r="F245" s="151"/>
      <c r="K245" s="148"/>
      <c r="L245" s="148"/>
      <c r="P245" s="148"/>
      <c r="Q245" s="148"/>
      <c r="U245" s="148"/>
      <c r="V245" s="148"/>
      <c r="Z245" s="148"/>
      <c r="AA245" s="148"/>
      <c r="AE245" s="148"/>
      <c r="AF245" s="148"/>
    </row>
    <row r="246" spans="6:32">
      <c r="F246" s="151"/>
      <c r="K246" s="148"/>
      <c r="L246" s="148"/>
      <c r="P246" s="148"/>
      <c r="Q246" s="148"/>
      <c r="U246" s="148"/>
      <c r="V246" s="148"/>
      <c r="Z246" s="148"/>
      <c r="AA246" s="148"/>
      <c r="AE246" s="148"/>
      <c r="AF246" s="148"/>
    </row>
    <row r="247" spans="6:32">
      <c r="F247" s="151"/>
      <c r="K247" s="148"/>
      <c r="L247" s="148"/>
      <c r="P247" s="148"/>
      <c r="Q247" s="148"/>
      <c r="U247" s="148"/>
      <c r="V247" s="148"/>
      <c r="Z247" s="148"/>
      <c r="AA247" s="148"/>
      <c r="AE247" s="148"/>
      <c r="AF247" s="148"/>
    </row>
    <row r="248" spans="6:32">
      <c r="K248" s="157"/>
      <c r="L248" s="157"/>
      <c r="P248" s="157"/>
      <c r="Q248" s="157"/>
      <c r="U248" s="157"/>
      <c r="V248" s="157"/>
      <c r="Z248" s="157"/>
      <c r="AA248" s="157"/>
      <c r="AE248" s="157"/>
      <c r="AF248" s="157"/>
    </row>
    <row r="249" spans="6:32">
      <c r="F249" s="151"/>
      <c r="K249" s="148"/>
      <c r="L249" s="148"/>
      <c r="P249" s="148"/>
      <c r="Q249" s="148"/>
      <c r="U249" s="148"/>
      <c r="V249" s="148"/>
      <c r="Z249" s="148"/>
      <c r="AA249" s="148"/>
      <c r="AE249" s="148"/>
      <c r="AF249" s="148"/>
    </row>
    <row r="250" spans="6:32">
      <c r="F250" s="151"/>
      <c r="K250" s="148"/>
      <c r="L250" s="148"/>
      <c r="P250" s="148"/>
      <c r="Q250" s="148"/>
      <c r="U250" s="148"/>
      <c r="V250" s="148"/>
      <c r="Z250" s="148"/>
      <c r="AA250" s="148"/>
      <c r="AE250" s="148"/>
      <c r="AF250" s="148"/>
    </row>
    <row r="251" spans="6:32">
      <c r="F251" s="151"/>
      <c r="K251" s="148"/>
      <c r="L251" s="148"/>
      <c r="P251" s="148"/>
      <c r="Q251" s="148"/>
      <c r="U251" s="148"/>
      <c r="V251" s="148"/>
      <c r="Z251" s="148"/>
      <c r="AA251" s="148"/>
      <c r="AE251" s="148"/>
      <c r="AF251" s="148"/>
    </row>
    <row r="252" spans="6:32">
      <c r="K252" s="157"/>
      <c r="L252" s="157"/>
      <c r="P252" s="157"/>
      <c r="Q252" s="157"/>
      <c r="U252" s="157"/>
      <c r="V252" s="157"/>
      <c r="Z252" s="157"/>
      <c r="AA252" s="157"/>
      <c r="AE252" s="157"/>
      <c r="AF252" s="157"/>
    </row>
    <row r="253" spans="6:32">
      <c r="F253" s="151"/>
      <c r="K253" s="148"/>
      <c r="L253" s="148"/>
      <c r="P253" s="148"/>
      <c r="Q253" s="148"/>
      <c r="U253" s="148"/>
      <c r="V253" s="148"/>
      <c r="Z253" s="148"/>
      <c r="AA253" s="148"/>
      <c r="AE253" s="148"/>
      <c r="AF253" s="148"/>
    </row>
    <row r="254" spans="6:32">
      <c r="F254" s="151"/>
      <c r="K254" s="148"/>
      <c r="L254" s="148"/>
      <c r="P254" s="148"/>
      <c r="Q254" s="148"/>
      <c r="U254" s="148"/>
      <c r="V254" s="148"/>
      <c r="Z254" s="148"/>
      <c r="AA254" s="148"/>
      <c r="AE254" s="148"/>
      <c r="AF254" s="148"/>
    </row>
    <row r="255" spans="6:32">
      <c r="F255" s="151"/>
      <c r="K255" s="148"/>
      <c r="L255" s="148"/>
      <c r="P255" s="148"/>
      <c r="Q255" s="148"/>
      <c r="U255" s="148"/>
      <c r="V255" s="148"/>
      <c r="Z255" s="148"/>
      <c r="AA255" s="148"/>
      <c r="AE255" s="148"/>
      <c r="AF255" s="148"/>
    </row>
    <row r="256" spans="6:32">
      <c r="F256" s="151"/>
      <c r="K256" s="148"/>
      <c r="L256" s="148"/>
      <c r="P256" s="148"/>
      <c r="Q256" s="148"/>
      <c r="U256" s="148"/>
      <c r="V256" s="148"/>
      <c r="Z256" s="148"/>
      <c r="AA256" s="148"/>
      <c r="AE256" s="148"/>
      <c r="AF256" s="148"/>
    </row>
    <row r="257" spans="6:32">
      <c r="K257" s="157"/>
      <c r="L257" s="157"/>
      <c r="P257" s="157"/>
      <c r="Q257" s="157"/>
      <c r="U257" s="157"/>
      <c r="V257" s="157"/>
      <c r="Z257" s="157"/>
      <c r="AA257" s="157"/>
      <c r="AE257" s="157"/>
      <c r="AF257" s="157"/>
    </row>
    <row r="258" spans="6:32">
      <c r="F258" s="151"/>
      <c r="K258" s="148"/>
      <c r="L258" s="148"/>
      <c r="P258" s="148"/>
      <c r="Q258" s="148"/>
      <c r="U258" s="148"/>
      <c r="V258" s="148"/>
      <c r="Z258" s="148"/>
      <c r="AA258" s="148"/>
      <c r="AE258" s="148"/>
      <c r="AF258" s="148"/>
    </row>
    <row r="259" spans="6:32">
      <c r="F259" s="151"/>
      <c r="K259" s="148"/>
      <c r="L259" s="148"/>
      <c r="P259" s="148"/>
      <c r="Q259" s="148"/>
      <c r="U259" s="148"/>
      <c r="V259" s="148"/>
      <c r="Z259" s="148"/>
      <c r="AA259" s="148"/>
      <c r="AE259" s="148"/>
      <c r="AF259" s="148"/>
    </row>
    <row r="260" spans="6:32">
      <c r="F260" s="151"/>
      <c r="K260" s="148"/>
      <c r="L260" s="148"/>
      <c r="P260" s="148"/>
      <c r="Q260" s="148"/>
      <c r="U260" s="148"/>
      <c r="V260" s="148"/>
      <c r="Z260" s="148"/>
      <c r="AA260" s="148"/>
      <c r="AE260" s="148"/>
      <c r="AF260" s="148"/>
    </row>
    <row r="261" spans="6:32">
      <c r="K261" s="157"/>
      <c r="L261" s="157"/>
      <c r="P261" s="157"/>
      <c r="Q261" s="157"/>
      <c r="U261" s="157"/>
      <c r="V261" s="157"/>
      <c r="Z261" s="157"/>
      <c r="AA261" s="157"/>
      <c r="AE261" s="157"/>
      <c r="AF261" s="157"/>
    </row>
    <row r="262" spans="6:32">
      <c r="F262" s="151"/>
      <c r="K262" s="148"/>
      <c r="L262" s="148"/>
      <c r="P262" s="148"/>
      <c r="Q262" s="148"/>
      <c r="U262" s="148"/>
      <c r="V262" s="148"/>
      <c r="Z262" s="148"/>
      <c r="AA262" s="148"/>
      <c r="AE262" s="148"/>
      <c r="AF262" s="148"/>
    </row>
    <row r="263" spans="6:32">
      <c r="F263" s="151"/>
      <c r="K263" s="148"/>
      <c r="L263" s="148"/>
      <c r="P263" s="148"/>
      <c r="Q263" s="148"/>
      <c r="U263" s="148"/>
      <c r="V263" s="148"/>
      <c r="Z263" s="148"/>
      <c r="AA263" s="148"/>
      <c r="AE263" s="148"/>
      <c r="AF263" s="148"/>
    </row>
    <row r="264" spans="6:32">
      <c r="F264" s="151"/>
      <c r="K264" s="148"/>
      <c r="L264" s="148"/>
      <c r="P264" s="148"/>
      <c r="Q264" s="148"/>
      <c r="U264" s="148"/>
      <c r="V264" s="148"/>
      <c r="Z264" s="148"/>
      <c r="AA264" s="148"/>
      <c r="AE264" s="148"/>
      <c r="AF264" s="148"/>
    </row>
    <row r="265" spans="6:32">
      <c r="F265" s="151"/>
      <c r="K265" s="148"/>
      <c r="L265" s="148"/>
      <c r="P265" s="148"/>
      <c r="Q265" s="148"/>
      <c r="U265" s="148"/>
      <c r="V265" s="148"/>
      <c r="Z265" s="148"/>
      <c r="AA265" s="148"/>
      <c r="AE265" s="148"/>
      <c r="AF265" s="148"/>
    </row>
    <row r="266" spans="6:32">
      <c r="F266" s="151"/>
      <c r="K266" s="157"/>
      <c r="L266" s="157"/>
      <c r="P266" s="157"/>
      <c r="Q266" s="157"/>
      <c r="U266" s="157"/>
      <c r="V266" s="157"/>
      <c r="Z266" s="157"/>
      <c r="AA266" s="157"/>
      <c r="AE266" s="157"/>
      <c r="AF266" s="157"/>
    </row>
    <row r="267" spans="6:32">
      <c r="F267" s="151"/>
      <c r="K267" s="148"/>
      <c r="L267" s="148"/>
      <c r="P267" s="148"/>
      <c r="Q267" s="148"/>
      <c r="U267" s="148"/>
      <c r="V267" s="148"/>
      <c r="Z267" s="148"/>
      <c r="AA267" s="148"/>
      <c r="AE267" s="148"/>
      <c r="AF267" s="148"/>
    </row>
    <row r="268" spans="6:32">
      <c r="F268" s="151"/>
      <c r="K268" s="148"/>
      <c r="L268" s="148"/>
      <c r="P268" s="148"/>
      <c r="Q268" s="148"/>
      <c r="U268" s="148"/>
      <c r="V268" s="148"/>
      <c r="Z268" s="148"/>
      <c r="AA268" s="148"/>
      <c r="AE268" s="148"/>
      <c r="AF268" s="148"/>
    </row>
    <row r="269" spans="6:32">
      <c r="K269" s="157"/>
      <c r="L269" s="157"/>
      <c r="P269" s="157"/>
      <c r="Q269" s="157"/>
      <c r="U269" s="157"/>
      <c r="V269" s="157"/>
      <c r="Z269" s="157"/>
      <c r="AA269" s="157"/>
      <c r="AE269" s="157"/>
      <c r="AF269" s="157"/>
    </row>
    <row r="270" spans="6:32">
      <c r="K270" s="148"/>
      <c r="L270" s="148"/>
      <c r="P270" s="148"/>
      <c r="Q270" s="148"/>
      <c r="U270" s="148"/>
      <c r="V270" s="148"/>
      <c r="Z270" s="148"/>
      <c r="AA270" s="148"/>
      <c r="AE270" s="148"/>
      <c r="AF270" s="148"/>
    </row>
    <row r="271" spans="6:32">
      <c r="K271" s="148"/>
      <c r="L271" s="148"/>
      <c r="P271" s="148"/>
      <c r="Q271" s="148"/>
      <c r="U271" s="148"/>
      <c r="V271" s="148"/>
      <c r="Z271" s="148"/>
      <c r="AA271" s="148"/>
      <c r="AE271" s="148"/>
      <c r="AF271" s="148"/>
    </row>
    <row r="272" spans="6:32">
      <c r="K272" s="148"/>
      <c r="L272" s="148"/>
      <c r="P272" s="148"/>
      <c r="Q272" s="148"/>
      <c r="U272" s="148"/>
      <c r="V272" s="148"/>
      <c r="Z272" s="148"/>
      <c r="AA272" s="148"/>
      <c r="AE272" s="148"/>
      <c r="AF272" s="148"/>
    </row>
    <row r="273" spans="11:32">
      <c r="K273" s="148"/>
      <c r="L273" s="148"/>
      <c r="P273" s="148"/>
      <c r="Q273" s="148"/>
      <c r="U273" s="148"/>
      <c r="V273" s="148"/>
      <c r="Z273" s="148"/>
      <c r="AA273" s="148"/>
      <c r="AE273" s="148"/>
      <c r="AF273" s="148"/>
    </row>
    <row r="274" spans="11:32">
      <c r="K274" s="148"/>
      <c r="L274" s="148"/>
      <c r="P274" s="148"/>
      <c r="Q274" s="148"/>
      <c r="U274" s="148"/>
      <c r="V274" s="148"/>
      <c r="Z274" s="148"/>
      <c r="AA274" s="148"/>
      <c r="AE274" s="148"/>
      <c r="AF274" s="148"/>
    </row>
    <row r="275" spans="11:32">
      <c r="K275" s="148"/>
      <c r="L275" s="148"/>
      <c r="P275" s="148"/>
      <c r="Q275" s="148"/>
      <c r="U275" s="148"/>
      <c r="V275" s="148"/>
      <c r="Z275" s="148"/>
      <c r="AA275" s="148"/>
      <c r="AE275" s="148"/>
      <c r="AF275" s="148"/>
    </row>
    <row r="276" spans="11:32">
      <c r="K276" s="148"/>
      <c r="L276" s="148"/>
      <c r="P276" s="148"/>
      <c r="Q276" s="148"/>
      <c r="U276" s="148"/>
      <c r="V276" s="148"/>
      <c r="Z276" s="148"/>
      <c r="AA276" s="148"/>
      <c r="AE276" s="148"/>
      <c r="AF276" s="148"/>
    </row>
    <row r="277" spans="11:32">
      <c r="K277" s="148"/>
      <c r="L277" s="148"/>
      <c r="P277" s="148"/>
      <c r="Q277" s="148"/>
      <c r="U277" s="148"/>
      <c r="V277" s="148"/>
      <c r="Z277" s="148"/>
      <c r="AA277" s="148"/>
      <c r="AE277" s="148"/>
      <c r="AF277" s="148"/>
    </row>
    <row r="278" spans="11:32">
      <c r="K278" s="148"/>
      <c r="L278" s="148"/>
      <c r="P278" s="148"/>
      <c r="Q278" s="148"/>
      <c r="U278" s="148"/>
      <c r="V278" s="148"/>
      <c r="Z278" s="148"/>
      <c r="AA278" s="148"/>
      <c r="AE278" s="148"/>
      <c r="AF278" s="148"/>
    </row>
    <row r="279" spans="11:32">
      <c r="K279" s="148"/>
      <c r="L279" s="148"/>
      <c r="P279" s="148"/>
      <c r="Q279" s="148"/>
      <c r="U279" s="148"/>
      <c r="V279" s="148"/>
      <c r="Z279" s="148"/>
      <c r="AA279" s="148"/>
      <c r="AE279" s="148"/>
      <c r="AF279" s="148"/>
    </row>
    <row r="280" spans="11:32">
      <c r="K280" s="148"/>
      <c r="L280" s="148"/>
      <c r="P280" s="148"/>
      <c r="Q280" s="148"/>
      <c r="U280" s="148"/>
      <c r="V280" s="148"/>
      <c r="Z280" s="148"/>
      <c r="AA280" s="148"/>
      <c r="AE280" s="148"/>
      <c r="AF280" s="148"/>
    </row>
    <row r="281" spans="11:32">
      <c r="K281" s="148"/>
      <c r="L281" s="148"/>
      <c r="P281" s="148"/>
      <c r="Q281" s="148"/>
      <c r="U281" s="148"/>
      <c r="V281" s="148"/>
      <c r="Z281" s="148"/>
      <c r="AA281" s="148"/>
      <c r="AE281" s="148"/>
      <c r="AF281" s="148"/>
    </row>
    <row r="282" spans="11:32">
      <c r="K282" s="148"/>
      <c r="L282" s="148"/>
      <c r="P282" s="148"/>
      <c r="Q282" s="148"/>
      <c r="U282" s="148"/>
      <c r="V282" s="148"/>
      <c r="Z282" s="148"/>
      <c r="AA282" s="148"/>
      <c r="AE282" s="148"/>
      <c r="AF282" s="148"/>
    </row>
    <row r="283" spans="11:32">
      <c r="K283" s="148"/>
      <c r="L283" s="148"/>
      <c r="P283" s="148"/>
      <c r="Q283" s="148"/>
      <c r="U283" s="148"/>
      <c r="V283" s="148"/>
      <c r="Z283" s="148"/>
      <c r="AA283" s="148"/>
      <c r="AE283" s="148"/>
      <c r="AF283" s="148"/>
    </row>
    <row r="284" spans="11:32">
      <c r="K284" s="148"/>
      <c r="L284" s="148"/>
      <c r="P284" s="148"/>
      <c r="Q284" s="148"/>
      <c r="U284" s="148"/>
      <c r="V284" s="148"/>
      <c r="Z284" s="148"/>
      <c r="AA284" s="148"/>
      <c r="AE284" s="148"/>
      <c r="AF284" s="148"/>
    </row>
    <row r="285" spans="11:32">
      <c r="K285" s="148"/>
      <c r="L285" s="148"/>
      <c r="P285" s="148"/>
      <c r="Q285" s="148"/>
      <c r="U285" s="148"/>
      <c r="V285" s="148"/>
      <c r="Z285" s="148"/>
      <c r="AA285" s="148"/>
      <c r="AE285" s="148"/>
      <c r="AF285" s="148"/>
    </row>
    <row r="286" spans="11:32">
      <c r="K286" s="148"/>
      <c r="L286" s="148"/>
      <c r="P286" s="148"/>
      <c r="Q286" s="148"/>
      <c r="U286" s="148"/>
      <c r="V286" s="148"/>
      <c r="Z286" s="148"/>
      <c r="AA286" s="148"/>
      <c r="AE286" s="148"/>
      <c r="AF286" s="148"/>
    </row>
    <row r="287" spans="11:32">
      <c r="K287" s="148"/>
      <c r="L287" s="148"/>
      <c r="P287" s="148"/>
      <c r="Q287" s="148"/>
      <c r="U287" s="148"/>
      <c r="V287" s="148"/>
      <c r="Z287" s="148"/>
      <c r="AA287" s="148"/>
      <c r="AE287" s="148"/>
      <c r="AF287" s="148"/>
    </row>
    <row r="288" spans="11:32">
      <c r="K288" s="148"/>
      <c r="L288" s="148"/>
      <c r="P288" s="148"/>
      <c r="Q288" s="148"/>
      <c r="U288" s="148"/>
      <c r="V288" s="148"/>
      <c r="Z288" s="148"/>
      <c r="AA288" s="148"/>
      <c r="AE288" s="148"/>
      <c r="AF288" s="148"/>
    </row>
    <row r="289" spans="11:32">
      <c r="K289" s="148"/>
      <c r="L289" s="148"/>
      <c r="P289" s="148"/>
      <c r="Q289" s="148"/>
      <c r="U289" s="148"/>
      <c r="V289" s="148"/>
      <c r="Z289" s="148"/>
      <c r="AA289" s="148"/>
      <c r="AE289" s="148"/>
      <c r="AF289" s="148"/>
    </row>
    <row r="290" spans="11:32">
      <c r="K290" s="148"/>
      <c r="L290" s="148"/>
      <c r="P290" s="148"/>
      <c r="Q290" s="148"/>
      <c r="U290" s="148"/>
      <c r="V290" s="148"/>
      <c r="Z290" s="148"/>
      <c r="AA290" s="148"/>
      <c r="AE290" s="148"/>
      <c r="AF290" s="148"/>
    </row>
    <row r="291" spans="11:32">
      <c r="K291" s="148"/>
      <c r="L291" s="148"/>
      <c r="P291" s="148"/>
      <c r="Q291" s="148"/>
      <c r="U291" s="148"/>
      <c r="V291" s="148"/>
      <c r="Z291" s="148"/>
      <c r="AA291" s="148"/>
      <c r="AE291" s="148"/>
      <c r="AF291" s="148"/>
    </row>
    <row r="292" spans="11:32">
      <c r="K292" s="148"/>
      <c r="L292" s="148"/>
      <c r="P292" s="148"/>
      <c r="Q292" s="148"/>
      <c r="U292" s="148"/>
      <c r="V292" s="148"/>
      <c r="Z292" s="148"/>
      <c r="AA292" s="148"/>
      <c r="AE292" s="148"/>
      <c r="AF292" s="148"/>
    </row>
    <row r="293" spans="11:32">
      <c r="K293" s="148"/>
      <c r="L293" s="148"/>
      <c r="P293" s="148"/>
      <c r="Q293" s="148"/>
      <c r="U293" s="148"/>
      <c r="V293" s="148"/>
      <c r="Z293" s="148"/>
      <c r="AA293" s="148"/>
      <c r="AE293" s="148"/>
      <c r="AF293" s="148"/>
    </row>
    <row r="294" spans="11:32">
      <c r="K294" s="148"/>
      <c r="L294" s="148"/>
      <c r="P294" s="148"/>
      <c r="Q294" s="148"/>
      <c r="U294" s="148"/>
      <c r="V294" s="148"/>
      <c r="Z294" s="148"/>
      <c r="AA294" s="148"/>
      <c r="AE294" s="148"/>
      <c r="AF294" s="148"/>
    </row>
    <row r="295" spans="11:32">
      <c r="K295" s="148"/>
      <c r="L295" s="148"/>
      <c r="P295" s="148"/>
      <c r="Q295" s="148"/>
      <c r="U295" s="148"/>
      <c r="V295" s="148"/>
      <c r="Z295" s="148"/>
      <c r="AA295" s="148"/>
      <c r="AE295" s="148"/>
      <c r="AF295" s="148"/>
    </row>
    <row r="296" spans="11:32">
      <c r="K296" s="148"/>
      <c r="L296" s="148"/>
      <c r="P296" s="148"/>
      <c r="Q296" s="148"/>
      <c r="U296" s="148"/>
      <c r="V296" s="148"/>
      <c r="Z296" s="148"/>
      <c r="AA296" s="148"/>
      <c r="AE296" s="148"/>
      <c r="AF296" s="148"/>
    </row>
    <row r="297" spans="11:32">
      <c r="K297" s="148"/>
      <c r="L297" s="148"/>
      <c r="P297" s="148"/>
      <c r="Q297" s="148"/>
      <c r="U297" s="148"/>
      <c r="V297" s="148"/>
      <c r="Z297" s="148"/>
      <c r="AA297" s="148"/>
      <c r="AE297" s="148"/>
      <c r="AF297" s="148"/>
    </row>
    <row r="298" spans="11:32">
      <c r="K298" s="148"/>
      <c r="L298" s="148"/>
      <c r="P298" s="148"/>
      <c r="Q298" s="148"/>
      <c r="U298" s="148"/>
      <c r="V298" s="148"/>
      <c r="Z298" s="148"/>
      <c r="AA298" s="148"/>
      <c r="AE298" s="148"/>
      <c r="AF298" s="148"/>
    </row>
    <row r="299" spans="11:32">
      <c r="K299" s="148"/>
      <c r="L299" s="148"/>
      <c r="P299" s="148"/>
      <c r="Q299" s="148"/>
      <c r="U299" s="148"/>
      <c r="V299" s="148"/>
      <c r="Z299" s="148"/>
      <c r="AA299" s="148"/>
      <c r="AE299" s="148"/>
      <c r="AF299" s="148"/>
    </row>
    <row r="300" spans="11:32">
      <c r="K300" s="148"/>
      <c r="L300" s="148"/>
      <c r="P300" s="148"/>
      <c r="Q300" s="148"/>
      <c r="U300" s="148"/>
      <c r="V300" s="148"/>
      <c r="Z300" s="148"/>
      <c r="AA300" s="148"/>
      <c r="AE300" s="148"/>
      <c r="AF300" s="148"/>
    </row>
    <row r="301" spans="11:32">
      <c r="K301" s="148"/>
      <c r="L301" s="148"/>
      <c r="P301" s="148"/>
      <c r="Q301" s="148"/>
      <c r="U301" s="148"/>
      <c r="V301" s="148"/>
      <c r="Z301" s="148"/>
      <c r="AA301" s="148"/>
      <c r="AE301" s="148"/>
      <c r="AF301" s="148"/>
    </row>
    <row r="302" spans="11:32">
      <c r="K302" s="148"/>
      <c r="L302" s="148"/>
      <c r="P302" s="148"/>
      <c r="Q302" s="148"/>
      <c r="U302" s="148"/>
      <c r="V302" s="148"/>
      <c r="Z302" s="148"/>
      <c r="AA302" s="148"/>
      <c r="AE302" s="148"/>
      <c r="AF302" s="148"/>
    </row>
    <row r="303" spans="11:32">
      <c r="K303" s="148"/>
      <c r="L303" s="148"/>
      <c r="P303" s="148"/>
      <c r="Q303" s="148"/>
      <c r="U303" s="148"/>
      <c r="V303" s="148"/>
      <c r="Z303" s="148"/>
      <c r="AA303" s="148"/>
      <c r="AE303" s="148"/>
      <c r="AF303" s="148"/>
    </row>
    <row r="304" spans="11:32">
      <c r="K304" s="148"/>
      <c r="L304" s="148"/>
      <c r="P304" s="148"/>
      <c r="Q304" s="148"/>
      <c r="U304" s="148"/>
      <c r="V304" s="148"/>
      <c r="Z304" s="148"/>
      <c r="AA304" s="148"/>
      <c r="AE304" s="148"/>
      <c r="AF304" s="148"/>
    </row>
    <row r="305" spans="11:32">
      <c r="K305" s="148"/>
      <c r="L305" s="148"/>
      <c r="P305" s="148"/>
      <c r="Q305" s="148"/>
      <c r="U305" s="148"/>
      <c r="V305" s="148"/>
      <c r="Z305" s="148"/>
      <c r="AA305" s="148"/>
      <c r="AE305" s="148"/>
      <c r="AF305" s="148"/>
    </row>
    <row r="306" spans="11:32">
      <c r="K306" s="148"/>
      <c r="L306" s="148"/>
      <c r="P306" s="148"/>
      <c r="Q306" s="148"/>
      <c r="U306" s="148"/>
      <c r="V306" s="148"/>
      <c r="Z306" s="148"/>
      <c r="AA306" s="148"/>
      <c r="AE306" s="148"/>
      <c r="AF306" s="148"/>
    </row>
    <row r="307" spans="11:32">
      <c r="K307" s="148"/>
      <c r="L307" s="148"/>
      <c r="P307" s="148"/>
      <c r="Q307" s="148"/>
      <c r="U307" s="148"/>
      <c r="V307" s="148"/>
      <c r="Z307" s="148"/>
      <c r="AA307" s="148"/>
      <c r="AE307" s="148"/>
      <c r="AF307" s="148"/>
    </row>
    <row r="308" spans="11:32">
      <c r="K308" s="148"/>
      <c r="L308" s="148"/>
      <c r="P308" s="148"/>
      <c r="Q308" s="148"/>
      <c r="U308" s="148"/>
      <c r="V308" s="148"/>
      <c r="Z308" s="148"/>
      <c r="AA308" s="148"/>
      <c r="AE308" s="148"/>
      <c r="AF308" s="148"/>
    </row>
    <row r="309" spans="11:32">
      <c r="K309" s="148"/>
      <c r="L309" s="148"/>
      <c r="P309" s="148"/>
      <c r="Q309" s="148"/>
      <c r="U309" s="148"/>
      <c r="V309" s="148"/>
      <c r="Z309" s="148"/>
      <c r="AA309" s="148"/>
      <c r="AE309" s="148"/>
      <c r="AF309" s="148"/>
    </row>
    <row r="310" spans="11:32">
      <c r="K310" s="148"/>
      <c r="L310" s="148"/>
      <c r="P310" s="148"/>
      <c r="Q310" s="148"/>
      <c r="U310" s="148"/>
      <c r="V310" s="148"/>
      <c r="Z310" s="148"/>
      <c r="AA310" s="148"/>
      <c r="AE310" s="148"/>
      <c r="AF310" s="148"/>
    </row>
    <row r="311" spans="11:32">
      <c r="K311" s="148"/>
      <c r="L311" s="148"/>
      <c r="P311" s="148"/>
      <c r="Q311" s="148"/>
      <c r="U311" s="148"/>
      <c r="V311" s="148"/>
      <c r="Z311" s="148"/>
      <c r="AA311" s="148"/>
      <c r="AE311" s="148"/>
      <c r="AF311" s="148"/>
    </row>
    <row r="312" spans="11:32">
      <c r="K312" s="148"/>
      <c r="L312" s="148"/>
      <c r="P312" s="148"/>
      <c r="Q312" s="148"/>
      <c r="U312" s="148"/>
      <c r="V312" s="148"/>
      <c r="Z312" s="148"/>
      <c r="AA312" s="148"/>
      <c r="AE312" s="148"/>
      <c r="AF312" s="148"/>
    </row>
    <row r="313" spans="11:32">
      <c r="K313" s="148"/>
      <c r="L313" s="148"/>
      <c r="P313" s="148"/>
      <c r="Q313" s="148"/>
      <c r="U313" s="148"/>
      <c r="V313" s="148"/>
      <c r="Z313" s="148"/>
      <c r="AA313" s="148"/>
      <c r="AE313" s="148"/>
      <c r="AF313" s="148"/>
    </row>
    <row r="314" spans="11:32">
      <c r="K314" s="148"/>
      <c r="L314" s="148"/>
      <c r="P314" s="148"/>
      <c r="Q314" s="148"/>
      <c r="U314" s="148"/>
      <c r="V314" s="148"/>
      <c r="Z314" s="148"/>
      <c r="AA314" s="148"/>
      <c r="AE314" s="148"/>
      <c r="AF314" s="148"/>
    </row>
    <row r="315" spans="11:32">
      <c r="K315" s="148"/>
      <c r="L315" s="148"/>
      <c r="P315" s="148"/>
      <c r="Q315" s="148"/>
      <c r="U315" s="148"/>
      <c r="V315" s="148"/>
      <c r="Z315" s="148"/>
      <c r="AA315" s="148"/>
      <c r="AE315" s="148"/>
      <c r="AF315" s="148"/>
    </row>
    <row r="316" spans="11:32">
      <c r="K316" s="148"/>
      <c r="L316" s="148"/>
      <c r="P316" s="148"/>
      <c r="Q316" s="148"/>
      <c r="U316" s="148"/>
      <c r="V316" s="148"/>
      <c r="Z316" s="148"/>
      <c r="AA316" s="148"/>
      <c r="AE316" s="148"/>
      <c r="AF316" s="148"/>
    </row>
    <row r="317" spans="11:32">
      <c r="K317" s="148"/>
      <c r="L317" s="148"/>
      <c r="P317" s="148"/>
      <c r="Q317" s="148"/>
      <c r="U317" s="148"/>
      <c r="V317" s="148"/>
      <c r="Z317" s="148"/>
      <c r="AA317" s="148"/>
      <c r="AE317" s="148"/>
      <c r="AF317" s="148"/>
    </row>
    <row r="318" spans="11:32">
      <c r="K318" s="148"/>
      <c r="L318" s="148"/>
      <c r="P318" s="148"/>
      <c r="Q318" s="148"/>
      <c r="U318" s="148"/>
      <c r="V318" s="148"/>
      <c r="Z318" s="148"/>
      <c r="AA318" s="148"/>
      <c r="AE318" s="148"/>
      <c r="AF318" s="148"/>
    </row>
    <row r="319" spans="11:32">
      <c r="K319" s="148"/>
      <c r="L319" s="148"/>
      <c r="P319" s="148"/>
      <c r="Q319" s="148"/>
      <c r="U319" s="148"/>
      <c r="V319" s="148"/>
      <c r="Z319" s="148"/>
      <c r="AA319" s="148"/>
      <c r="AE319" s="148"/>
      <c r="AF319" s="148"/>
    </row>
    <row r="320" spans="11:32">
      <c r="K320" s="148"/>
      <c r="L320" s="148"/>
      <c r="P320" s="148"/>
      <c r="Q320" s="148"/>
      <c r="U320" s="148"/>
      <c r="V320" s="148"/>
      <c r="Z320" s="148"/>
      <c r="AA320" s="148"/>
      <c r="AE320" s="148"/>
      <c r="AF320" s="148"/>
    </row>
    <row r="321" spans="11:32">
      <c r="K321" s="148"/>
      <c r="L321" s="148"/>
      <c r="P321" s="148"/>
      <c r="Q321" s="148"/>
      <c r="U321" s="148"/>
      <c r="V321" s="148"/>
      <c r="Z321" s="148"/>
      <c r="AA321" s="148"/>
      <c r="AE321" s="148"/>
      <c r="AF321" s="148"/>
    </row>
    <row r="322" spans="11:32">
      <c r="K322" s="148"/>
      <c r="L322" s="148"/>
      <c r="P322" s="148"/>
      <c r="Q322" s="148"/>
      <c r="U322" s="148"/>
      <c r="V322" s="148"/>
      <c r="Z322" s="148"/>
      <c r="AA322" s="148"/>
      <c r="AE322" s="148"/>
      <c r="AF322" s="148"/>
    </row>
    <row r="323" spans="11:32">
      <c r="K323" s="148"/>
      <c r="L323" s="148"/>
      <c r="P323" s="148"/>
      <c r="Q323" s="148"/>
      <c r="U323" s="148"/>
      <c r="V323" s="148"/>
      <c r="Z323" s="148"/>
      <c r="AA323" s="148"/>
      <c r="AE323" s="148"/>
      <c r="AF323" s="148"/>
    </row>
    <row r="324" spans="11:32">
      <c r="K324" s="148"/>
      <c r="L324" s="148"/>
      <c r="P324" s="148"/>
      <c r="Q324" s="148"/>
      <c r="U324" s="148"/>
      <c r="V324" s="148"/>
      <c r="Z324" s="148"/>
      <c r="AA324" s="148"/>
      <c r="AE324" s="148"/>
      <c r="AF324" s="148"/>
    </row>
    <row r="325" spans="11:32">
      <c r="K325" s="148"/>
      <c r="L325" s="148"/>
      <c r="P325" s="148"/>
      <c r="Q325" s="148"/>
      <c r="U325" s="148"/>
      <c r="V325" s="148"/>
      <c r="Z325" s="148"/>
      <c r="AA325" s="148"/>
      <c r="AE325" s="148"/>
      <c r="AF325" s="148"/>
    </row>
    <row r="326" spans="11:32">
      <c r="K326" s="148"/>
      <c r="L326" s="148"/>
      <c r="P326" s="148"/>
      <c r="Q326" s="148"/>
      <c r="U326" s="148"/>
      <c r="V326" s="148"/>
      <c r="Z326" s="148"/>
      <c r="AA326" s="148"/>
      <c r="AE326" s="148"/>
      <c r="AF326" s="148"/>
    </row>
    <row r="327" spans="11:32">
      <c r="K327" s="148"/>
      <c r="L327" s="148"/>
      <c r="P327" s="148"/>
      <c r="Q327" s="148"/>
      <c r="U327" s="148"/>
      <c r="V327" s="148"/>
      <c r="Z327" s="148"/>
      <c r="AA327" s="148"/>
      <c r="AE327" s="148"/>
      <c r="AF327" s="148"/>
    </row>
    <row r="328" spans="11:32">
      <c r="K328" s="148"/>
      <c r="L328" s="148"/>
      <c r="P328" s="148"/>
      <c r="Q328" s="148"/>
      <c r="U328" s="148"/>
      <c r="V328" s="148"/>
      <c r="Z328" s="148"/>
      <c r="AA328" s="148"/>
      <c r="AE328" s="148"/>
      <c r="AF328" s="148"/>
    </row>
    <row r="329" spans="11:32">
      <c r="K329" s="148"/>
      <c r="L329" s="148"/>
      <c r="P329" s="148"/>
      <c r="Q329" s="148"/>
      <c r="U329" s="148"/>
      <c r="V329" s="148"/>
      <c r="Z329" s="148"/>
      <c r="AA329" s="148"/>
      <c r="AE329" s="148"/>
      <c r="AF329" s="148"/>
    </row>
    <row r="330" spans="11:32">
      <c r="K330" s="148"/>
      <c r="L330" s="148"/>
      <c r="P330" s="148"/>
      <c r="Q330" s="148"/>
      <c r="U330" s="148"/>
      <c r="V330" s="148"/>
      <c r="Z330" s="148"/>
      <c r="AA330" s="148"/>
      <c r="AE330" s="148"/>
      <c r="AF330" s="148"/>
    </row>
    <row r="331" spans="11:32">
      <c r="K331" s="148"/>
      <c r="L331" s="148"/>
      <c r="P331" s="148"/>
      <c r="Q331" s="148"/>
      <c r="U331" s="148"/>
      <c r="V331" s="148"/>
      <c r="Z331" s="148"/>
      <c r="AA331" s="148"/>
      <c r="AE331" s="148"/>
      <c r="AF331" s="148"/>
    </row>
  </sheetData>
  <phoneticPr fontId="7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N58"/>
  <sheetViews>
    <sheetView workbookViewId="0">
      <selection activeCell="D14" sqref="D14"/>
    </sheetView>
  </sheetViews>
  <sheetFormatPr defaultRowHeight="13.2"/>
  <cols>
    <col min="1" max="1" width="20.88671875" customWidth="1"/>
    <col min="2" max="2" width="12.33203125" bestFit="1" customWidth="1"/>
  </cols>
  <sheetData>
    <row r="1" spans="1:6">
      <c r="A1" s="17" t="s">
        <v>151</v>
      </c>
    </row>
    <row r="2" spans="1:6">
      <c r="A2" s="17"/>
    </row>
    <row r="3" spans="1:6">
      <c r="A3" s="33" t="s">
        <v>143</v>
      </c>
    </row>
    <row r="4" spans="1:6" s="20" customFormat="1" ht="13.8" thickBot="1">
      <c r="A4" s="32"/>
    </row>
    <row r="5" spans="1:6">
      <c r="A5" s="4"/>
      <c r="D5" t="s">
        <v>152</v>
      </c>
    </row>
    <row r="6" spans="1:6">
      <c r="A6" s="4" t="s">
        <v>153</v>
      </c>
      <c r="B6" s="24">
        <v>8.75</v>
      </c>
      <c r="D6" s="25">
        <v>0</v>
      </c>
      <c r="F6" t="s">
        <v>138</v>
      </c>
    </row>
    <row r="7" spans="1:6">
      <c r="A7" s="4" t="s">
        <v>52</v>
      </c>
      <c r="B7" s="42">
        <f>IF(D6=0,B6,(B6-(B6*0.07)))</f>
        <v>8.75</v>
      </c>
      <c r="D7" t="s">
        <v>179</v>
      </c>
    </row>
    <row r="8" spans="1:6">
      <c r="A8" s="4" t="s">
        <v>53</v>
      </c>
      <c r="B8" s="25">
        <v>13</v>
      </c>
      <c r="F8" t="s">
        <v>139</v>
      </c>
    </row>
    <row r="9" spans="1:6">
      <c r="A9" s="4" t="s">
        <v>54</v>
      </c>
      <c r="B9" s="2">
        <f>B7/(B7+B8)</f>
        <v>0.40229885057471265</v>
      </c>
      <c r="F9" t="s">
        <v>142</v>
      </c>
    </row>
    <row r="10" spans="1:6">
      <c r="A10" s="4" t="s">
        <v>55</v>
      </c>
      <c r="B10" s="41">
        <f>5+3.95*ATAN((100*B9-50)/15)</f>
        <v>2.7195964800350438</v>
      </c>
      <c r="F10" t="s">
        <v>43</v>
      </c>
    </row>
    <row r="11" spans="1:6">
      <c r="A11" s="4"/>
    </row>
    <row r="12" spans="1:6">
      <c r="A12" s="4" t="s">
        <v>49</v>
      </c>
      <c r="B12" s="25">
        <v>4</v>
      </c>
      <c r="F12" t="s">
        <v>140</v>
      </c>
    </row>
    <row r="13" spans="1:6">
      <c r="A13" s="4" t="s">
        <v>45</v>
      </c>
      <c r="B13" s="2">
        <f>(50+(15*TAN(((B12-5)/3.95))))/100</f>
        <v>0.46119266854984703</v>
      </c>
      <c r="F13" t="s">
        <v>44</v>
      </c>
    </row>
    <row r="14" spans="1:6">
      <c r="A14" s="4" t="s">
        <v>48</v>
      </c>
      <c r="B14" s="41">
        <f>(B13*B8)/(1-B13)</f>
        <v>11.127362864591381</v>
      </c>
      <c r="C14" s="1" t="s">
        <v>176</v>
      </c>
      <c r="D14" s="40" t="str">
        <f>VLOOKUP(FLOOR(B14,1), Parser!$T$5:'Parser'!$U$44,2, FALSE)</f>
        <v>gudabenådad</v>
      </c>
      <c r="E14" s="40"/>
      <c r="F14" t="s">
        <v>141</v>
      </c>
    </row>
    <row r="15" spans="1:6">
      <c r="A15" s="4"/>
      <c r="B15" s="39"/>
      <c r="D15" s="40" t="str">
        <f>VLOOKUP(FLOOR((FLOOR((B14-FLOOR(B14,1))*4,1)),1),Parser!$Q$9:'Parser'!$R$12,2,FALSE)</f>
        <v>mkt låg</v>
      </c>
      <c r="E15" s="40"/>
    </row>
    <row r="16" spans="1:6">
      <c r="A16" s="4"/>
    </row>
    <row r="17" spans="1:12" ht="66">
      <c r="A17" s="12" t="s">
        <v>47</v>
      </c>
      <c r="G17" s="35" t="s">
        <v>144</v>
      </c>
    </row>
    <row r="18" spans="1:12">
      <c r="A18" s="4"/>
      <c r="B18" s="4" t="s">
        <v>15</v>
      </c>
      <c r="C18" s="4" t="s">
        <v>14</v>
      </c>
      <c r="D18" s="4" t="s">
        <v>16</v>
      </c>
      <c r="E18" s="4" t="s">
        <v>57</v>
      </c>
      <c r="F18" s="4" t="s">
        <v>103</v>
      </c>
      <c r="G18" s="5" t="s">
        <v>58</v>
      </c>
      <c r="H18" s="4" t="s">
        <v>15</v>
      </c>
      <c r="I18" s="4" t="s">
        <v>14</v>
      </c>
      <c r="J18" s="4" t="s">
        <v>16</v>
      </c>
      <c r="K18" s="4" t="s">
        <v>57</v>
      </c>
      <c r="L18" s="4" t="s">
        <v>103</v>
      </c>
    </row>
    <row r="19" spans="1:12">
      <c r="A19" s="4" t="s">
        <v>56</v>
      </c>
      <c r="B19" s="8">
        <f>0.26*$B$10</f>
        <v>0.70709508480911143</v>
      </c>
      <c r="C19" s="8">
        <f>0.38*$B$10</f>
        <v>1.0334466624133167</v>
      </c>
      <c r="D19" s="8">
        <f>0.26*$B$10</f>
        <v>0.70709508480911143</v>
      </c>
      <c r="E19" s="43">
        <f>0.1*$B$10</f>
        <v>0.27195964800350442</v>
      </c>
      <c r="F19" s="8">
        <f>SUM(B19:E19)</f>
        <v>2.7195964800350443</v>
      </c>
      <c r="H19" s="8">
        <f>0.26*$B$12</f>
        <v>1.04</v>
      </c>
      <c r="I19" s="8">
        <f>0.38*$B$12</f>
        <v>1.52</v>
      </c>
      <c r="J19" s="8">
        <f>0.26*$B$12</f>
        <v>1.04</v>
      </c>
      <c r="K19" s="43">
        <f>0.1*$B$12</f>
        <v>0.4</v>
      </c>
      <c r="L19" s="8">
        <f>SUM(H19:K19)</f>
        <v>4</v>
      </c>
    </row>
    <row r="20" spans="1:12">
      <c r="A20" s="4" t="s">
        <v>8</v>
      </c>
      <c r="B20" s="8">
        <f>(0.26*$B$10)-($B$19*0.2)</f>
        <v>0.56567606784728919</v>
      </c>
      <c r="C20" s="8">
        <f>(0.38*$B$10)+($B$19*0.2)+($D$19*0.2)</f>
        <v>1.3162846963369614</v>
      </c>
      <c r="D20" s="8">
        <f>(0.26*$B$10)-($D$19*0.2)</f>
        <v>0.56567606784728919</v>
      </c>
      <c r="E20" s="8">
        <f t="shared" ref="E20:E25" si="0">0.1*$B$10</f>
        <v>0.27195964800350442</v>
      </c>
      <c r="F20" s="8">
        <f t="shared" ref="F20:F25" si="1">SUM(B20:E20)</f>
        <v>2.7195964800350443</v>
      </c>
      <c r="G20" s="7"/>
      <c r="H20" s="8">
        <f>(0.26*$B$12)-($H$19*0.2)</f>
        <v>0.83200000000000007</v>
      </c>
      <c r="I20" s="8">
        <f>(0.38*$B$12)+($H$19*0.2)+($J$19*0.2)</f>
        <v>1.9359999999999999</v>
      </c>
      <c r="J20" s="8">
        <f>(0.26*$B$12)-($J$19*0.2)</f>
        <v>0.83200000000000007</v>
      </c>
      <c r="K20" s="8">
        <f t="shared" ref="K20:K25" si="2">0.1*$B$12</f>
        <v>0.4</v>
      </c>
      <c r="L20" s="8">
        <f t="shared" ref="L20:L25" si="3">SUM(H20:K20)</f>
        <v>3.9999999999999996</v>
      </c>
    </row>
    <row r="21" spans="1:12">
      <c r="A21" s="4" t="s">
        <v>10</v>
      </c>
      <c r="B21" s="8">
        <f>(0.26*$B$10)-($B$19*0.3)</f>
        <v>0.49496655936637801</v>
      </c>
      <c r="C21" s="8">
        <f>(0.38*$B$10)+($B$19*0.3)+($D$19*0.3)</f>
        <v>1.4577037132987836</v>
      </c>
      <c r="D21" s="8">
        <f>(0.26*$B$10)-($D$19*0.3)</f>
        <v>0.49496655936637801</v>
      </c>
      <c r="E21" s="8">
        <f t="shared" si="0"/>
        <v>0.27195964800350442</v>
      </c>
      <c r="F21" s="8">
        <f t="shared" si="1"/>
        <v>2.7195964800350438</v>
      </c>
      <c r="G21" s="7"/>
      <c r="H21" s="8">
        <f>(0.26*$B$12)-($H$19*0.3)</f>
        <v>0.72799999999999998</v>
      </c>
      <c r="I21" s="8">
        <f>(0.38*$B$12)+($H$19*0.3)+($J$19*0.3)</f>
        <v>2.1440000000000001</v>
      </c>
      <c r="J21" s="8">
        <f>(0.26*$B$12)-($J$19*0.3)</f>
        <v>0.72799999999999998</v>
      </c>
      <c r="K21" s="8">
        <f t="shared" si="2"/>
        <v>0.4</v>
      </c>
      <c r="L21" s="8">
        <f t="shared" si="3"/>
        <v>3.9999999999999996</v>
      </c>
    </row>
    <row r="22" spans="1:12">
      <c r="A22" s="4" t="s">
        <v>9</v>
      </c>
      <c r="B22" s="8">
        <f>(0.26*$B$10)-($B$19*0.4)</f>
        <v>0.42425705088546684</v>
      </c>
      <c r="C22" s="8">
        <f>(0.38*$B$10)+($B$19*0.4)+($D$19*0.4)</f>
        <v>1.5991227302606061</v>
      </c>
      <c r="D22" s="8">
        <f>(0.26*$B$10)-($D$19*0.4)</f>
        <v>0.42425705088546684</v>
      </c>
      <c r="E22" s="8">
        <f t="shared" si="0"/>
        <v>0.27195964800350442</v>
      </c>
      <c r="F22" s="8">
        <f t="shared" si="1"/>
        <v>2.7195964800350443</v>
      </c>
      <c r="G22" s="7"/>
      <c r="H22" s="8">
        <f>(0.26*$B$12)-($H$19*0.4)</f>
        <v>0.624</v>
      </c>
      <c r="I22" s="8">
        <f>(0.38*$B$12)+($H$19*0.4)+($J$19*0.4)</f>
        <v>2.3519999999999999</v>
      </c>
      <c r="J22" s="8">
        <f>(0.26*$B$12)-($J$19*0.4)</f>
        <v>0.624</v>
      </c>
      <c r="K22" s="8">
        <f t="shared" si="2"/>
        <v>0.4</v>
      </c>
      <c r="L22" s="8">
        <f t="shared" si="3"/>
        <v>4</v>
      </c>
    </row>
    <row r="23" spans="1:12">
      <c r="A23" s="4" t="s">
        <v>11</v>
      </c>
      <c r="B23" s="8">
        <f>(0.26*$B$10)+($C$19*0.2/2)</f>
        <v>0.81043975105044308</v>
      </c>
      <c r="C23" s="8">
        <f>(0.38*$B$10)-($C$19*0.2)</f>
        <v>0.82675732993065343</v>
      </c>
      <c r="D23" s="8">
        <f>(0.26*$B$10)+(($C$19*0.2)/2)</f>
        <v>0.81043975105044308</v>
      </c>
      <c r="E23" s="8">
        <f t="shared" si="0"/>
        <v>0.27195964800350442</v>
      </c>
      <c r="F23" s="8">
        <f>SUM(B23:E23)</f>
        <v>2.7195964800350443</v>
      </c>
      <c r="G23" s="7"/>
      <c r="H23" s="8">
        <f>(0.26*$B$12)+($I$19*0.2/2)</f>
        <v>1.1920000000000002</v>
      </c>
      <c r="I23" s="8">
        <f>(0.38*$B$12)-($I$19*0.2)</f>
        <v>1.216</v>
      </c>
      <c r="J23" s="8">
        <f>(0.26*$B$12)+(($I$19*0.2)/2)</f>
        <v>1.1920000000000002</v>
      </c>
      <c r="K23" s="8">
        <f t="shared" si="2"/>
        <v>0.4</v>
      </c>
      <c r="L23" s="8">
        <f t="shared" si="3"/>
        <v>4.0000000000000009</v>
      </c>
    </row>
    <row r="24" spans="1:12">
      <c r="A24" s="4" t="s">
        <v>12</v>
      </c>
      <c r="B24" s="8">
        <f>(0.26*$B$10)+($C$19*0.3/2)</f>
        <v>0.86211208417110896</v>
      </c>
      <c r="C24" s="8">
        <f>(0.38*$B$10)-($C$19*0.3)</f>
        <v>0.72341266368932167</v>
      </c>
      <c r="D24" s="8">
        <f>(0.26*$B$10)+(($C$19*0.3)/2)</f>
        <v>0.86211208417110896</v>
      </c>
      <c r="E24" s="8">
        <f t="shared" si="0"/>
        <v>0.27195964800350442</v>
      </c>
      <c r="F24" s="8">
        <f t="shared" si="1"/>
        <v>2.7195964800350443</v>
      </c>
      <c r="G24" s="7"/>
      <c r="H24" s="8">
        <f>(0.26*$B$12)+($I$19*0.3/2)</f>
        <v>1.268</v>
      </c>
      <c r="I24" s="8">
        <f>(0.38*$B$12)-($I$19*0.3)</f>
        <v>1.0640000000000001</v>
      </c>
      <c r="J24" s="8">
        <f>(0.26*$B$12)+(($I$19*0.3)/2)</f>
        <v>1.268</v>
      </c>
      <c r="K24" s="8">
        <f t="shared" si="2"/>
        <v>0.4</v>
      </c>
      <c r="L24" s="8">
        <f t="shared" si="3"/>
        <v>3.9999999999999996</v>
      </c>
    </row>
    <row r="25" spans="1:12">
      <c r="A25" s="4" t="s">
        <v>13</v>
      </c>
      <c r="B25" s="8">
        <f>(0.26*$B$10)+($C$19*0.4/2)</f>
        <v>0.91378441729177484</v>
      </c>
      <c r="C25" s="8">
        <f>(0.38*$B$10)-($C$19*0.4)</f>
        <v>0.62006799744799002</v>
      </c>
      <c r="D25" s="8">
        <f>(0.26*$B$10)+(($C$19*0.4)/2)</f>
        <v>0.91378441729177484</v>
      </c>
      <c r="E25" s="8">
        <f t="shared" si="0"/>
        <v>0.27195964800350442</v>
      </c>
      <c r="F25" s="8">
        <f t="shared" si="1"/>
        <v>2.7195964800350443</v>
      </c>
      <c r="G25" s="7"/>
      <c r="H25" s="8">
        <f>(0.26*$B$12)+($I$19*0.4/2)</f>
        <v>1.3440000000000001</v>
      </c>
      <c r="I25" s="8">
        <f>(0.38*$B$12)-($I$19*0.4)</f>
        <v>0.91199999999999992</v>
      </c>
      <c r="J25" s="8">
        <f>(0.26*$B$12)+(($I$19*0.4)/2)</f>
        <v>1.3440000000000001</v>
      </c>
      <c r="K25" s="8">
        <f t="shared" si="2"/>
        <v>0.4</v>
      </c>
      <c r="L25" s="8">
        <f t="shared" si="3"/>
        <v>4.0000000000000009</v>
      </c>
    </row>
    <row r="26" spans="1:12">
      <c r="A26" s="4"/>
      <c r="E26" s="1"/>
    </row>
    <row r="27" spans="1:12">
      <c r="A27" s="4"/>
      <c r="B27" s="4" t="s">
        <v>15</v>
      </c>
      <c r="C27" s="4" t="s">
        <v>14</v>
      </c>
      <c r="D27" s="4" t="s">
        <v>16</v>
      </c>
      <c r="E27" s="1"/>
    </row>
    <row r="28" spans="1:12">
      <c r="A28" s="4" t="s">
        <v>20</v>
      </c>
      <c r="B28" s="26">
        <v>7.25</v>
      </c>
      <c r="C28" s="26">
        <v>6.75</v>
      </c>
      <c r="D28" s="26">
        <v>8.25</v>
      </c>
      <c r="E28" s="1"/>
    </row>
    <row r="29" spans="1:12">
      <c r="A29" s="4" t="s">
        <v>21</v>
      </c>
      <c r="B29" s="26">
        <v>7</v>
      </c>
      <c r="C29" s="26">
        <v>11</v>
      </c>
      <c r="D29" s="26">
        <v>7.25</v>
      </c>
      <c r="E29" s="1"/>
      <c r="J29" s="3" t="s">
        <v>29</v>
      </c>
      <c r="K29" s="3" t="s">
        <v>30</v>
      </c>
      <c r="L29" s="3" t="s">
        <v>31</v>
      </c>
    </row>
    <row r="30" spans="1:12">
      <c r="A30" s="4" t="s">
        <v>3</v>
      </c>
      <c r="B30" s="30">
        <f>1/(1+(POWER(B29, $J$30)/POWER(B28, $K$30)))</f>
        <v>0.53066636521819566</v>
      </c>
      <c r="C30" s="30">
        <f>1/(1+(POWER(C29, $J$30)/POWER(C28, $K$30)))</f>
        <v>0.15326300663555481</v>
      </c>
      <c r="D30" s="30">
        <f>1/(1+(POWER(D29, $J$30)/POWER(D28, $K$30)))</f>
        <v>0.61117193378128443</v>
      </c>
      <c r="E30" s="1"/>
      <c r="F30" t="s">
        <v>24</v>
      </c>
      <c r="H30" t="s">
        <v>25</v>
      </c>
      <c r="J30" s="1">
        <v>3.5</v>
      </c>
      <c r="K30" s="1">
        <v>3.5</v>
      </c>
      <c r="L30" s="1" t="s">
        <v>32</v>
      </c>
    </row>
    <row r="31" spans="1:12" s="6" customFormat="1">
      <c r="A31" s="4" t="s">
        <v>4</v>
      </c>
      <c r="B31" s="31">
        <f>1/(1+POWER((B29/B28),$J$31))</f>
        <v>0.53066636521819555</v>
      </c>
      <c r="C31" s="31">
        <f>1/(1+POWER((C29/C28),$J$31))</f>
        <v>0.15326300663555473</v>
      </c>
      <c r="D31" s="31">
        <f>1/(1+POWER((D29/D28),$J$31))</f>
        <v>0.61117193378128443</v>
      </c>
      <c r="E31" s="18"/>
      <c r="F31" s="6" t="s">
        <v>26</v>
      </c>
      <c r="H31" s="6" t="s">
        <v>27</v>
      </c>
      <c r="J31" s="18">
        <v>3.5</v>
      </c>
      <c r="K31" s="18" t="s">
        <v>32</v>
      </c>
      <c r="L31" s="18" t="s">
        <v>32</v>
      </c>
    </row>
    <row r="32" spans="1:12" s="6" customFormat="1">
      <c r="A32" s="4" t="s">
        <v>5</v>
      </c>
      <c r="B32" s="31">
        <f>1/(1+(($L$32*POWER(B29, $J$30))/POWER(B28, $K$30)))</f>
        <v>0.53066636521819566</v>
      </c>
      <c r="C32" s="31">
        <f>1/(1+(($L$32*POWER(C29, $J$30))/POWER(C28, $K$30)))</f>
        <v>0.15326300663555481</v>
      </c>
      <c r="D32" s="31">
        <f>1/(1+(($L$32*POWER(D29, $J$30))/POWER(D28, $K$30)))</f>
        <v>0.61117193378128443</v>
      </c>
      <c r="E32" s="18"/>
      <c r="F32" s="6" t="s">
        <v>28</v>
      </c>
      <c r="J32" s="18">
        <v>3.5</v>
      </c>
      <c r="K32" s="18">
        <v>3.5</v>
      </c>
      <c r="L32" s="18">
        <v>1</v>
      </c>
    </row>
    <row r="33" spans="1:14">
      <c r="A33" s="4"/>
      <c r="E33" s="1"/>
    </row>
    <row r="34" spans="1:14">
      <c r="A34" s="4"/>
      <c r="B34" s="4" t="s">
        <v>15</v>
      </c>
      <c r="C34" s="4" t="s">
        <v>14</v>
      </c>
      <c r="D34" s="4" t="s">
        <v>16</v>
      </c>
      <c r="E34" s="1"/>
    </row>
    <row r="35" spans="1:14">
      <c r="A35" s="4" t="s">
        <v>23</v>
      </c>
      <c r="B35" s="26">
        <v>4.75</v>
      </c>
      <c r="C35" s="26">
        <v>8.5</v>
      </c>
      <c r="D35" s="26">
        <v>8.25</v>
      </c>
      <c r="E35" s="1"/>
    </row>
    <row r="36" spans="1:14">
      <c r="A36" s="4" t="s">
        <v>22</v>
      </c>
      <c r="B36" s="26">
        <v>10.75</v>
      </c>
      <c r="C36" s="26">
        <v>10</v>
      </c>
      <c r="D36" s="26">
        <v>9.25</v>
      </c>
      <c r="E36" s="1"/>
      <c r="J36" s="3" t="s">
        <v>29</v>
      </c>
      <c r="K36" s="3" t="s">
        <v>30</v>
      </c>
      <c r="L36" s="3" t="s">
        <v>31</v>
      </c>
    </row>
    <row r="37" spans="1:14">
      <c r="A37" s="4" t="s">
        <v>3</v>
      </c>
      <c r="B37" s="30">
        <f>1/(1+(POWER(B36, $J$30)/POWER(B35, $K$30)))</f>
        <v>5.4235189246815058E-2</v>
      </c>
      <c r="C37" s="30">
        <f>1/(1+(POWER(C36, $J$30)/POWER(C35, $K$30)))</f>
        <v>0.3615100130799298</v>
      </c>
      <c r="D37" s="30">
        <f>1/(1+(POWER(D36, $J$30)/POWER(D35, $K$30)))</f>
        <v>0.40120753566688572</v>
      </c>
      <c r="E37" s="1"/>
      <c r="F37" t="s">
        <v>24</v>
      </c>
      <c r="H37" t="s">
        <v>25</v>
      </c>
      <c r="J37" s="1">
        <v>3.5</v>
      </c>
      <c r="K37" s="1">
        <v>3.5</v>
      </c>
      <c r="L37" s="1" t="s">
        <v>32</v>
      </c>
    </row>
    <row r="38" spans="1:14">
      <c r="A38" s="4" t="s">
        <v>4</v>
      </c>
      <c r="B38" s="30">
        <f>1/(1+POWER((B36/B35),$J$31))</f>
        <v>5.4235189246815016E-2</v>
      </c>
      <c r="C38" s="30">
        <f>1/(1+POWER((C36/C35),$J$31))</f>
        <v>0.36151001307992997</v>
      </c>
      <c r="D38" s="30">
        <f>1/(1+POWER((D36/D35),$J$31))</f>
        <v>0.40120753566688594</v>
      </c>
      <c r="E38" s="1"/>
      <c r="F38" t="s">
        <v>26</v>
      </c>
      <c r="H38" t="s">
        <v>27</v>
      </c>
      <c r="J38" s="1">
        <v>3.5</v>
      </c>
      <c r="K38" s="1" t="s">
        <v>32</v>
      </c>
      <c r="L38" s="1" t="s">
        <v>32</v>
      </c>
    </row>
    <row r="39" spans="1:14">
      <c r="A39" s="4" t="s">
        <v>5</v>
      </c>
      <c r="B39" s="30">
        <f>1/(1+($L$32*POWER(B36, $J$30)/POWER(B35, $K$30)))</f>
        <v>5.4235189246815058E-2</v>
      </c>
      <c r="C39" s="30">
        <f>1/(1+($L$32*POWER(C36, $J$30)/POWER(C35, $K$30)))</f>
        <v>0.3615100130799298</v>
      </c>
      <c r="D39" s="30">
        <f>1/(1+($L$32*POWER(D36, $J$30)/POWER(D35, $K$30)))</f>
        <v>0.40120753566688572</v>
      </c>
      <c r="E39" s="1"/>
      <c r="F39" t="s">
        <v>28</v>
      </c>
      <c r="J39" s="1">
        <v>3.5</v>
      </c>
      <c r="K39" s="1">
        <v>3.5</v>
      </c>
      <c r="L39" s="1">
        <v>1</v>
      </c>
    </row>
    <row r="40" spans="1:14" s="20" customFormat="1" ht="13.8" thickBot="1">
      <c r="B40" s="21"/>
      <c r="C40" s="21"/>
      <c r="D40" s="21"/>
      <c r="E40" s="21"/>
    </row>
    <row r="41" spans="1:14" s="22" customFormat="1">
      <c r="B41" s="23"/>
      <c r="C41" s="23"/>
      <c r="D41" s="23"/>
      <c r="E41" s="23"/>
    </row>
    <row r="42" spans="1:14" s="22" customFormat="1">
      <c r="A42" s="36" t="s">
        <v>145</v>
      </c>
      <c r="B42" s="37"/>
      <c r="C42" s="37"/>
      <c r="D42" s="37"/>
      <c r="E42" s="37"/>
      <c r="F42" s="36"/>
      <c r="G42" s="36" t="s">
        <v>146</v>
      </c>
    </row>
    <row r="43" spans="1:14" s="22" customFormat="1">
      <c r="A43" s="36"/>
      <c r="B43" s="37"/>
      <c r="C43" s="37"/>
      <c r="D43" s="37"/>
      <c r="E43" s="37"/>
      <c r="F43" s="36"/>
      <c r="G43" s="36"/>
    </row>
    <row r="44" spans="1:14">
      <c r="B44" s="4" t="s">
        <v>15</v>
      </c>
      <c r="C44" s="4" t="s">
        <v>14</v>
      </c>
      <c r="D44" s="4" t="s">
        <v>16</v>
      </c>
      <c r="E44" s="4" t="s">
        <v>57</v>
      </c>
      <c r="F44" s="4" t="s">
        <v>103</v>
      </c>
      <c r="H44" s="4" t="s">
        <v>15</v>
      </c>
      <c r="I44" s="4" t="s">
        <v>14</v>
      </c>
      <c r="J44" s="4" t="s">
        <v>16</v>
      </c>
      <c r="K44" s="4" t="s">
        <v>57</v>
      </c>
      <c r="L44" s="3" t="s">
        <v>103</v>
      </c>
    </row>
    <row r="45" spans="1:14">
      <c r="A45" s="4" t="s">
        <v>105</v>
      </c>
      <c r="B45" s="8">
        <f>0.26*(10-$B$10)</f>
        <v>1.8929049151908888</v>
      </c>
      <c r="C45" s="8">
        <f>0.38*(10-$B$10)</f>
        <v>2.7665533375866835</v>
      </c>
      <c r="D45" s="8">
        <f>0.26*(10-$B$10)</f>
        <v>1.8929049151908888</v>
      </c>
      <c r="E45" s="43">
        <f>0.1*(10-$B$10)</f>
        <v>0.72804035199649564</v>
      </c>
      <c r="F45" s="8">
        <f>SUM(B45:E45)</f>
        <v>7.280403519964957</v>
      </c>
      <c r="H45" s="8">
        <f>0.26*(10-$B$12)</f>
        <v>1.56</v>
      </c>
      <c r="I45" s="8">
        <f>0.38*(10-$B$12)</f>
        <v>2.2800000000000002</v>
      </c>
      <c r="J45" s="8">
        <f>0.26*(10-$B$12)</f>
        <v>1.56</v>
      </c>
      <c r="K45" s="43">
        <f>0.1*(10-$B$12)</f>
        <v>0.60000000000000009</v>
      </c>
      <c r="L45" s="8">
        <f>SUM(H45:K45)</f>
        <v>6</v>
      </c>
    </row>
    <row r="46" spans="1:14">
      <c r="A46" s="4" t="s">
        <v>106</v>
      </c>
      <c r="B46" s="8">
        <f>B45*B37</f>
        <v>0.10266205630160426</v>
      </c>
      <c r="C46" s="8">
        <f>C45*C37</f>
        <v>1.0001367332572855</v>
      </c>
      <c r="D46" s="8">
        <f>D45*D37</f>
        <v>0.75944771627547181</v>
      </c>
      <c r="E46" s="38"/>
      <c r="F46" s="34">
        <f>SUM(B46:D46)</f>
        <v>1.8622465058343616</v>
      </c>
      <c r="H46" s="8">
        <f>H45*B37</f>
        <v>8.4606895225031495E-2</v>
      </c>
      <c r="I46" s="8">
        <f>I45*C37</f>
        <v>0.82424282982224006</v>
      </c>
      <c r="J46" s="8">
        <f>J45*D37</f>
        <v>0.62588375564034171</v>
      </c>
      <c r="K46" s="8"/>
      <c r="L46" s="34">
        <f>SUM(H46:J46)</f>
        <v>1.5347334806876134</v>
      </c>
      <c r="N46" s="17" t="s">
        <v>148</v>
      </c>
    </row>
    <row r="47" spans="1:14">
      <c r="A47" s="4" t="s">
        <v>6</v>
      </c>
      <c r="B47" s="8">
        <f>B37*((0.26*(10-$B$10))-((0.26*(10-$B$10))*0.3))</f>
        <v>7.1863439411122984E-2</v>
      </c>
      <c r="C47" s="8">
        <f>C37*((0.38*(10-$B$10))+((0.38*(10-$B$10))*0.3))</f>
        <v>1.3001777532344712</v>
      </c>
      <c r="D47" s="8">
        <f>D37*((0.26*(10-$B$10))-((0.26*(10-$B$10))*0.3))</f>
        <v>0.53161340139283031</v>
      </c>
      <c r="E47" s="38"/>
      <c r="F47" s="34">
        <f>SUM(B47:D47)</f>
        <v>1.9036545940384246</v>
      </c>
      <c r="H47" s="8">
        <f>B37*((0.26*(10-$B$12))-((0.26*(10-$B$12))*0.3))</f>
        <v>5.9224826657522045E-2</v>
      </c>
      <c r="I47" s="8">
        <f>C37*((0.38*(10-$B$12))+((0.38*(10-$B$12))*0.3))</f>
        <v>1.0715156787689122</v>
      </c>
      <c r="J47" s="8">
        <f>D37*((0.26*(10-$B$12))-((0.26*(10-$B$12))*0.3))</f>
        <v>0.43811862894823922</v>
      </c>
      <c r="K47" s="8"/>
      <c r="L47" s="34">
        <f>SUM(H47:J47)</f>
        <v>1.5688591343746736</v>
      </c>
      <c r="N47" s="17" t="s">
        <v>177</v>
      </c>
    </row>
    <row r="48" spans="1:14">
      <c r="A48" s="4" t="s">
        <v>7</v>
      </c>
      <c r="B48" s="8">
        <f>B37*((0.26*(10-$B$10))+((0.26*(10-$B$10))*0.3))</f>
        <v>0.13346067319208554</v>
      </c>
      <c r="C48" s="8">
        <f>C37*((0.38*(10-$B$10))-((0.38*(10-$B$10))*0.3))</f>
        <v>0.70009571328009979</v>
      </c>
      <c r="D48" s="8">
        <f>D37*((0.26*(10-$B$10))+((0.26*(10-$B$10))*0.3))</f>
        <v>0.98728203115811342</v>
      </c>
      <c r="E48" s="38"/>
      <c r="F48" s="34">
        <f>SUM(B48:D48)</f>
        <v>1.8208384176302987</v>
      </c>
      <c r="H48" s="8">
        <f>B38*((0.26*(10-$B$12))+((0.26*(10-$B$12))*0.3))</f>
        <v>0.10998896379254085</v>
      </c>
      <c r="I48" s="8">
        <f>C38*((0.38*(10-$B$12))-((0.38*(10-$B$12))*0.3))</f>
        <v>0.57696998087556828</v>
      </c>
      <c r="J48" s="8">
        <f>D38*((0.26*(10-$B$12)+((0.26*(10-$B$12))*0.3)))</f>
        <v>0.8136488823324447</v>
      </c>
      <c r="K48" s="8"/>
      <c r="L48" s="34">
        <f>SUM(H48:J48)</f>
        <v>1.5006078270005538</v>
      </c>
      <c r="N48" s="17" t="s">
        <v>178</v>
      </c>
    </row>
    <row r="49" spans="1:14">
      <c r="H49" s="8"/>
      <c r="I49" s="8"/>
      <c r="J49" s="8"/>
      <c r="K49" s="19"/>
      <c r="L49" s="8"/>
      <c r="N49" s="17"/>
    </row>
    <row r="50" spans="1:14">
      <c r="A50" s="4" t="s">
        <v>107</v>
      </c>
      <c r="B50" s="8">
        <f>B19*B30</f>
        <v>0.37523157851930294</v>
      </c>
      <c r="C50" s="8">
        <f>C19*C30</f>
        <v>0.15838914267894413</v>
      </c>
      <c r="D50" s="8">
        <f>D19*D30</f>
        <v>0.43215667035002597</v>
      </c>
      <c r="E50" s="38"/>
      <c r="F50" s="34">
        <f>SUM(B50:D50)</f>
        <v>0.96577739154827302</v>
      </c>
      <c r="G50" s="4" t="s">
        <v>104</v>
      </c>
      <c r="H50" s="8">
        <f>H19*B30</f>
        <v>0.55189301982692351</v>
      </c>
      <c r="I50" s="8">
        <f>I19*C30</f>
        <v>0.23295977008604332</v>
      </c>
      <c r="J50" s="8">
        <f>J19*D30</f>
        <v>0.63561881113253582</v>
      </c>
      <c r="K50" s="8"/>
      <c r="L50" s="34">
        <f>SUM(H50:J50)</f>
        <v>1.4204716010455027</v>
      </c>
      <c r="N50" s="17" t="s">
        <v>147</v>
      </c>
    </row>
    <row r="51" spans="1:14">
      <c r="A51" s="4" t="s">
        <v>6</v>
      </c>
      <c r="B51" s="8">
        <f>B21*B30</f>
        <v>0.26266210496351206</v>
      </c>
      <c r="C51" s="8">
        <f>C21*C30</f>
        <v>0.22341205388398436</v>
      </c>
      <c r="D51" s="8">
        <f>D21*D30</f>
        <v>0.30250966924501815</v>
      </c>
      <c r="E51" s="38"/>
      <c r="F51" s="34">
        <f>SUM(B51:D51)</f>
        <v>0.78858382809251459</v>
      </c>
      <c r="G51" s="4" t="s">
        <v>6</v>
      </c>
      <c r="H51" s="8">
        <f>H21*B30</f>
        <v>0.38632511387884644</v>
      </c>
      <c r="I51" s="8">
        <f>I21*C30</f>
        <v>0.32859588622662955</v>
      </c>
      <c r="J51" s="8">
        <f>J21*D30</f>
        <v>0.44493316779277503</v>
      </c>
      <c r="K51" s="8"/>
      <c r="L51" s="34">
        <f>SUM(H51:J51)</f>
        <v>1.159854167898251</v>
      </c>
      <c r="N51" s="17" t="s">
        <v>149</v>
      </c>
    </row>
    <row r="52" spans="1:14">
      <c r="A52" s="4" t="s">
        <v>7</v>
      </c>
      <c r="B52" s="8">
        <f>B24*B30</f>
        <v>0.45749388611776554</v>
      </c>
      <c r="C52" s="8">
        <f>C24*C30</f>
        <v>0.11087239987526089</v>
      </c>
      <c r="D52" s="8">
        <f>D24*D30</f>
        <v>0.52689870961907015</v>
      </c>
      <c r="E52" s="38"/>
      <c r="F52" s="34">
        <f>SUM(B52:D52)</f>
        <v>1.0952649956120966</v>
      </c>
      <c r="G52" s="4" t="s">
        <v>7</v>
      </c>
      <c r="H52" s="8">
        <f>H24*B30</f>
        <v>0.67288495109667212</v>
      </c>
      <c r="I52" s="8">
        <f>I24*C30</f>
        <v>0.16307183906023032</v>
      </c>
      <c r="J52" s="8">
        <f>J24*D30</f>
        <v>0.77496601203466864</v>
      </c>
      <c r="K52" s="8"/>
      <c r="L52" s="34">
        <f>SUM(H52:J52)</f>
        <v>1.6109228021915711</v>
      </c>
      <c r="N52" s="17" t="s">
        <v>150</v>
      </c>
    </row>
    <row r="53" spans="1:14">
      <c r="H53" s="8"/>
      <c r="I53" s="8"/>
      <c r="J53" s="8"/>
      <c r="K53" s="8"/>
      <c r="L53" s="8"/>
    </row>
    <row r="54" spans="1:14">
      <c r="B54" s="8"/>
      <c r="F54" s="8"/>
      <c r="H54" s="1"/>
      <c r="I54" s="1"/>
      <c r="J54" s="1"/>
      <c r="K54" s="1"/>
      <c r="L54" s="1"/>
    </row>
    <row r="58" spans="1:14">
      <c r="B58" s="8"/>
    </row>
  </sheetData>
  <phoneticPr fontId="7" type="noConversion"/>
  <pageMargins left="0.75" right="0.75" top="1" bottom="1" header="0.5" footer="0.5"/>
  <pageSetup paperSize="9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dimension ref="A1:X59"/>
  <sheetViews>
    <sheetView zoomScale="85" workbookViewId="0">
      <selection activeCell="O7" sqref="O7"/>
    </sheetView>
  </sheetViews>
  <sheetFormatPr defaultRowHeight="13.2"/>
  <cols>
    <col min="1" max="1" width="23.6640625" customWidth="1"/>
    <col min="2" max="2" width="12.33203125" bestFit="1" customWidth="1"/>
    <col min="13" max="13" width="4.109375" customWidth="1"/>
    <col min="14" max="14" width="25.44140625" customWidth="1"/>
    <col min="15" max="15" width="20.6640625" customWidth="1"/>
    <col min="16" max="16" width="20.44140625" customWidth="1"/>
    <col min="17" max="17" width="14.88671875" customWidth="1"/>
    <col min="18" max="18" width="19" customWidth="1"/>
    <col min="19" max="19" width="7.6640625" bestFit="1" customWidth="1"/>
    <col min="20" max="20" width="12.33203125" bestFit="1" customWidth="1"/>
    <col min="21" max="21" width="7.6640625" bestFit="1" customWidth="1"/>
    <col min="22" max="22" width="13.88671875" bestFit="1" customWidth="1"/>
    <col min="23" max="23" width="13.44140625" bestFit="1" customWidth="1"/>
    <col min="24" max="24" width="12.33203125" bestFit="1" customWidth="1"/>
  </cols>
  <sheetData>
    <row r="1" spans="1:24">
      <c r="A1" s="17" t="s">
        <v>151</v>
      </c>
    </row>
    <row r="2" spans="1:24">
      <c r="A2" s="17" t="s">
        <v>267</v>
      </c>
      <c r="B2" t="s">
        <v>432</v>
      </c>
    </row>
    <row r="3" spans="1:24">
      <c r="A3" s="33" t="s">
        <v>143</v>
      </c>
    </row>
    <row r="4" spans="1:24" s="20" customFormat="1" ht="13.8" thickBot="1">
      <c r="A4" s="32"/>
    </row>
    <row r="5" spans="1:24">
      <c r="A5" s="4"/>
      <c r="D5" s="4"/>
      <c r="N5" s="4" t="s">
        <v>192</v>
      </c>
    </row>
    <row r="6" spans="1:24">
      <c r="A6" s="4" t="str">
        <f>CONCATENATE("Midfield ",B2)</f>
        <v>Midfield Absint</v>
      </c>
      <c r="B6" s="25">
        <v>8.36</v>
      </c>
      <c r="D6" s="87"/>
      <c r="F6" t="s">
        <v>138</v>
      </c>
      <c r="O6" s="4" t="s">
        <v>433</v>
      </c>
      <c r="P6" s="4" t="s">
        <v>432</v>
      </c>
      <c r="Q6" s="4" t="s">
        <v>272</v>
      </c>
      <c r="R6" s="4" t="str">
        <f>O6</f>
        <v>Nord</v>
      </c>
      <c r="T6" s="4" t="str">
        <f>P6</f>
        <v>Absint</v>
      </c>
      <c r="V6" s="4" t="s">
        <v>273</v>
      </c>
      <c r="W6" s="3" t="str">
        <f>O6</f>
        <v>Nord</v>
      </c>
      <c r="X6" s="3" t="str">
        <f>P6</f>
        <v>Absint</v>
      </c>
    </row>
    <row r="7" spans="1:24">
      <c r="A7" s="4" t="s">
        <v>152</v>
      </c>
      <c r="B7" s="88" t="s">
        <v>270</v>
      </c>
      <c r="D7" s="87"/>
      <c r="F7" t="s">
        <v>269</v>
      </c>
      <c r="N7" t="s">
        <v>249</v>
      </c>
      <c r="O7" t="s">
        <v>250</v>
      </c>
      <c r="P7" t="s">
        <v>251</v>
      </c>
      <c r="Q7" t="s">
        <v>249</v>
      </c>
      <c r="R7" t="str">
        <f t="shared" ref="R7:R13" si="0">LEFT(O7,FIND(" ",O7)-1)</f>
        <v>gudabenådad</v>
      </c>
      <c r="S7" t="str">
        <f t="shared" ref="S7:S13" si="1">MID(O7,LEN(R7)+3,LEN(O7)-LEN(R7)-3)</f>
        <v>mkt hög</v>
      </c>
      <c r="T7" t="str">
        <f t="shared" ref="T7:T13" si="2">LEFT(P7,FIND(" ",P7)-1)</f>
        <v>ypperlig</v>
      </c>
      <c r="U7" t="str">
        <f t="shared" ref="U7:U13" si="3">MID(P7,LEN(T7)+3,LEN(P7)-LEN(T7)-3)</f>
        <v>hög</v>
      </c>
      <c r="V7" t="s">
        <v>249</v>
      </c>
      <c r="W7" s="1">
        <f>VLOOKUP(R7,Parser!$N$5:'Parser'!$O$24,2,FALSE)+VLOOKUP(TRIM(S7),Parser!$R$14:'Parser'!$S$17,2,FALSE)</f>
        <v>11.75</v>
      </c>
      <c r="X7" s="1">
        <f>VLOOKUP(T7,Parser!$N$5:'Parser'!$O$24,2,FALSE)+VLOOKUP(TRIM(U7),Parser!$R$14:'Parser'!$S$17,2,FALSE)</f>
        <v>6.5</v>
      </c>
    </row>
    <row r="8" spans="1:24">
      <c r="A8" s="6" t="s">
        <v>268</v>
      </c>
      <c r="B8" s="42">
        <f>IF(OR(B7="Ja",B7="JA",B7="ja"),(B6*0.93),B6)</f>
        <v>8.36</v>
      </c>
      <c r="F8" t="s">
        <v>271</v>
      </c>
      <c r="N8" t="s">
        <v>252</v>
      </c>
      <c r="O8" t="s">
        <v>253</v>
      </c>
      <c r="P8" t="s">
        <v>250</v>
      </c>
      <c r="Q8" t="s">
        <v>252</v>
      </c>
      <c r="R8" t="str">
        <f t="shared" si="0"/>
        <v>ypperlig</v>
      </c>
      <c r="S8" t="str">
        <f t="shared" si="1"/>
        <v>mkt hög</v>
      </c>
      <c r="T8" t="str">
        <f t="shared" si="2"/>
        <v>gudabenådad</v>
      </c>
      <c r="U8" t="str">
        <f t="shared" si="3"/>
        <v>mkt hög</v>
      </c>
      <c r="V8" t="s">
        <v>252</v>
      </c>
      <c r="W8" s="1">
        <f>VLOOKUP(R8,Parser!$N$5:'Parser'!$O$24,2,FALSE)+VLOOKUP(TRIM(S8),Parser!$R$14:'Parser'!$S$17,2,FALSE)</f>
        <v>6.75</v>
      </c>
      <c r="X8" s="1">
        <f>VLOOKUP(T8,Parser!$N$5:'Parser'!$O$24,2,FALSE)+VLOOKUP(TRIM(U8),Parser!$R$14:'Parser'!$S$17,2,FALSE)</f>
        <v>11.75</v>
      </c>
    </row>
    <row r="9" spans="1:24">
      <c r="A9" s="4" t="str">
        <f>IF(O6=B2,CONCATENATE("Midfield ",P6),CONCATENATE("Midfield ",O6))</f>
        <v>Midfield Nord</v>
      </c>
      <c r="B9" s="25">
        <v>12.62</v>
      </c>
      <c r="F9" t="s">
        <v>139</v>
      </c>
      <c r="N9" t="s">
        <v>254</v>
      </c>
      <c r="O9" t="s">
        <v>255</v>
      </c>
      <c r="P9" t="s">
        <v>256</v>
      </c>
      <c r="Q9" t="s">
        <v>254</v>
      </c>
      <c r="R9" t="str">
        <f t="shared" si="0"/>
        <v>gudabenådad</v>
      </c>
      <c r="S9" t="str">
        <f t="shared" si="1"/>
        <v>låg</v>
      </c>
      <c r="T9" t="str">
        <f t="shared" si="2"/>
        <v>oförglömlig</v>
      </c>
      <c r="U9" t="str">
        <f t="shared" si="3"/>
        <v>låg</v>
      </c>
      <c r="V9" t="s">
        <v>254</v>
      </c>
      <c r="W9" s="1">
        <f>VLOOKUP(R9,Parser!$N$5:'Parser'!$O$24,2,FALSE)+VLOOKUP(TRIM(S9),Parser!$R$14:'Parser'!$S$17,2,FALSE)</f>
        <v>11.25</v>
      </c>
      <c r="X9" s="1">
        <f>VLOOKUP(T9,Parser!$N$5:'Parser'!$O$24,2,FALSE)+VLOOKUP(TRIM(U9),Parser!$R$14:'Parser'!$S$17,2,FALSE)</f>
        <v>13.25</v>
      </c>
    </row>
    <row r="10" spans="1:24">
      <c r="A10" s="6" t="s">
        <v>54</v>
      </c>
      <c r="B10" s="2">
        <f>B8/(B8+B9)</f>
        <v>0.39847473784556725</v>
      </c>
      <c r="F10" t="s">
        <v>142</v>
      </c>
      <c r="N10" t="s">
        <v>257</v>
      </c>
      <c r="O10" t="s">
        <v>258</v>
      </c>
      <c r="P10" t="s">
        <v>259</v>
      </c>
      <c r="Q10" t="s">
        <v>257</v>
      </c>
      <c r="R10" t="str">
        <f t="shared" si="0"/>
        <v>unik</v>
      </c>
      <c r="S10" t="str">
        <f t="shared" si="1"/>
        <v>hög</v>
      </c>
      <c r="T10" t="str">
        <f t="shared" si="2"/>
        <v>övernaturlig</v>
      </c>
      <c r="U10" t="str">
        <f t="shared" si="3"/>
        <v>låg</v>
      </c>
      <c r="V10" t="s">
        <v>257</v>
      </c>
      <c r="W10" s="1">
        <f>VLOOKUP(R10,Parser!$N$5:'Parser'!$O$24,2,FALSE)+VLOOKUP(TRIM(S10),Parser!$R$14:'Parser'!$S$17,2,FALSE)</f>
        <v>9.5</v>
      </c>
      <c r="X10" s="1">
        <f>VLOOKUP(T10,Parser!$N$5:'Parser'!$O$24,2,FALSE)+VLOOKUP(TRIM(U10),Parser!$R$14:'Parser'!$S$17,2,FALSE)</f>
        <v>12.25</v>
      </c>
    </row>
    <row r="11" spans="1:24">
      <c r="A11" s="6" t="s">
        <v>55</v>
      </c>
      <c r="B11" s="41">
        <f>5+3.95*ATAN((100*B10-50)/15)</f>
        <v>2.6497133569939528</v>
      </c>
      <c r="F11" t="s">
        <v>43</v>
      </c>
      <c r="N11" t="s">
        <v>260</v>
      </c>
      <c r="O11" t="s">
        <v>261</v>
      </c>
      <c r="P11" t="s">
        <v>251</v>
      </c>
      <c r="Q11" t="s">
        <v>260</v>
      </c>
      <c r="R11" t="str">
        <f t="shared" si="0"/>
        <v>hyfsad</v>
      </c>
      <c r="S11" t="str">
        <f t="shared" si="1"/>
        <v>mkt låg</v>
      </c>
      <c r="T11" t="str">
        <f t="shared" si="2"/>
        <v>ypperlig</v>
      </c>
      <c r="U11" t="str">
        <f t="shared" si="3"/>
        <v>hög</v>
      </c>
      <c r="V11" t="s">
        <v>260</v>
      </c>
      <c r="W11" s="1">
        <f>VLOOKUP(R11,Parser!$N$5:'Parser'!$O$24,2,FALSE)+VLOOKUP(TRIM(S11),Parser!$R$14:'Parser'!$S$17,2,FALSE)</f>
        <v>4</v>
      </c>
      <c r="X11" s="1">
        <f>VLOOKUP(T11,Parser!$N$5:'Parser'!$O$24,2,FALSE)+VLOOKUP(TRIM(U11),Parser!$R$14:'Parser'!$S$17,2,FALSE)</f>
        <v>6.5</v>
      </c>
    </row>
    <row r="12" spans="1:24">
      <c r="A12" s="4"/>
      <c r="N12" t="s">
        <v>262</v>
      </c>
      <c r="O12" t="s">
        <v>263</v>
      </c>
      <c r="P12" t="s">
        <v>264</v>
      </c>
      <c r="Q12" t="s">
        <v>262</v>
      </c>
      <c r="R12" t="str">
        <f t="shared" si="0"/>
        <v>ypperlig</v>
      </c>
      <c r="S12" t="str">
        <f t="shared" si="1"/>
        <v>låg</v>
      </c>
      <c r="T12" t="str">
        <f t="shared" si="2"/>
        <v>enastående</v>
      </c>
      <c r="U12" t="str">
        <f t="shared" si="3"/>
        <v>mkt låg</v>
      </c>
      <c r="V12" t="s">
        <v>262</v>
      </c>
      <c r="W12" s="1">
        <f>VLOOKUP(R12,Parser!$N$5:'Parser'!$O$24,2,FALSE)+VLOOKUP(TRIM(S12),Parser!$R$14:'Parser'!$S$17,2,FALSE)</f>
        <v>6.25</v>
      </c>
      <c r="X12" s="1">
        <f>VLOOKUP(T12,Parser!$N$5:'Parser'!$O$24,2,FALSE)+VLOOKUP(TRIM(U12),Parser!$R$14:'Parser'!$S$17,2,FALSE)</f>
        <v>7</v>
      </c>
    </row>
    <row r="13" spans="1:24">
      <c r="A13" s="4" t="s">
        <v>49</v>
      </c>
      <c r="B13" s="25">
        <v>3</v>
      </c>
      <c r="F13" t="s">
        <v>140</v>
      </c>
      <c r="N13" t="s">
        <v>265</v>
      </c>
      <c r="O13" t="s">
        <v>255</v>
      </c>
      <c r="P13" t="s">
        <v>253</v>
      </c>
      <c r="Q13" t="s">
        <v>265</v>
      </c>
      <c r="R13" t="str">
        <f t="shared" si="0"/>
        <v>gudabenådad</v>
      </c>
      <c r="S13" t="str">
        <f t="shared" si="1"/>
        <v>låg</v>
      </c>
      <c r="T13" t="str">
        <f t="shared" si="2"/>
        <v>ypperlig</v>
      </c>
      <c r="U13" t="str">
        <f t="shared" si="3"/>
        <v>mkt hög</v>
      </c>
      <c r="V13" t="s">
        <v>265</v>
      </c>
      <c r="W13" s="1">
        <f>VLOOKUP(R13,Parser!$N$5:'Parser'!$O$24,2,FALSE)+VLOOKUP(TRIM(S13),Parser!$R$14:'Parser'!$S$17,2,FALSE)</f>
        <v>11.25</v>
      </c>
      <c r="X13" s="1">
        <f>VLOOKUP(T13,Parser!$N$5:'Parser'!$O$24,2,FALSE)+VLOOKUP(TRIM(U13),Parser!$R$14:'Parser'!$S$17,2,FALSE)</f>
        <v>6.75</v>
      </c>
    </row>
    <row r="14" spans="1:24">
      <c r="A14" s="6" t="s">
        <v>45</v>
      </c>
      <c r="B14" s="2">
        <f>(50+(15*TAN(((B13-5)/3.95))))/100</f>
        <v>0.41681763066786104</v>
      </c>
      <c r="F14" t="s">
        <v>44</v>
      </c>
      <c r="N14" t="s">
        <v>266</v>
      </c>
    </row>
    <row r="15" spans="1:24">
      <c r="A15" s="6" t="s">
        <v>48</v>
      </c>
      <c r="B15" s="41">
        <f>(B14*B9)/(1-B14)</f>
        <v>9.0198860179062628</v>
      </c>
      <c r="C15" s="1" t="s">
        <v>176</v>
      </c>
      <c r="D15" s="40" t="str">
        <f>VLOOKUP(FLOOR(B15,1), Parser!$T$5:'Parser'!$U$44,2, FALSE)</f>
        <v>unik</v>
      </c>
      <c r="E15" s="40"/>
      <c r="F15" t="s">
        <v>141</v>
      </c>
      <c r="N15" t="s">
        <v>280</v>
      </c>
    </row>
    <row r="16" spans="1:24">
      <c r="A16" s="4"/>
      <c r="B16" s="39"/>
      <c r="D16" s="40" t="str">
        <f>VLOOKUP(FLOOR((FLOOR((B15-FLOOR(B15,1))*4,1)),1),Parser!$Q$9:'Parser'!$R$12,2,FALSE)</f>
        <v>mkt låg</v>
      </c>
      <c r="E16" s="40"/>
      <c r="N16" t="s">
        <v>91</v>
      </c>
      <c r="O16" t="s">
        <v>281</v>
      </c>
      <c r="P16" t="s">
        <v>282</v>
      </c>
    </row>
    <row r="17" spans="1:18">
      <c r="A17" s="4"/>
      <c r="N17" t="s">
        <v>283</v>
      </c>
      <c r="O17" t="s">
        <v>281</v>
      </c>
      <c r="P17" t="s">
        <v>251</v>
      </c>
    </row>
    <row r="18" spans="1:18" ht="52.8">
      <c r="A18" s="12" t="s">
        <v>47</v>
      </c>
      <c r="G18" s="35" t="s">
        <v>144</v>
      </c>
      <c r="N18" t="s">
        <v>266</v>
      </c>
    </row>
    <row r="19" spans="1:18">
      <c r="A19" s="4"/>
      <c r="B19" s="4" t="s">
        <v>15</v>
      </c>
      <c r="C19" s="4" t="s">
        <v>14</v>
      </c>
      <c r="D19" s="4" t="s">
        <v>16</v>
      </c>
      <c r="E19" s="4" t="s">
        <v>57</v>
      </c>
      <c r="F19" s="4" t="s">
        <v>103</v>
      </c>
      <c r="G19" s="5" t="s">
        <v>58</v>
      </c>
      <c r="H19" s="4" t="s">
        <v>15</v>
      </c>
      <c r="I19" s="4" t="s">
        <v>14</v>
      </c>
      <c r="J19" s="4" t="s">
        <v>16</v>
      </c>
      <c r="K19" s="4" t="s">
        <v>57</v>
      </c>
      <c r="L19" s="4" t="s">
        <v>103</v>
      </c>
      <c r="N19" t="s">
        <v>284</v>
      </c>
      <c r="O19" t="s">
        <v>285</v>
      </c>
      <c r="P19" t="s">
        <v>286</v>
      </c>
      <c r="Q19" s="4"/>
    </row>
    <row r="20" spans="1:18">
      <c r="A20" s="4" t="s">
        <v>56</v>
      </c>
      <c r="B20" s="8">
        <f>0.26*$B$11</f>
        <v>0.68892547281842775</v>
      </c>
      <c r="C20" s="8">
        <f>0.38*$B$11</f>
        <v>1.0068910756577021</v>
      </c>
      <c r="D20" s="8">
        <f>0.26*$B$11</f>
        <v>0.68892547281842775</v>
      </c>
      <c r="E20" s="43">
        <f t="shared" ref="E20:E26" si="4">0.1*$B$11</f>
        <v>0.26497133569939529</v>
      </c>
      <c r="F20" s="8">
        <f t="shared" ref="F20:F26" si="5">SUM(B20:E20)</f>
        <v>2.6497133569939528</v>
      </c>
      <c r="H20" s="8">
        <f>0.26*$B$13</f>
        <v>0.78</v>
      </c>
      <c r="I20" s="8">
        <f>0.38*$B$13</f>
        <v>1.1400000000000001</v>
      </c>
      <c r="J20" s="8">
        <f>0.26*$B$13</f>
        <v>0.78</v>
      </c>
      <c r="K20" s="43">
        <f t="shared" ref="K20:K26" si="6">0.1*$B$13</f>
        <v>0.30000000000000004</v>
      </c>
      <c r="L20" s="8">
        <f t="shared" ref="L20:L26" si="7">SUM(H20:K20)</f>
        <v>3</v>
      </c>
      <c r="N20" t="s">
        <v>287</v>
      </c>
      <c r="O20" t="s">
        <v>286</v>
      </c>
      <c r="P20" t="s">
        <v>288</v>
      </c>
    </row>
    <row r="21" spans="1:18">
      <c r="A21" s="4" t="s">
        <v>8</v>
      </c>
      <c r="B21" s="8">
        <f>(0.26*$B$11)-($B$20*0.2)</f>
        <v>0.55114037825474216</v>
      </c>
      <c r="C21" s="8">
        <f>(0.38*$B$11)+($B$20*0.2)+($D$20*0.2)</f>
        <v>1.2824612647850733</v>
      </c>
      <c r="D21" s="8">
        <f>(0.26*$B$11)-($D$20*0.2)</f>
        <v>0.55114037825474216</v>
      </c>
      <c r="E21" s="8">
        <f t="shared" si="4"/>
        <v>0.26497133569939529</v>
      </c>
      <c r="F21" s="8">
        <f t="shared" si="5"/>
        <v>2.6497133569939528</v>
      </c>
      <c r="G21" s="7"/>
      <c r="H21" s="8">
        <f>(0.26*$B$13)-($H$20*0.2)</f>
        <v>0.624</v>
      </c>
      <c r="I21" s="8">
        <f>(0.38*$B$13)+($H$20*0.2)+($J$20*0.2)</f>
        <v>1.4520000000000004</v>
      </c>
      <c r="J21" s="8">
        <f>(0.26*$B$13)-($J$20*0.2)</f>
        <v>0.624</v>
      </c>
      <c r="K21" s="8">
        <f t="shared" si="6"/>
        <v>0.30000000000000004</v>
      </c>
      <c r="L21" s="8">
        <f t="shared" si="7"/>
        <v>3.0000000000000009</v>
      </c>
      <c r="N21" t="s">
        <v>289</v>
      </c>
      <c r="O21" t="s">
        <v>290</v>
      </c>
      <c r="P21" t="s">
        <v>72</v>
      </c>
    </row>
    <row r="22" spans="1:18">
      <c r="A22" s="4" t="s">
        <v>10</v>
      </c>
      <c r="B22" s="8">
        <f>(0.26*$B$11)-($B$20*0.3)</f>
        <v>0.48224783097289947</v>
      </c>
      <c r="C22" s="8">
        <f>(0.38*$B$11)+($B$20*0.3)+($D$20*0.3)</f>
        <v>1.4202463593487586</v>
      </c>
      <c r="D22" s="8">
        <f>(0.26*$B$11)-($D$20*0.3)</f>
        <v>0.48224783097289947</v>
      </c>
      <c r="E22" s="8">
        <f t="shared" si="4"/>
        <v>0.26497133569939529</v>
      </c>
      <c r="F22" s="8">
        <f t="shared" si="5"/>
        <v>2.6497133569939528</v>
      </c>
      <c r="G22" s="7"/>
      <c r="H22" s="8">
        <f>(0.26*$B$13)-($H$20*0.3)</f>
        <v>0.54600000000000004</v>
      </c>
      <c r="I22" s="8">
        <f>(0.38*$B$13)+($H$20*0.3)+($J$20*0.3)</f>
        <v>1.6080000000000001</v>
      </c>
      <c r="J22" s="8">
        <f>(0.26*$B$13)-($J$20*0.3)</f>
        <v>0.54600000000000004</v>
      </c>
      <c r="K22" s="8">
        <f t="shared" si="6"/>
        <v>0.30000000000000004</v>
      </c>
      <c r="L22" s="8">
        <f t="shared" si="7"/>
        <v>3</v>
      </c>
    </row>
    <row r="23" spans="1:18">
      <c r="A23" s="4" t="s">
        <v>9</v>
      </c>
      <c r="B23" s="8">
        <f>(0.26*$B$11)-($B$20*0.4)</f>
        <v>0.41335528369105662</v>
      </c>
      <c r="C23" s="8">
        <f>(0.38*$B$11)+($B$20*0.4)+($D$20*0.4)</f>
        <v>1.5580314539124445</v>
      </c>
      <c r="D23" s="8">
        <f>(0.26*$B$11)-($D$20*0.4)</f>
        <v>0.41335528369105662</v>
      </c>
      <c r="E23" s="8">
        <f t="shared" si="4"/>
        <v>0.26497133569939529</v>
      </c>
      <c r="F23" s="8">
        <f t="shared" si="5"/>
        <v>2.6497133569939533</v>
      </c>
      <c r="G23" s="7"/>
      <c r="H23" s="8">
        <f>(0.26*$B$13)-($H$20*0.4)</f>
        <v>0.46799999999999997</v>
      </c>
      <c r="I23" s="8">
        <f>(0.38*$B$13)+($H$20*0.4)+($J$20*0.4)</f>
        <v>1.7640000000000002</v>
      </c>
      <c r="J23" s="8">
        <f>(0.26*$B$13)-($J$20*0.4)</f>
        <v>0.46799999999999997</v>
      </c>
      <c r="K23" s="8">
        <f t="shared" si="6"/>
        <v>0.30000000000000004</v>
      </c>
      <c r="L23" s="8">
        <f t="shared" si="7"/>
        <v>3</v>
      </c>
      <c r="N23" s="89" t="s">
        <v>274</v>
      </c>
      <c r="O23" s="90">
        <f>4*(3*(W7+0.25)+SUM(W8:W13)+0.25*6)</f>
        <v>346</v>
      </c>
      <c r="P23" s="90">
        <f>4*(3*(X7+0.25)+SUM(X8:X13)+0.25*6)</f>
        <v>317</v>
      </c>
    </row>
    <row r="24" spans="1:18">
      <c r="A24" s="4" t="s">
        <v>11</v>
      </c>
      <c r="B24" s="8">
        <f>(0.26*$B$11)+($C$20*0.2/2)</f>
        <v>0.78961458038419796</v>
      </c>
      <c r="C24" s="8">
        <f>(0.38*$B$11)-($C$20*0.2)</f>
        <v>0.80551286052616167</v>
      </c>
      <c r="D24" s="8">
        <f>(0.26*$B$11)+(($C$20*0.2)/2)</f>
        <v>0.78961458038419796</v>
      </c>
      <c r="E24" s="8">
        <f t="shared" si="4"/>
        <v>0.26497133569939529</v>
      </c>
      <c r="F24" s="8">
        <f t="shared" si="5"/>
        <v>2.6497133569939528</v>
      </c>
      <c r="G24" s="7"/>
      <c r="H24" s="8">
        <f>(0.26*$B$13)+($I$20*0.2/2)</f>
        <v>0.89400000000000002</v>
      </c>
      <c r="I24" s="8">
        <f>(0.38*$B$13)-($I$20*0.2)</f>
        <v>0.91200000000000014</v>
      </c>
      <c r="J24" s="8">
        <f>(0.26*$B$13)+(($I$20*0.2)/2)</f>
        <v>0.89400000000000002</v>
      </c>
      <c r="K24" s="8">
        <f t="shared" si="6"/>
        <v>0.30000000000000004</v>
      </c>
      <c r="L24" s="8">
        <f t="shared" si="7"/>
        <v>3</v>
      </c>
    </row>
    <row r="25" spans="1:18">
      <c r="A25" s="4" t="s">
        <v>12</v>
      </c>
      <c r="B25" s="8">
        <f>(0.26*$B$11)+($C$20*0.3/2)</f>
        <v>0.83995913416708312</v>
      </c>
      <c r="C25" s="8">
        <f>(0.38*$B$11)-($C$20*0.3)</f>
        <v>0.70482375296039146</v>
      </c>
      <c r="D25" s="8">
        <f>(0.26*$B$11)+(($C$20*0.3)/2)</f>
        <v>0.83995913416708312</v>
      </c>
      <c r="E25" s="8">
        <f t="shared" si="4"/>
        <v>0.26497133569939529</v>
      </c>
      <c r="F25" s="8">
        <f t="shared" si="5"/>
        <v>2.6497133569939533</v>
      </c>
      <c r="G25" s="7"/>
      <c r="H25" s="8">
        <f>(0.26*$B$13)+($I$20*0.3/2)</f>
        <v>0.95100000000000007</v>
      </c>
      <c r="I25" s="8">
        <f>(0.38*$B$13)-($I$20*0.3)</f>
        <v>0.79800000000000004</v>
      </c>
      <c r="J25" s="8">
        <f>(0.26*$B$13)+(($I$20*0.3)/2)</f>
        <v>0.95100000000000007</v>
      </c>
      <c r="K25" s="8">
        <f t="shared" si="6"/>
        <v>0.30000000000000004</v>
      </c>
      <c r="L25" s="8">
        <f t="shared" si="7"/>
        <v>3</v>
      </c>
      <c r="N25" s="4" t="s">
        <v>279</v>
      </c>
      <c r="O25" s="3" t="str">
        <f>O6</f>
        <v>Nord</v>
      </c>
      <c r="P25" s="3" t="str">
        <f>P6</f>
        <v>Absint</v>
      </c>
    </row>
    <row r="26" spans="1:18">
      <c r="A26" s="4" t="s">
        <v>13</v>
      </c>
      <c r="B26" s="8">
        <f>(0.26*$B$11)+($C$20*0.4/2)</f>
        <v>0.89030368794996817</v>
      </c>
      <c r="C26" s="8">
        <f>(0.38*$B$11)-($C$20*0.4)</f>
        <v>0.60413464539462125</v>
      </c>
      <c r="D26" s="8">
        <f>(0.26*$B$11)+(($C$20*0.4)/2)</f>
        <v>0.89030368794996817</v>
      </c>
      <c r="E26" s="8">
        <f t="shared" si="4"/>
        <v>0.26497133569939529</v>
      </c>
      <c r="F26" s="8">
        <f t="shared" si="5"/>
        <v>2.6497133569939528</v>
      </c>
      <c r="G26" s="7"/>
      <c r="H26" s="8">
        <f>(0.26*$B$13)+($I$20*0.4/2)</f>
        <v>1.008</v>
      </c>
      <c r="I26" s="8">
        <f>(0.38*$B$13)-($I$20*0.4)</f>
        <v>0.68400000000000005</v>
      </c>
      <c r="J26" s="8">
        <f>(0.26*$B$13)+(($I$20*0.4)/2)</f>
        <v>1.008</v>
      </c>
      <c r="K26" s="8">
        <f t="shared" si="6"/>
        <v>0.30000000000000004</v>
      </c>
      <c r="L26" s="8">
        <f t="shared" si="7"/>
        <v>3</v>
      </c>
      <c r="N26" t="s">
        <v>249</v>
      </c>
      <c r="O26" s="8" t="str">
        <f>IF((W7-X7)&lt;0,CONCATENATE("",TEXT(W7-X7,"0,00")),CONCATENATE("+",TEXT(W7-X7,"0,00")))</f>
        <v>+5,25</v>
      </c>
      <c r="P26" s="8" t="str">
        <f>IF((X7-W7)&lt;0,CONCATENATE("",TEXT(X7-W7,"0,00")),CONCATENATE("+",TEXT(X7-W7,"0,00")))</f>
        <v>-5,25</v>
      </c>
      <c r="Q26" t="s">
        <v>276</v>
      </c>
    </row>
    <row r="27" spans="1:18">
      <c r="A27" s="4"/>
      <c r="E27" s="1"/>
      <c r="N27" t="s">
        <v>252</v>
      </c>
      <c r="O27" s="8" t="str">
        <f>IF((W8-X13)&lt;0,CONCATENATE("",TEXT(W8-X13,"0,00")),CONCATENATE("+",TEXT(W8-X13,"0,00")))</f>
        <v>+0,00</v>
      </c>
      <c r="P27" s="8" t="str">
        <f>IF((X8-W13)&lt;0,CONCATENATE("",TEXT(X8-W13,"0,00")),CONCATENATE("+",TEXT(X8-W13,"0,00")))</f>
        <v>+0,50</v>
      </c>
      <c r="Q27" t="s">
        <v>277</v>
      </c>
      <c r="R27" s="1"/>
    </row>
    <row r="28" spans="1:18">
      <c r="A28" s="4"/>
      <c r="B28" s="4" t="s">
        <v>15</v>
      </c>
      <c r="C28" s="4" t="s">
        <v>14</v>
      </c>
      <c r="D28" s="4" t="s">
        <v>16</v>
      </c>
      <c r="E28" s="1"/>
      <c r="N28" t="s">
        <v>254</v>
      </c>
      <c r="O28" s="8" t="str">
        <f>IF((W9-X12)&lt;0,CONCATENATE("",TEXT(W9-X12,"0,00")),CONCATENATE("+",TEXT(W9-X12,"0,00")))</f>
        <v>+4,25</v>
      </c>
      <c r="P28" s="8" t="str">
        <f>IF((X9-W12)&lt;0,CONCATENATE("",TEXT(X9-W12,"0,00")),CONCATENATE("+",TEXT(X9-W12,"0,00")))</f>
        <v>+7,00</v>
      </c>
      <c r="Q28" t="s">
        <v>277</v>
      </c>
      <c r="R28" s="1"/>
    </row>
    <row r="29" spans="1:18">
      <c r="A29" s="4" t="s">
        <v>20</v>
      </c>
      <c r="B29" s="26">
        <v>10</v>
      </c>
      <c r="C29" s="26">
        <v>10</v>
      </c>
      <c r="D29" s="26">
        <v>5</v>
      </c>
      <c r="E29" s="1"/>
      <c r="N29" t="s">
        <v>257</v>
      </c>
      <c r="O29" s="91" t="str">
        <f>IF((W10-X11)&lt;0,CONCATENATE("",TEXT(W10-X11,"0,00")),CONCATENATE("+",TEXT(W10-X11,"0,00")))</f>
        <v>+3,00</v>
      </c>
      <c r="P29" s="91" t="str">
        <f>IF((X10-W11)&lt;0,CONCATENATE("",TEXT(X10-W11,"0,00")),CONCATENATE("+",TEXT(X10-W11,"0,00")))</f>
        <v>+8,25</v>
      </c>
      <c r="Q29" t="s">
        <v>277</v>
      </c>
    </row>
    <row r="30" spans="1:18">
      <c r="A30" s="4" t="s">
        <v>21</v>
      </c>
      <c r="B30" s="26">
        <v>10</v>
      </c>
      <c r="C30" s="26">
        <v>10</v>
      </c>
      <c r="D30" s="26">
        <v>10</v>
      </c>
      <c r="E30" s="1"/>
      <c r="J30" s="3" t="s">
        <v>29</v>
      </c>
      <c r="K30" s="3" t="s">
        <v>30</v>
      </c>
      <c r="L30" s="3" t="s">
        <v>31</v>
      </c>
      <c r="N30" t="s">
        <v>260</v>
      </c>
      <c r="O30" s="91" t="str">
        <f>IF((W11-X10)&lt;0,CONCATENATE("",TEXT(W11-X10,"0,00")),CONCATENATE("+",TEXT(W11-X10,"0,00")))</f>
        <v>-8,25</v>
      </c>
      <c r="P30" s="91" t="str">
        <f>IF((X11-W10)&lt;0,CONCATENATE("",TEXT(X11-W10,"0,00")),CONCATENATE("+",TEXT(X11-W10,"0,00")))</f>
        <v>-3,00</v>
      </c>
      <c r="Q30" s="6" t="s">
        <v>278</v>
      </c>
    </row>
    <row r="31" spans="1:18">
      <c r="A31" s="4" t="s">
        <v>3</v>
      </c>
      <c r="B31" s="30">
        <f>1/(1+(POWER(B30, $J$31)/POWER(B29, $K$31)))</f>
        <v>0.5</v>
      </c>
      <c r="C31" s="30">
        <f>1/(1+(POWER(C30, $J$31)/POWER(C29, $K$31)))</f>
        <v>0.5</v>
      </c>
      <c r="D31" s="30">
        <f>1/(1+(POWER(D30, $J$31)/POWER(D29, $K$31)))</f>
        <v>8.1210303141612261E-2</v>
      </c>
      <c r="E31" s="1"/>
      <c r="F31" t="s">
        <v>24</v>
      </c>
      <c r="H31" t="s">
        <v>25</v>
      </c>
      <c r="J31" s="1">
        <v>3.5</v>
      </c>
      <c r="K31" s="1">
        <v>3.5</v>
      </c>
      <c r="L31" s="1" t="s">
        <v>32</v>
      </c>
      <c r="N31" t="s">
        <v>262</v>
      </c>
      <c r="O31" s="8" t="str">
        <f>IF((W12-X9)&lt;0,CONCATENATE("",TEXT(W12-X9,"0,00")),CONCATENATE("+",TEXT(W12-X9,"0,00")))</f>
        <v>-7,00</v>
      </c>
      <c r="P31" s="8" t="str">
        <f>IF((X12-W9)&lt;0,CONCATENATE("",TEXT(X12-W9,"0,00")),CONCATENATE("+",TEXT(X12-W9,"0,00")))</f>
        <v>-4,25</v>
      </c>
      <c r="Q31" s="6" t="s">
        <v>278</v>
      </c>
    </row>
    <row r="32" spans="1:18" s="6" customFormat="1">
      <c r="A32" s="4" t="s">
        <v>4</v>
      </c>
      <c r="B32" s="31">
        <f>1/(1+POWER((B30/B29),$J$32))</f>
        <v>0.5</v>
      </c>
      <c r="C32" s="31">
        <f>1/(1+POWER((C30/C29),$J$32))</f>
        <v>0.5</v>
      </c>
      <c r="D32" s="31">
        <f>1/(1+POWER((D30/D29),$J$32))</f>
        <v>8.1210303141612289E-2</v>
      </c>
      <c r="E32" s="18"/>
      <c r="F32" s="6" t="s">
        <v>26</v>
      </c>
      <c r="H32" s="6" t="s">
        <v>27</v>
      </c>
      <c r="J32" s="18">
        <v>3.5</v>
      </c>
      <c r="K32" s="18" t="s">
        <v>32</v>
      </c>
      <c r="L32" s="18" t="s">
        <v>32</v>
      </c>
      <c r="N32" t="s">
        <v>265</v>
      </c>
      <c r="O32" s="8" t="str">
        <f>IF((W13-X8)&lt;0,CONCATENATE("",TEXT(W13-X8,"0,00")),CONCATENATE("+",TEXT(W13-X8,"0,00")))</f>
        <v>-0,50</v>
      </c>
      <c r="P32" s="8" t="str">
        <f>IF((X13-W8)&lt;0,CONCATENATE("",TEXT(X13-W8,"0,00")),CONCATENATE("+",TEXT(X13-W8,"0,00")))</f>
        <v>+0,00</v>
      </c>
      <c r="Q32" s="6" t="s">
        <v>278</v>
      </c>
    </row>
    <row r="33" spans="1:16" s="6" customFormat="1">
      <c r="A33" s="4" t="s">
        <v>5</v>
      </c>
      <c r="B33" s="31">
        <f>1/(1+(($L$33*POWER(B30, $J$31))/POWER(B29, $K$31)))</f>
        <v>0.5</v>
      </c>
      <c r="C33" s="31">
        <f>1/(1+(($L$33*POWER(C30, $J$31))/POWER(C29, $K$31)))</f>
        <v>0.5</v>
      </c>
      <c r="D33" s="31">
        <f>1/(1+(($L$33*POWER(D30, $J$31))/POWER(D29, $K$31)))</f>
        <v>8.1210303141612261E-2</v>
      </c>
      <c r="E33" s="18"/>
      <c r="F33" s="6" t="s">
        <v>28</v>
      </c>
      <c r="J33" s="18">
        <v>3.5</v>
      </c>
      <c r="K33" s="18">
        <v>3.5</v>
      </c>
      <c r="L33" s="18">
        <v>1</v>
      </c>
      <c r="O33" s="92"/>
      <c r="P33" s="92"/>
    </row>
    <row r="34" spans="1:16">
      <c r="A34" s="4"/>
      <c r="E34" s="1"/>
      <c r="N34" s="6" t="s">
        <v>291</v>
      </c>
      <c r="O34" s="94">
        <f>W7/(W7+X7)</f>
        <v>0.64383561643835618</v>
      </c>
      <c r="P34" s="94">
        <f>X7/(X7+W7)</f>
        <v>0.35616438356164382</v>
      </c>
    </row>
    <row r="35" spans="1:16">
      <c r="A35" s="4"/>
      <c r="B35" s="4" t="s">
        <v>15</v>
      </c>
      <c r="C35" s="4" t="s">
        <v>14</v>
      </c>
      <c r="D35" s="4" t="s">
        <v>16</v>
      </c>
      <c r="E35" s="1"/>
      <c r="N35" s="6" t="s">
        <v>55</v>
      </c>
      <c r="O35" s="38">
        <f>5+3.95*ATAN((100*O34-50)/15)</f>
        <v>8.0194677664855316</v>
      </c>
      <c r="P35" s="38">
        <f>5+3.95*ATAN((100*P34-50)/15)</f>
        <v>1.9805322335144684</v>
      </c>
    </row>
    <row r="36" spans="1:16">
      <c r="A36" s="4" t="s">
        <v>23</v>
      </c>
      <c r="B36" s="26">
        <v>11.75</v>
      </c>
      <c r="C36" s="26">
        <v>12</v>
      </c>
      <c r="D36" s="26">
        <v>6.5</v>
      </c>
      <c r="E36" s="1"/>
      <c r="O36" s="7"/>
      <c r="P36" s="7"/>
    </row>
    <row r="37" spans="1:16">
      <c r="A37" s="4" t="s">
        <v>22</v>
      </c>
      <c r="B37" s="26">
        <f>15.75*0.9</f>
        <v>14.175000000000001</v>
      </c>
      <c r="C37" s="26">
        <f>15.75*0.9</f>
        <v>14.175000000000001</v>
      </c>
      <c r="D37" s="26">
        <f>9.5*0.9</f>
        <v>8.5500000000000007</v>
      </c>
      <c r="E37" s="1"/>
      <c r="J37" s="3" t="s">
        <v>29</v>
      </c>
      <c r="K37" s="3" t="s">
        <v>30</v>
      </c>
      <c r="L37" s="3" t="s">
        <v>31</v>
      </c>
      <c r="O37" s="7"/>
      <c r="P37" s="7"/>
    </row>
    <row r="38" spans="1:16">
      <c r="A38" s="4" t="s">
        <v>3</v>
      </c>
      <c r="B38" s="30">
        <f>1/(1+(POWER(B37, $J$31)/POWER(B36, $K$31)))</f>
        <v>0.34148284441651938</v>
      </c>
      <c r="C38" s="30">
        <f>1/(1+(POWER(C37, $J$31)/POWER(C36, $K$31)))</f>
        <v>0.35824116096618586</v>
      </c>
      <c r="D38" s="30">
        <f>1/(1+(POWER(D37, $J$31)/POWER(D36, $K$31)))</f>
        <v>0.27698795282088545</v>
      </c>
      <c r="E38" s="1"/>
      <c r="F38" t="s">
        <v>24</v>
      </c>
      <c r="H38" t="s">
        <v>25</v>
      </c>
      <c r="J38" s="1">
        <v>3.5</v>
      </c>
      <c r="K38" s="1">
        <v>3.5</v>
      </c>
      <c r="L38" s="1" t="s">
        <v>32</v>
      </c>
      <c r="O38" s="7"/>
      <c r="P38" s="7"/>
    </row>
    <row r="39" spans="1:16">
      <c r="A39" s="4" t="s">
        <v>4</v>
      </c>
      <c r="B39" s="30">
        <f>1/(1+POWER((B37/B36),$J$32))</f>
        <v>0.34148284441651955</v>
      </c>
      <c r="C39" s="30">
        <f>1/(1+POWER((C37/C36),$J$32))</f>
        <v>0.35824116096618625</v>
      </c>
      <c r="D39" s="30">
        <f>1/(1+POWER((D37/D36),$J$32))</f>
        <v>0.27698795282088534</v>
      </c>
      <c r="E39" s="1"/>
      <c r="F39" t="s">
        <v>26</v>
      </c>
      <c r="H39" t="s">
        <v>27</v>
      </c>
      <c r="J39" s="1">
        <v>3.5</v>
      </c>
      <c r="K39" s="1" t="s">
        <v>32</v>
      </c>
      <c r="L39" s="1" t="s">
        <v>32</v>
      </c>
      <c r="O39" s="7"/>
      <c r="P39" s="7"/>
    </row>
    <row r="40" spans="1:16">
      <c r="A40" s="4" t="s">
        <v>5</v>
      </c>
      <c r="B40" s="30">
        <f>1/(1+($L$33*POWER(B37, $J$31)/POWER(B36, $K$31)))</f>
        <v>0.34148284441651938</v>
      </c>
      <c r="C40" s="30">
        <f>1/(1+($L$33*POWER(C37, $J$31)/POWER(C36, $K$31)))</f>
        <v>0.35824116096618586</v>
      </c>
      <c r="D40" s="30">
        <f>1/(1+($L$33*POWER(D37, $J$31)/POWER(D36, $K$31)))</f>
        <v>0.27698795282088545</v>
      </c>
      <c r="E40" s="1"/>
      <c r="F40" t="s">
        <v>28</v>
      </c>
      <c r="J40" s="1">
        <v>3.5</v>
      </c>
      <c r="K40" s="1">
        <v>3.5</v>
      </c>
      <c r="L40" s="1">
        <v>1</v>
      </c>
      <c r="O40" s="7"/>
      <c r="P40" s="7"/>
    </row>
    <row r="41" spans="1:16" s="20" customFormat="1" ht="13.8" thickBot="1">
      <c r="B41" s="21"/>
      <c r="C41" s="21"/>
      <c r="D41" s="21"/>
      <c r="E41" s="21"/>
      <c r="O41" s="93"/>
      <c r="P41" s="93"/>
    </row>
    <row r="42" spans="1:16" s="22" customFormat="1">
      <c r="B42" s="23"/>
      <c r="C42" s="23"/>
      <c r="D42" s="23"/>
      <c r="E42" s="23"/>
    </row>
    <row r="43" spans="1:16" s="22" customFormat="1">
      <c r="A43" s="36" t="s">
        <v>145</v>
      </c>
      <c r="B43" s="37"/>
      <c r="C43" s="37"/>
      <c r="D43" s="37"/>
      <c r="E43" s="37"/>
      <c r="F43" s="36"/>
      <c r="G43" s="36" t="s">
        <v>146</v>
      </c>
    </row>
    <row r="44" spans="1:16" s="22" customFormat="1">
      <c r="A44" s="36"/>
      <c r="B44" s="37"/>
      <c r="C44" s="37"/>
      <c r="D44" s="37"/>
      <c r="E44" s="37"/>
      <c r="F44" s="36"/>
      <c r="G44" s="36"/>
    </row>
    <row r="45" spans="1:16">
      <c r="B45" s="4" t="s">
        <v>15</v>
      </c>
      <c r="C45" s="4" t="s">
        <v>14</v>
      </c>
      <c r="D45" s="4" t="s">
        <v>16</v>
      </c>
      <c r="E45" s="4" t="s">
        <v>57</v>
      </c>
      <c r="F45" s="4" t="s">
        <v>103</v>
      </c>
      <c r="H45" s="4" t="s">
        <v>15</v>
      </c>
      <c r="I45" s="4" t="s">
        <v>14</v>
      </c>
      <c r="J45" s="4" t="s">
        <v>16</v>
      </c>
      <c r="K45" s="4" t="s">
        <v>57</v>
      </c>
      <c r="L45" s="3" t="s">
        <v>103</v>
      </c>
    </row>
    <row r="46" spans="1:16">
      <c r="A46" s="4" t="s">
        <v>105</v>
      </c>
      <c r="B46" s="8">
        <f>0.26*(10-$B$11)</f>
        <v>1.9110745271815723</v>
      </c>
      <c r="C46" s="8">
        <f>0.38*(10-$B$11)</f>
        <v>2.793108924342298</v>
      </c>
      <c r="D46" s="8">
        <f>0.26*(10-$B$11)</f>
        <v>1.9110745271815723</v>
      </c>
      <c r="E46" s="43">
        <f>0.1*(10-$B$11)</f>
        <v>0.73502866430060476</v>
      </c>
      <c r="F46" s="8">
        <f>SUM(B46:E46)</f>
        <v>7.3502866430060472</v>
      </c>
      <c r="H46" s="8">
        <f>0.26*(10-$B$13)</f>
        <v>1.82</v>
      </c>
      <c r="I46" s="8">
        <f>0.38*(10-$B$13)</f>
        <v>2.66</v>
      </c>
      <c r="J46" s="8">
        <f>0.26*(10-$B$13)</f>
        <v>1.82</v>
      </c>
      <c r="K46" s="43">
        <f>0.1*(10-$B$13)</f>
        <v>0.70000000000000007</v>
      </c>
      <c r="L46" s="8">
        <f>SUM(H46:K46)</f>
        <v>7.0000000000000009</v>
      </c>
    </row>
    <row r="47" spans="1:16">
      <c r="A47" s="4" t="s">
        <v>106</v>
      </c>
      <c r="B47" s="8">
        <f>B46*B38</f>
        <v>0.65259916543391816</v>
      </c>
      <c r="C47" s="8">
        <f>C46*C38</f>
        <v>1.0006065837613993</v>
      </c>
      <c r="D47" s="8">
        <f>D46*D38</f>
        <v>0.52934462097216528</v>
      </c>
      <c r="E47" s="38"/>
      <c r="F47" s="34">
        <f>SUM(B47:D47)</f>
        <v>2.1825503701674829</v>
      </c>
      <c r="H47" s="8">
        <f>H46*B38</f>
        <v>0.62149877683806531</v>
      </c>
      <c r="I47" s="8">
        <f>I46*C38</f>
        <v>0.9529214881700544</v>
      </c>
      <c r="J47" s="8">
        <f>J46*D38</f>
        <v>0.50411807413401155</v>
      </c>
      <c r="K47" s="8"/>
      <c r="L47" s="34">
        <f>SUM(H47:J47)</f>
        <v>2.0785383391421313</v>
      </c>
      <c r="N47" s="17" t="s">
        <v>148</v>
      </c>
    </row>
    <row r="48" spans="1:16">
      <c r="A48" s="4" t="s">
        <v>6</v>
      </c>
      <c r="B48" s="8">
        <f>B38*((0.26*(10-$B$11))-((0.26*(10-$B$11))*0.3))</f>
        <v>0.4568194158037428</v>
      </c>
      <c r="C48" s="8">
        <f>C38*((0.38*(10-$B$11))+((0.38*(10-$B$11))*0.3))</f>
        <v>1.3007885588898191</v>
      </c>
      <c r="D48" s="8">
        <f>D38*((0.26*(10-$B$11))-((0.26*(10-$B$11))*0.3))</f>
        <v>0.37054123468051581</v>
      </c>
      <c r="E48" s="38"/>
      <c r="F48" s="34">
        <f>SUM(B48:D48)</f>
        <v>2.1281492093740777</v>
      </c>
      <c r="H48" s="8">
        <f>B38*((0.26*(10-$B$13))-((0.26*(10-$B$13))*0.3))</f>
        <v>0.43504914378664572</v>
      </c>
      <c r="I48" s="8">
        <f>C38*((0.38*(10-$B$13))+((0.38*(10-$B$13))*0.3))</f>
        <v>1.2387979346210707</v>
      </c>
      <c r="J48" s="8">
        <f>D38*((0.26*(10-$B$13))-((0.26*(10-$B$13))*0.3))</f>
        <v>0.35288265189380807</v>
      </c>
      <c r="K48" s="8"/>
      <c r="L48" s="34">
        <f>SUM(H48:J48)</f>
        <v>2.0267297303015246</v>
      </c>
      <c r="N48" s="17" t="s">
        <v>177</v>
      </c>
    </row>
    <row r="49" spans="1:14">
      <c r="A49" s="4" t="s">
        <v>7</v>
      </c>
      <c r="B49" s="8">
        <f>B38*((0.26*(10-$B$11))+((0.26*(10-$B$11))*0.3))</f>
        <v>0.84837891506409358</v>
      </c>
      <c r="C49" s="8">
        <f>C38*((0.38*(10-$B$11))-((0.38*(10-$B$11))*0.3))</f>
        <v>0.70042460863297962</v>
      </c>
      <c r="D49" s="8">
        <f>D38*((0.26*(10-$B$11))+((0.26*(10-$B$11))*0.3))</f>
        <v>0.68814800726381486</v>
      </c>
      <c r="E49" s="38"/>
      <c r="F49" s="34">
        <f>SUM(B49:D49)</f>
        <v>2.2369515309608881</v>
      </c>
      <c r="H49" s="8">
        <f>B39*((0.26*(10-$B$13))+((0.26*(10-$B$13))*0.3))</f>
        <v>0.80794840988948524</v>
      </c>
      <c r="I49" s="8">
        <f>C39*((0.38*(10-$B$13))-((0.38*(10-$B$13))*0.3))</f>
        <v>0.66704504171903878</v>
      </c>
      <c r="J49" s="8">
        <f>D39*((0.26*(10-$B$13)+((0.26*(10-$B$13))*0.3)))</f>
        <v>0.65535349637421469</v>
      </c>
      <c r="K49" s="8"/>
      <c r="L49" s="34">
        <f>SUM(H49:J49)</f>
        <v>2.1303469479827388</v>
      </c>
      <c r="N49" s="17" t="s">
        <v>178</v>
      </c>
    </row>
    <row r="50" spans="1:14">
      <c r="H50" s="8"/>
      <c r="I50" s="8"/>
      <c r="J50" s="8"/>
      <c r="K50" s="19"/>
      <c r="L50" s="8"/>
      <c r="N50" s="17"/>
    </row>
    <row r="51" spans="1:14">
      <c r="A51" s="4" t="s">
        <v>107</v>
      </c>
      <c r="B51" s="8">
        <f>B20*B31</f>
        <v>0.34446273640921388</v>
      </c>
      <c r="C51" s="8">
        <f>C20*C31</f>
        <v>0.50344553782885104</v>
      </c>
      <c r="D51" s="8">
        <f>D20*D31</f>
        <v>5.5947846489563073E-2</v>
      </c>
      <c r="E51" s="38"/>
      <c r="F51" s="34">
        <f>SUM(B51:D51)</f>
        <v>0.903856120727628</v>
      </c>
      <c r="G51" s="4" t="s">
        <v>104</v>
      </c>
      <c r="H51" s="8">
        <f>H20*B31</f>
        <v>0.39</v>
      </c>
      <c r="I51" s="8">
        <f>I20*C31</f>
        <v>0.57000000000000006</v>
      </c>
      <c r="J51" s="8">
        <f>J20*D31</f>
        <v>6.3344036450457566E-2</v>
      </c>
      <c r="K51" s="8"/>
      <c r="L51" s="34">
        <f>SUM(H51:J51)</f>
        <v>1.0233440364504576</v>
      </c>
      <c r="N51" s="17" t="s">
        <v>147</v>
      </c>
    </row>
    <row r="52" spans="1:14">
      <c r="A52" s="4" t="s">
        <v>6</v>
      </c>
      <c r="B52" s="8">
        <f>B22*B31</f>
        <v>0.24112391548644974</v>
      </c>
      <c r="C52" s="8">
        <f>C22*C31</f>
        <v>0.71012317967437932</v>
      </c>
      <c r="D52" s="8">
        <f>D22*D31</f>
        <v>3.9163492542694155E-2</v>
      </c>
      <c r="E52" s="38"/>
      <c r="F52" s="34">
        <f>SUM(B52:D52)</f>
        <v>0.99041058770352319</v>
      </c>
      <c r="G52" s="4" t="s">
        <v>6</v>
      </c>
      <c r="H52" s="8">
        <f>H22*B31</f>
        <v>0.27300000000000002</v>
      </c>
      <c r="I52" s="8">
        <f>I22*C31</f>
        <v>0.80400000000000005</v>
      </c>
      <c r="J52" s="8">
        <f>J22*D31</f>
        <v>4.4340825515320301E-2</v>
      </c>
      <c r="K52" s="8"/>
      <c r="L52" s="34">
        <f>SUM(H52:J52)</f>
        <v>1.1213408255153203</v>
      </c>
      <c r="N52" s="17" t="s">
        <v>149</v>
      </c>
    </row>
    <row r="53" spans="1:14">
      <c r="A53" s="4" t="s">
        <v>7</v>
      </c>
      <c r="B53" s="8">
        <f>B25*B31</f>
        <v>0.41997956708354156</v>
      </c>
      <c r="C53" s="8">
        <f>C25*C31</f>
        <v>0.35241187648019573</v>
      </c>
      <c r="D53" s="8">
        <f>D25*D31</f>
        <v>6.8213335912274992E-2</v>
      </c>
      <c r="E53" s="38"/>
      <c r="F53" s="34">
        <f>SUM(B53:D53)</f>
        <v>0.84060477947601231</v>
      </c>
      <c r="G53" s="4" t="s">
        <v>7</v>
      </c>
      <c r="H53" s="8">
        <f>H25*B31</f>
        <v>0.47550000000000003</v>
      </c>
      <c r="I53" s="8">
        <f>I25*C31</f>
        <v>0.39900000000000002</v>
      </c>
      <c r="J53" s="8">
        <f>J25*D31</f>
        <v>7.7230998287673269E-2</v>
      </c>
      <c r="K53" s="8"/>
      <c r="L53" s="34">
        <f>SUM(H53:J53)</f>
        <v>0.95173099828767338</v>
      </c>
      <c r="N53" s="17" t="s">
        <v>150</v>
      </c>
    </row>
    <row r="54" spans="1:14">
      <c r="H54" s="8"/>
      <c r="I54" s="8"/>
      <c r="J54" s="8"/>
      <c r="K54" s="8"/>
      <c r="L54" s="8"/>
    </row>
    <row r="55" spans="1:14">
      <c r="B55" s="8"/>
      <c r="F55" s="8"/>
      <c r="H55" s="1"/>
      <c r="I55" s="1"/>
      <c r="J55" s="1"/>
      <c r="K55" s="1"/>
      <c r="L55" s="1"/>
    </row>
    <row r="59" spans="1:14">
      <c r="B59" s="8"/>
    </row>
  </sheetData>
  <phoneticPr fontId="7" type="noConversion"/>
  <pageMargins left="0.75" right="0.75" top="1" bottom="1" header="0.5" footer="0.5"/>
  <pageSetup paperSize="9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dimension ref="A1:AD59"/>
  <sheetViews>
    <sheetView zoomScale="85" workbookViewId="0">
      <selection activeCell="A5" sqref="A5"/>
    </sheetView>
  </sheetViews>
  <sheetFormatPr defaultRowHeight="13.2"/>
  <cols>
    <col min="1" max="1" width="23.6640625" customWidth="1"/>
    <col min="2" max="2" width="12.33203125" bestFit="1" customWidth="1"/>
    <col min="13" max="13" width="4.109375" customWidth="1"/>
    <col min="14" max="14" width="25.44140625" customWidth="1"/>
    <col min="15" max="15" width="20.6640625" customWidth="1"/>
    <col min="16" max="16" width="25" customWidth="1"/>
    <col min="17" max="17" width="14.88671875" customWidth="1"/>
    <col min="18" max="18" width="13.33203125" customWidth="1"/>
    <col min="19" max="19" width="7.6640625" customWidth="1"/>
    <col min="20" max="20" width="12.33203125" customWidth="1"/>
    <col min="21" max="21" width="7.6640625" customWidth="1"/>
    <col min="22" max="22" width="13.88671875" bestFit="1" customWidth="1"/>
    <col min="23" max="23" width="13.44140625" style="1" bestFit="1" customWidth="1"/>
    <col min="24" max="24" width="12.33203125" style="1" bestFit="1" customWidth="1"/>
    <col min="25" max="27" width="12.33203125" customWidth="1"/>
    <col min="28" max="28" width="13" bestFit="1" customWidth="1"/>
  </cols>
  <sheetData>
    <row r="1" spans="1:30">
      <c r="A1" s="17" t="s">
        <v>151</v>
      </c>
    </row>
    <row r="2" spans="1:30">
      <c r="A2" s="17" t="s">
        <v>267</v>
      </c>
      <c r="B2" t="s">
        <v>294</v>
      </c>
    </row>
    <row r="3" spans="1:30">
      <c r="A3" s="33" t="s">
        <v>143</v>
      </c>
      <c r="P3" t="s">
        <v>560</v>
      </c>
      <c r="Q3" t="s">
        <v>558</v>
      </c>
    </row>
    <row r="4" spans="1:30" s="20" customFormat="1" ht="13.8" thickBot="1">
      <c r="A4" s="32"/>
      <c r="W4" s="21"/>
      <c r="X4" s="21"/>
    </row>
    <row r="5" spans="1:30">
      <c r="A5" s="4"/>
      <c r="D5" s="4"/>
      <c r="N5" s="4" t="s">
        <v>192</v>
      </c>
    </row>
    <row r="6" spans="1:30" ht="13.8" thickBot="1">
      <c r="A6" s="4" t="str">
        <f>CONCATENATE("Midfield ",B2)</f>
        <v>Midfield Sverige</v>
      </c>
      <c r="B6" s="25">
        <v>9</v>
      </c>
      <c r="D6" s="87"/>
      <c r="F6" t="s">
        <v>138</v>
      </c>
      <c r="N6" s="95"/>
      <c r="O6" s="95" t="s">
        <v>294</v>
      </c>
      <c r="P6" s="98" t="s">
        <v>557</v>
      </c>
      <c r="Q6" s="4"/>
      <c r="R6" s="4" t="str">
        <f>O6</f>
        <v>Sverige</v>
      </c>
      <c r="T6" s="4" t="str">
        <f>P6</f>
        <v>Ungern</v>
      </c>
      <c r="V6" t="s">
        <v>558</v>
      </c>
      <c r="Y6" s="4" t="s">
        <v>273</v>
      </c>
      <c r="Z6" s="3" t="str">
        <f>O6</f>
        <v>Sverige</v>
      </c>
      <c r="AA6" s="3" t="str">
        <f>P6</f>
        <v>Ungern</v>
      </c>
      <c r="AB6" s="4" t="s">
        <v>568</v>
      </c>
      <c r="AC6" s="3" t="str">
        <f>O6</f>
        <v>Sverige</v>
      </c>
      <c r="AD6" s="3" t="str">
        <f>P6</f>
        <v>Ungern</v>
      </c>
    </row>
    <row r="7" spans="1:30" ht="13.8" thickTop="1">
      <c r="A7" s="4" t="s">
        <v>152</v>
      </c>
      <c r="B7" s="88" t="s">
        <v>270</v>
      </c>
      <c r="D7" s="87"/>
      <c r="F7" t="s">
        <v>269</v>
      </c>
      <c r="N7" s="96" t="s">
        <v>249</v>
      </c>
      <c r="O7" s="97" t="s">
        <v>569</v>
      </c>
      <c r="P7" s="62" t="s">
        <v>282</v>
      </c>
      <c r="R7" t="str">
        <f t="shared" ref="R7:R13" si="0">LEFT(O7,FIND(" ",O7)-1)</f>
        <v>bra</v>
      </c>
      <c r="S7" t="str">
        <f t="shared" ref="S7:S13" si="1">MID(O7,LEN(R7)+3,LEN(O7)-LEN(R7)-3)</f>
        <v>mkt låg</v>
      </c>
      <c r="T7" t="str">
        <f t="shared" ref="T7:T13" si="2">LEFT(P7,FIND(" ",P7)-1)</f>
        <v>enastående</v>
      </c>
      <c r="U7" t="str">
        <f t="shared" ref="U7:U13" si="3">MID(P7,LEN(T7)+3,LEN(P7)-LEN(T7)-3)</f>
        <v>hög</v>
      </c>
      <c r="V7" t="s">
        <v>249</v>
      </c>
      <c r="W7" s="1">
        <v>7.44</v>
      </c>
      <c r="X7" s="1">
        <v>6.81</v>
      </c>
      <c r="Y7" t="s">
        <v>249</v>
      </c>
      <c r="Z7" s="1">
        <f>VLOOKUP(R7,Parser!$N$5:'Parser'!$O$24,2,FALSE)+VLOOKUP(TRIM(S7),Parser!$R$14:'Parser'!$S$17,2,FALSE)</f>
        <v>5</v>
      </c>
      <c r="AA7" s="1">
        <f>VLOOKUP(T7,Parser!$N$5:'Parser'!$O$24,2,FALSE)+VLOOKUP(TRIM(U7),Parser!$R$14:'Parser'!$S$17,2,FALSE)</f>
        <v>7.5</v>
      </c>
      <c r="AB7" t="s">
        <v>249</v>
      </c>
      <c r="AC7" s="1">
        <f>IF($Q$3="Numbers",W7,Z7)</f>
        <v>7.44</v>
      </c>
      <c r="AD7" s="1">
        <f>IF($Q$3="Numbers",X7,AA7)</f>
        <v>6.81</v>
      </c>
    </row>
    <row r="8" spans="1:30">
      <c r="A8" s="6" t="s">
        <v>268</v>
      </c>
      <c r="B8" s="42">
        <f>IF(OR(B7="Ja",B7="JA",B7="ja"),(B6*0.93),B6)</f>
        <v>9</v>
      </c>
      <c r="F8" t="s">
        <v>271</v>
      </c>
      <c r="N8" s="96" t="s">
        <v>252</v>
      </c>
      <c r="O8" s="97" t="s">
        <v>562</v>
      </c>
      <c r="P8" s="62" t="s">
        <v>297</v>
      </c>
      <c r="R8" t="str">
        <f t="shared" si="0"/>
        <v>unik</v>
      </c>
      <c r="S8" t="str">
        <f t="shared" si="1"/>
        <v>mkt låg</v>
      </c>
      <c r="T8" t="str">
        <f t="shared" si="2"/>
        <v>fenomenal</v>
      </c>
      <c r="U8" t="str">
        <f t="shared" si="3"/>
        <v>låg</v>
      </c>
      <c r="V8" t="s">
        <v>252</v>
      </c>
      <c r="Y8" t="s">
        <v>252</v>
      </c>
      <c r="Z8" s="1">
        <f>VLOOKUP(R8,Parser!$N$5:'Parser'!$O$24,2,FALSE)+VLOOKUP(TRIM(S8),Parser!$R$14:'Parser'!$S$17,2,FALSE)</f>
        <v>9</v>
      </c>
      <c r="AA8" s="1">
        <f>VLOOKUP(T8,Parser!$N$5:'Parser'!$O$24,2,FALSE)+VLOOKUP(TRIM(U8),Parser!$R$14:'Parser'!$S$17,2,FALSE)</f>
        <v>8.25</v>
      </c>
      <c r="AB8" t="s">
        <v>252</v>
      </c>
      <c r="AC8" s="1">
        <f t="shared" ref="AC8:AC13" si="4">IF($Q$3="Numbers",W8,Z8)</f>
        <v>0</v>
      </c>
      <c r="AD8" s="1">
        <f t="shared" ref="AD8:AD13" si="5">IF($Q$3="Numbers",X8,AA8)</f>
        <v>0</v>
      </c>
    </row>
    <row r="9" spans="1:30">
      <c r="A9" s="4" t="str">
        <f>IF(O6=B2,CONCATENATE("Midfield ",P6),CONCATENATE("Midfield ",O6))</f>
        <v>Midfield Ungern</v>
      </c>
      <c r="B9" s="25">
        <v>15</v>
      </c>
      <c r="F9" t="s">
        <v>139</v>
      </c>
      <c r="N9" s="96" t="s">
        <v>254</v>
      </c>
      <c r="O9" s="97" t="s">
        <v>563</v>
      </c>
      <c r="P9" s="62" t="s">
        <v>564</v>
      </c>
      <c r="R9" t="str">
        <f t="shared" si="0"/>
        <v>fenomenal</v>
      </c>
      <c r="S9" t="str">
        <f t="shared" si="1"/>
        <v>mkt låg</v>
      </c>
      <c r="T9" t="str">
        <f t="shared" si="2"/>
        <v>legendarisk</v>
      </c>
      <c r="U9" t="str">
        <f t="shared" si="3"/>
        <v>låg</v>
      </c>
      <c r="V9" t="s">
        <v>254</v>
      </c>
      <c r="Y9" t="s">
        <v>254</v>
      </c>
      <c r="Z9" s="1">
        <f>VLOOKUP(R9,Parser!$N$5:'Parser'!$O$24,2,FALSE)+VLOOKUP(TRIM(S9),Parser!$R$14:'Parser'!$S$17,2,FALSE)</f>
        <v>8</v>
      </c>
      <c r="AA9" s="1">
        <f>VLOOKUP(T9,Parser!$N$5:'Parser'!$O$24,2,FALSE)+VLOOKUP(TRIM(U9),Parser!$R$14:'Parser'!$S$17,2,FALSE)</f>
        <v>10.25</v>
      </c>
      <c r="AB9" t="s">
        <v>254</v>
      </c>
      <c r="AC9" s="1">
        <f t="shared" si="4"/>
        <v>0</v>
      </c>
      <c r="AD9" s="1">
        <f t="shared" si="5"/>
        <v>0</v>
      </c>
    </row>
    <row r="10" spans="1:30">
      <c r="A10" s="6" t="s">
        <v>54</v>
      </c>
      <c r="B10" s="2">
        <f>B8/(B8+B9)</f>
        <v>0.375</v>
      </c>
      <c r="F10" t="s">
        <v>142</v>
      </c>
      <c r="N10" s="96" t="s">
        <v>257</v>
      </c>
      <c r="O10" s="97" t="s">
        <v>563</v>
      </c>
      <c r="P10" s="62" t="s">
        <v>263</v>
      </c>
      <c r="R10" t="str">
        <f t="shared" si="0"/>
        <v>fenomenal</v>
      </c>
      <c r="S10" t="str">
        <f t="shared" si="1"/>
        <v>mkt låg</v>
      </c>
      <c r="T10" t="str">
        <f t="shared" si="2"/>
        <v>ypperlig</v>
      </c>
      <c r="U10" t="str">
        <f t="shared" si="3"/>
        <v>låg</v>
      </c>
      <c r="V10" t="s">
        <v>257</v>
      </c>
      <c r="Y10" t="s">
        <v>257</v>
      </c>
      <c r="Z10" s="1">
        <f>VLOOKUP(R10,Parser!$N$5:'Parser'!$O$24,2,FALSE)+VLOOKUP(TRIM(S10),Parser!$R$14:'Parser'!$S$17,2,FALSE)</f>
        <v>8</v>
      </c>
      <c r="AA10" s="1">
        <f>VLOOKUP(T10,Parser!$N$5:'Parser'!$O$24,2,FALSE)+VLOOKUP(TRIM(U10),Parser!$R$14:'Parser'!$S$17,2,FALSE)</f>
        <v>6.25</v>
      </c>
      <c r="AB10" t="s">
        <v>257</v>
      </c>
      <c r="AC10" s="1">
        <f t="shared" si="4"/>
        <v>0</v>
      </c>
      <c r="AD10" s="1">
        <f t="shared" si="5"/>
        <v>0</v>
      </c>
    </row>
    <row r="11" spans="1:30">
      <c r="A11" s="6" t="s">
        <v>55</v>
      </c>
      <c r="B11" s="41">
        <f>5+3.95*ATAN((100*B10-50)/15)</f>
        <v>2.255783809023022</v>
      </c>
      <c r="F11" t="s">
        <v>43</v>
      </c>
      <c r="N11" s="96" t="s">
        <v>260</v>
      </c>
      <c r="O11" s="97" t="s">
        <v>563</v>
      </c>
      <c r="P11" s="62" t="s">
        <v>565</v>
      </c>
      <c r="R11" t="str">
        <f t="shared" si="0"/>
        <v>fenomenal</v>
      </c>
      <c r="S11" t="str">
        <f t="shared" si="1"/>
        <v>mkt låg</v>
      </c>
      <c r="T11" t="str">
        <f t="shared" si="2"/>
        <v>hyfsad</v>
      </c>
      <c r="U11" t="str">
        <f t="shared" si="3"/>
        <v>låg</v>
      </c>
      <c r="V11" t="s">
        <v>260</v>
      </c>
      <c r="Y11" t="s">
        <v>260</v>
      </c>
      <c r="Z11" s="1">
        <f>VLOOKUP(R11,Parser!$N$5:'Parser'!$O$24,2,FALSE)+VLOOKUP(TRIM(S11),Parser!$R$14:'Parser'!$S$17,2,FALSE)</f>
        <v>8</v>
      </c>
      <c r="AA11" s="1">
        <f>VLOOKUP(T11,Parser!$N$5:'Parser'!$O$24,2,FALSE)+VLOOKUP(TRIM(U11),Parser!$R$14:'Parser'!$S$17,2,FALSE)</f>
        <v>4.25</v>
      </c>
      <c r="AB11" t="s">
        <v>260</v>
      </c>
      <c r="AC11" s="1">
        <f t="shared" si="4"/>
        <v>0</v>
      </c>
      <c r="AD11" s="1">
        <f t="shared" si="5"/>
        <v>0</v>
      </c>
    </row>
    <row r="12" spans="1:30">
      <c r="A12" s="4"/>
      <c r="N12" s="96" t="s">
        <v>262</v>
      </c>
      <c r="O12" s="97" t="s">
        <v>567</v>
      </c>
      <c r="P12" s="62" t="s">
        <v>566</v>
      </c>
      <c r="R12" t="str">
        <f t="shared" si="0"/>
        <v>katastrofal</v>
      </c>
      <c r="S12" t="str">
        <f t="shared" si="1"/>
        <v>låg</v>
      </c>
      <c r="T12" t="str">
        <f t="shared" si="2"/>
        <v>enastående</v>
      </c>
      <c r="U12" t="str">
        <f t="shared" si="3"/>
        <v>låg</v>
      </c>
      <c r="V12" t="s">
        <v>262</v>
      </c>
      <c r="Y12" t="s">
        <v>262</v>
      </c>
      <c r="Z12" s="1">
        <f>VLOOKUP(R12,Parser!$N$5:'Parser'!$O$24,2,FALSE)+VLOOKUP(TRIM(S12),Parser!$R$14:'Parser'!$S$17,2,FALSE)</f>
        <v>1.25</v>
      </c>
      <c r="AA12" s="1">
        <f>VLOOKUP(T12,Parser!$N$5:'Parser'!$O$24,2,FALSE)+VLOOKUP(TRIM(U12),Parser!$R$14:'Parser'!$S$17,2,FALSE)</f>
        <v>7.25</v>
      </c>
      <c r="AB12" t="s">
        <v>262</v>
      </c>
      <c r="AC12" s="1">
        <f t="shared" si="4"/>
        <v>0</v>
      </c>
      <c r="AD12" s="1">
        <f t="shared" si="5"/>
        <v>0</v>
      </c>
    </row>
    <row r="13" spans="1:30">
      <c r="A13" s="4" t="s">
        <v>49</v>
      </c>
      <c r="B13" s="25">
        <v>4.68</v>
      </c>
      <c r="F13" t="s">
        <v>140</v>
      </c>
      <c r="N13" s="96" t="s">
        <v>265</v>
      </c>
      <c r="O13" s="97" t="s">
        <v>563</v>
      </c>
      <c r="P13" s="62" t="s">
        <v>261</v>
      </c>
      <c r="R13" t="str">
        <f t="shared" si="0"/>
        <v>fenomenal</v>
      </c>
      <c r="S13" t="str">
        <f t="shared" si="1"/>
        <v>mkt låg</v>
      </c>
      <c r="T13" t="str">
        <f t="shared" si="2"/>
        <v>hyfsad</v>
      </c>
      <c r="U13" t="str">
        <f t="shared" si="3"/>
        <v>mkt låg</v>
      </c>
      <c r="V13" t="s">
        <v>265</v>
      </c>
      <c r="Y13" t="s">
        <v>265</v>
      </c>
      <c r="Z13" s="1">
        <f>VLOOKUP(R13,Parser!$N$5:'Parser'!$O$24,2,FALSE)+VLOOKUP(TRIM(S13),Parser!$R$14:'Parser'!$S$17,2,FALSE)</f>
        <v>8</v>
      </c>
      <c r="AA13" s="1">
        <f>VLOOKUP(T13,Parser!$N$5:'Parser'!$O$24,2,FALSE)+VLOOKUP(TRIM(U13),Parser!$R$14:'Parser'!$S$17,2,FALSE)</f>
        <v>4</v>
      </c>
      <c r="AB13" t="s">
        <v>265</v>
      </c>
      <c r="AC13" s="1">
        <f t="shared" si="4"/>
        <v>0</v>
      </c>
      <c r="AD13" s="1">
        <f t="shared" si="5"/>
        <v>0</v>
      </c>
    </row>
    <row r="14" spans="1:30">
      <c r="A14" s="6" t="s">
        <v>45</v>
      </c>
      <c r="B14" s="2">
        <f>(50+(15*TAN(((B13-5)/3.95))))/100</f>
        <v>0.48782144678019618</v>
      </c>
      <c r="F14" t="s">
        <v>44</v>
      </c>
      <c r="N14" t="s">
        <v>266</v>
      </c>
    </row>
    <row r="15" spans="1:30">
      <c r="A15" s="6" t="s">
        <v>48</v>
      </c>
      <c r="B15" s="41">
        <f>(B14*B9)/(1-B14)</f>
        <v>14.286661664575167</v>
      </c>
      <c r="C15" s="1" t="s">
        <v>176</v>
      </c>
      <c r="D15" s="40" t="str">
        <f>VLOOKUP(FLOOR(B15,1), Parser!$T$5:'Parser'!$U$44,2, FALSE)</f>
        <v>himmelsk</v>
      </c>
      <c r="E15" s="40"/>
      <c r="F15" t="s">
        <v>141</v>
      </c>
      <c r="N15" t="s">
        <v>280</v>
      </c>
    </row>
    <row r="16" spans="1:30">
      <c r="A16" s="4"/>
      <c r="B16" s="39"/>
      <c r="D16" s="40" t="str">
        <f>VLOOKUP(FLOOR((FLOOR((B15-FLOOR(B15,1))*4,1)),1),Parser!$Q$9:'Parser'!$R$12,2,FALSE)</f>
        <v>låg</v>
      </c>
      <c r="E16" s="40"/>
      <c r="N16" t="s">
        <v>91</v>
      </c>
      <c r="O16" t="s">
        <v>295</v>
      </c>
      <c r="P16" t="s">
        <v>296</v>
      </c>
    </row>
    <row r="17" spans="1:24">
      <c r="A17" s="4"/>
      <c r="N17" t="s">
        <v>283</v>
      </c>
      <c r="O17" t="s">
        <v>251</v>
      </c>
      <c r="P17" t="s">
        <v>297</v>
      </c>
    </row>
    <row r="18" spans="1:24" ht="52.8">
      <c r="A18" s="12" t="s">
        <v>47</v>
      </c>
      <c r="G18" s="35" t="s">
        <v>144</v>
      </c>
      <c r="N18" t="s">
        <v>266</v>
      </c>
    </row>
    <row r="19" spans="1:24">
      <c r="A19" s="4"/>
      <c r="B19" s="4" t="s">
        <v>15</v>
      </c>
      <c r="C19" s="4" t="s">
        <v>14</v>
      </c>
      <c r="D19" s="4" t="s">
        <v>16</v>
      </c>
      <c r="E19" s="4" t="s">
        <v>57</v>
      </c>
      <c r="F19" s="4" t="s">
        <v>103</v>
      </c>
      <c r="G19" s="5" t="s">
        <v>58</v>
      </c>
      <c r="H19" s="4" t="s">
        <v>15</v>
      </c>
      <c r="I19" s="4" t="s">
        <v>14</v>
      </c>
      <c r="J19" s="4" t="s">
        <v>16</v>
      </c>
      <c r="K19" s="4" t="s">
        <v>57</v>
      </c>
      <c r="L19" s="4" t="s">
        <v>103</v>
      </c>
      <c r="N19" t="s">
        <v>284</v>
      </c>
      <c r="O19" t="s">
        <v>285</v>
      </c>
      <c r="P19" t="s">
        <v>285</v>
      </c>
      <c r="Q19" s="4"/>
    </row>
    <row r="20" spans="1:24">
      <c r="A20" s="4" t="s">
        <v>56</v>
      </c>
      <c r="B20" s="8">
        <f>0.25*$B$11</f>
        <v>0.5639459522557555</v>
      </c>
      <c r="C20" s="8">
        <f>0.35*$B$11</f>
        <v>0.7895243331580577</v>
      </c>
      <c r="D20" s="8">
        <f>0.25*$B$11</f>
        <v>0.5639459522557555</v>
      </c>
      <c r="E20" s="43">
        <f t="shared" ref="E20:E26" si="6">0.15*$B$11</f>
        <v>0.3383675713534533</v>
      </c>
      <c r="F20" s="8">
        <f t="shared" ref="F20:F26" si="7">SUM(B20:E20)</f>
        <v>2.255783809023022</v>
      </c>
      <c r="H20" s="8">
        <f>0.25*$B$13</f>
        <v>1.17</v>
      </c>
      <c r="I20" s="8">
        <f>0.35*$B$13</f>
        <v>1.6379999999999999</v>
      </c>
      <c r="J20" s="8">
        <f>0.25*$B$13</f>
        <v>1.17</v>
      </c>
      <c r="K20" s="43">
        <f t="shared" ref="K20:K26" si="8">0.15*$B$13</f>
        <v>0.70199999999999996</v>
      </c>
      <c r="L20" s="8">
        <f t="shared" ref="L20:L26" si="9">SUM(H20:K20)</f>
        <v>4.68</v>
      </c>
      <c r="N20" t="s">
        <v>287</v>
      </c>
      <c r="O20" t="s">
        <v>298</v>
      </c>
      <c r="P20" t="s">
        <v>286</v>
      </c>
    </row>
    <row r="21" spans="1:24">
      <c r="A21" s="4" t="s">
        <v>8</v>
      </c>
      <c r="B21" s="8">
        <f>(0.25*$B$11)-($B$20*0.2)</f>
        <v>0.4511567618046044</v>
      </c>
      <c r="C21" s="8">
        <f>(0.35*$B$11)+($B$20*0.2)+($D$20*0.2)</f>
        <v>1.0151027140603599</v>
      </c>
      <c r="D21" s="8">
        <f>(0.25*$B$11)-($D$20*0.2)</f>
        <v>0.4511567618046044</v>
      </c>
      <c r="E21" s="8">
        <f t="shared" si="6"/>
        <v>0.3383675713534533</v>
      </c>
      <c r="F21" s="8">
        <f t="shared" si="7"/>
        <v>2.255783809023022</v>
      </c>
      <c r="G21" s="7"/>
      <c r="H21" s="8">
        <f>(0.25*$B$13)-($H$20*0.2)</f>
        <v>0.93599999999999994</v>
      </c>
      <c r="I21" s="8">
        <f>(0.35*$B$13)+($H$20*0.2)+($J$20*0.2)</f>
        <v>2.1059999999999999</v>
      </c>
      <c r="J21" s="8">
        <f>(0.25*$B$13)-($J$20*0.2)</f>
        <v>0.93599999999999994</v>
      </c>
      <c r="K21" s="8">
        <f t="shared" si="8"/>
        <v>0.70199999999999996</v>
      </c>
      <c r="L21" s="8">
        <f t="shared" si="9"/>
        <v>4.68</v>
      </c>
      <c r="N21" t="s">
        <v>289</v>
      </c>
      <c r="O21" t="s">
        <v>78</v>
      </c>
      <c r="P21" t="s">
        <v>290</v>
      </c>
    </row>
    <row r="22" spans="1:24">
      <c r="A22" s="4" t="s">
        <v>10</v>
      </c>
      <c r="B22" s="8">
        <f>(0.25*$B$11)-($B$20*0.3)</f>
        <v>0.39476216657902885</v>
      </c>
      <c r="C22" s="8">
        <f>(0.35*$B$11)+($B$20*0.3)+($D$20*0.3)</f>
        <v>1.127891904511511</v>
      </c>
      <c r="D22" s="8">
        <f>(0.25*$B$11)-($D$20*0.3)</f>
        <v>0.39476216657902885</v>
      </c>
      <c r="E22" s="8">
        <f t="shared" si="6"/>
        <v>0.3383675713534533</v>
      </c>
      <c r="F22" s="8">
        <f t="shared" si="7"/>
        <v>2.255783809023022</v>
      </c>
      <c r="G22" s="7"/>
      <c r="H22" s="8">
        <f>(0.25*$B$13)-($H$20*0.3)</f>
        <v>0.81899999999999995</v>
      </c>
      <c r="I22" s="8">
        <f>(0.35*$B$13)+($H$20*0.3)+($J$20*0.3)</f>
        <v>2.34</v>
      </c>
      <c r="J22" s="8">
        <f>(0.25*$B$13)-($J$20*0.3)</f>
        <v>0.81899999999999995</v>
      </c>
      <c r="K22" s="8">
        <f t="shared" si="8"/>
        <v>0.70199999999999996</v>
      </c>
      <c r="L22" s="8">
        <f t="shared" si="9"/>
        <v>4.68</v>
      </c>
    </row>
    <row r="23" spans="1:24">
      <c r="A23" s="4" t="s">
        <v>9</v>
      </c>
      <c r="B23" s="8">
        <f>(0.25*$B$11)-($B$20*0.4)</f>
        <v>0.3383675713534533</v>
      </c>
      <c r="C23" s="8">
        <f>(0.35*$B$11)+($B$20*0.4)+($D$20*0.4)</f>
        <v>1.2406810949626621</v>
      </c>
      <c r="D23" s="8">
        <f>(0.25*$B$11)-($D$20*0.4)</f>
        <v>0.3383675713534533</v>
      </c>
      <c r="E23" s="8">
        <f t="shared" si="6"/>
        <v>0.3383675713534533</v>
      </c>
      <c r="F23" s="8">
        <f t="shared" si="7"/>
        <v>2.255783809023022</v>
      </c>
      <c r="G23" s="7"/>
      <c r="H23" s="8">
        <f>(0.25*$B$13)-($H$20*0.4)</f>
        <v>0.70199999999999996</v>
      </c>
      <c r="I23" s="8">
        <f>(0.35*$B$13)+($H$20*0.4)+($J$20*0.4)</f>
        <v>2.5739999999999998</v>
      </c>
      <c r="J23" s="8">
        <f>(0.25*$B$13)-($J$20*0.4)</f>
        <v>0.70199999999999996</v>
      </c>
      <c r="K23" s="8">
        <f t="shared" si="8"/>
        <v>0.70199999999999996</v>
      </c>
      <c r="L23" s="8">
        <f t="shared" si="9"/>
        <v>4.68</v>
      </c>
      <c r="N23" s="89" t="s">
        <v>274</v>
      </c>
      <c r="O23" s="90">
        <f>4*(3*(AC7+0.25)+SUM(AC8:AC13)+0.25*6)</f>
        <v>98.28</v>
      </c>
      <c r="P23" s="90">
        <f>4*(3*(AD7+0.25)+SUM(AD8:AD13)+0.25*6)</f>
        <v>90.72</v>
      </c>
    </row>
    <row r="24" spans="1:24">
      <c r="A24" s="4" t="s">
        <v>11</v>
      </c>
      <c r="B24" s="8">
        <f>(0.25*$B$11)+($C$20*0.2/2)</f>
        <v>0.64289838557156131</v>
      </c>
      <c r="C24" s="8">
        <f>(0.35*$B$11)-($C$20*0.2)</f>
        <v>0.63161946652644618</v>
      </c>
      <c r="D24" s="8">
        <f>(0.25*$B$11)+(($C$20*0.2)/2)</f>
        <v>0.64289838557156131</v>
      </c>
      <c r="E24" s="8">
        <f t="shared" si="6"/>
        <v>0.3383675713534533</v>
      </c>
      <c r="F24" s="8">
        <f t="shared" si="7"/>
        <v>2.255783809023022</v>
      </c>
      <c r="G24" s="7"/>
      <c r="H24" s="8">
        <f>(0.25*$B$13)+($I$20*0.2/2)</f>
        <v>1.3337999999999999</v>
      </c>
      <c r="I24" s="8">
        <f>(0.35*$B$13)-($I$20*0.2)</f>
        <v>1.3104</v>
      </c>
      <c r="J24" s="8">
        <f>(0.25*$B$13)+(($I$20*0.2)/2)</f>
        <v>1.3337999999999999</v>
      </c>
      <c r="K24" s="8">
        <f t="shared" si="8"/>
        <v>0.70199999999999996</v>
      </c>
      <c r="L24" s="8">
        <f t="shared" si="9"/>
        <v>4.68</v>
      </c>
    </row>
    <row r="25" spans="1:24">
      <c r="A25" s="4" t="s">
        <v>12</v>
      </c>
      <c r="B25" s="8">
        <f>(0.25*$B$11)+($C$20*0.3/2)</f>
        <v>0.68237460222946411</v>
      </c>
      <c r="C25" s="8">
        <f>(0.35*$B$11)-($C$20*0.3)</f>
        <v>0.55266703321064037</v>
      </c>
      <c r="D25" s="8">
        <f>(0.25*$B$11)+(($C$20*0.3)/2)</f>
        <v>0.68237460222946411</v>
      </c>
      <c r="E25" s="8">
        <f t="shared" si="6"/>
        <v>0.3383675713534533</v>
      </c>
      <c r="F25" s="8">
        <f t="shared" si="7"/>
        <v>2.255783809023022</v>
      </c>
      <c r="G25" s="7"/>
      <c r="H25" s="8">
        <f>(0.25*$B$13)+($I$20*0.3/2)</f>
        <v>1.4157</v>
      </c>
      <c r="I25" s="8">
        <f>(0.35*$B$13)-($I$20*0.3)</f>
        <v>1.1465999999999998</v>
      </c>
      <c r="J25" s="8">
        <f>(0.25*$B$13)+(($I$20*0.3)/2)</f>
        <v>1.4157</v>
      </c>
      <c r="K25" s="8">
        <f t="shared" si="8"/>
        <v>0.70199999999999996</v>
      </c>
      <c r="L25" s="8">
        <f t="shared" si="9"/>
        <v>4.68</v>
      </c>
      <c r="N25" s="4" t="s">
        <v>279</v>
      </c>
      <c r="O25" s="3" t="str">
        <f>O6</f>
        <v>Sverige</v>
      </c>
      <c r="P25" s="3" t="str">
        <f>P6</f>
        <v>Ungern</v>
      </c>
    </row>
    <row r="26" spans="1:24">
      <c r="A26" s="4" t="s">
        <v>13</v>
      </c>
      <c r="B26" s="8">
        <f>(0.25*$B$11)+($C$20*0.4/2)</f>
        <v>0.72185081888736702</v>
      </c>
      <c r="C26" s="8">
        <f>(0.35*$B$11)-($C$20*0.4)</f>
        <v>0.47371459989483461</v>
      </c>
      <c r="D26" s="8">
        <f>(0.25*$B$11)+(($C$20*0.4)/2)</f>
        <v>0.72185081888736702</v>
      </c>
      <c r="E26" s="8">
        <f t="shared" si="6"/>
        <v>0.3383675713534533</v>
      </c>
      <c r="F26" s="8">
        <f t="shared" si="7"/>
        <v>2.255783809023022</v>
      </c>
      <c r="G26" s="7"/>
      <c r="H26" s="8">
        <f>(0.25*$B$13)+($I$20*0.4/2)</f>
        <v>1.4975999999999998</v>
      </c>
      <c r="I26" s="8">
        <f>(0.35*$B$13)-($I$20*0.4)</f>
        <v>0.9827999999999999</v>
      </c>
      <c r="J26" s="8">
        <f>(0.25*$B$13)+(($I$20*0.4)/2)</f>
        <v>1.4975999999999998</v>
      </c>
      <c r="K26" s="8">
        <f t="shared" si="8"/>
        <v>0.70199999999999996</v>
      </c>
      <c r="L26" s="8">
        <f t="shared" si="9"/>
        <v>4.68</v>
      </c>
      <c r="N26" t="s">
        <v>249</v>
      </c>
      <c r="O26" s="8" t="str">
        <f>IF((AC7-AD7)&lt;0,CONCATENATE("",TEXT(AC7-AD7,"0,00")),CONCATENATE("+",TEXT(AC7-AD7,"0,00")))</f>
        <v>+0,63</v>
      </c>
      <c r="P26" s="8" t="str">
        <f>IF((AD7-AC7)&lt;0,CONCATENATE("",TEXT(AD7-AC7,"0,00")),CONCATENATE("+",TEXT(AD7-AC7,"0,00")))</f>
        <v>-0,63</v>
      </c>
      <c r="Q26" t="s">
        <v>276</v>
      </c>
    </row>
    <row r="27" spans="1:24">
      <c r="A27" s="4"/>
      <c r="E27" s="1"/>
      <c r="N27" t="s">
        <v>252</v>
      </c>
      <c r="O27" s="8" t="str">
        <f>IF((AC8-AD13)&lt;0,CONCATENATE("",TEXT(AC8-AD13,"0,00")),CONCATENATE("+",TEXT(AC8-AD13,"0,00")))</f>
        <v>+0,00</v>
      </c>
      <c r="P27" s="8" t="str">
        <f>IF((AD8-AC13)&lt;0,CONCATENATE("",TEXT(AD8-AC13,"0,00")),CONCATENATE("+",TEXT(AD8-AC13,"0,00")))</f>
        <v>+0,00</v>
      </c>
      <c r="Q27" t="s">
        <v>277</v>
      </c>
      <c r="R27" s="1"/>
    </row>
    <row r="28" spans="1:24">
      <c r="A28" s="4"/>
      <c r="B28" s="4" t="s">
        <v>15</v>
      </c>
      <c r="C28" s="4" t="s">
        <v>14</v>
      </c>
      <c r="D28" s="4" t="s">
        <v>16</v>
      </c>
      <c r="E28" s="1"/>
      <c r="N28" t="s">
        <v>254</v>
      </c>
      <c r="O28" s="8" t="str">
        <f>IF((AC9-AD12)&lt;0,CONCATENATE("",TEXT(AC9-AD12,"0,00")),CONCATENATE("+",TEXT(AC9-AD12,"0,00")))</f>
        <v>+0,00</v>
      </c>
      <c r="P28" s="8" t="str">
        <f>IF((AD9-AC12)&lt;0,CONCATENATE("",TEXT(AD9-AC12,"0,00")),CONCATENATE("+",TEXT(AD9-AC12,"0,00")))</f>
        <v>+0,00</v>
      </c>
      <c r="Q28" t="s">
        <v>277</v>
      </c>
      <c r="R28" s="1"/>
    </row>
    <row r="29" spans="1:24">
      <c r="A29" s="4" t="s">
        <v>20</v>
      </c>
      <c r="B29" s="26">
        <f>AC13</f>
        <v>0</v>
      </c>
      <c r="C29" s="26">
        <f>AC12</f>
        <v>0</v>
      </c>
      <c r="D29" s="26">
        <f>AC11</f>
        <v>0</v>
      </c>
      <c r="E29" s="1"/>
      <c r="N29" t="s">
        <v>257</v>
      </c>
      <c r="O29" s="91" t="str">
        <f>IF((AC10-AD11)&lt;0,CONCATENATE("",TEXT(AC10-AD11,"0,00")),CONCATENATE("+",TEXT(AC10-AD11,"0,00")))</f>
        <v>+0,00</v>
      </c>
      <c r="P29" s="91" t="str">
        <f>IF((AD10-AC11)&lt;0,CONCATENATE("",TEXT(AD10-AC11,"0,00")),CONCATENATE("+",TEXT(AD10-AC11,"0,00")))</f>
        <v>+0,00</v>
      </c>
      <c r="Q29" t="s">
        <v>277</v>
      </c>
    </row>
    <row r="30" spans="1:24">
      <c r="A30" s="4" t="s">
        <v>21</v>
      </c>
      <c r="B30" s="26">
        <f>AD8</f>
        <v>0</v>
      </c>
      <c r="C30" s="26">
        <f>AD9</f>
        <v>0</v>
      </c>
      <c r="D30" s="26">
        <f>AD10</f>
        <v>0</v>
      </c>
      <c r="E30" s="1"/>
      <c r="J30" s="3" t="s">
        <v>29</v>
      </c>
      <c r="K30" s="3" t="s">
        <v>30</v>
      </c>
      <c r="L30" s="3" t="s">
        <v>31</v>
      </c>
      <c r="N30" t="s">
        <v>260</v>
      </c>
      <c r="O30" s="91" t="str">
        <f>IF((AC11-AD10)&lt;0,CONCATENATE("",TEXT(AC11-AD10,"0,00")),CONCATENATE("+",TEXT(AC11-AD10,"0,00")))</f>
        <v>+0,00</v>
      </c>
      <c r="P30" s="91" t="str">
        <f>IF((AD11-AC10)&lt;0,CONCATENATE("",TEXT(AD11-AC10,"0,00")),CONCATENATE("+",TEXT(AD11-AC10,"0,00")))</f>
        <v>+0,00</v>
      </c>
      <c r="Q30" s="6" t="s">
        <v>278</v>
      </c>
    </row>
    <row r="31" spans="1:24">
      <c r="A31" s="4" t="s">
        <v>3</v>
      </c>
      <c r="B31" s="30" t="e">
        <f>1/(1+(POWER(B30, $J$31)/POWER(B29, $K$31)))</f>
        <v>#DIV/0!</v>
      </c>
      <c r="C31" s="30" t="e">
        <f>1/(1+(POWER(C30, $J$31)/POWER(C29, $K$31)))</f>
        <v>#DIV/0!</v>
      </c>
      <c r="D31" s="30" t="e">
        <f>1/(1+(POWER(D30, $J$31)/POWER(D29, $K$31)))</f>
        <v>#DIV/0!</v>
      </c>
      <c r="E31" s="1"/>
      <c r="F31" t="s">
        <v>24</v>
      </c>
      <c r="H31" t="s">
        <v>25</v>
      </c>
      <c r="J31" s="1">
        <v>3.5</v>
      </c>
      <c r="K31" s="1">
        <v>3.5</v>
      </c>
      <c r="L31" s="1" t="s">
        <v>32</v>
      </c>
      <c r="N31" t="s">
        <v>262</v>
      </c>
      <c r="O31" s="8" t="str">
        <f>IF((AC12-AD9)&lt;0,CONCATENATE("",TEXT(AC12-AD9,"0,00")),CONCATENATE("+",TEXT(AC12-AD9,"0,00")))</f>
        <v>+0,00</v>
      </c>
      <c r="P31" s="8" t="str">
        <f>IF((AD12-AC9)&lt;0,CONCATENATE("",TEXT(AD12-AC9,"0,00")),CONCATENATE("+",TEXT(AD12-AC9,"0,00")))</f>
        <v>+0,00</v>
      </c>
      <c r="Q31" s="6" t="s">
        <v>278</v>
      </c>
    </row>
    <row r="32" spans="1:24" s="6" customFormat="1">
      <c r="A32" s="4" t="s">
        <v>4</v>
      </c>
      <c r="B32" s="31" t="e">
        <f>1/(1+POWER((B30/B29),$J$32))</f>
        <v>#DIV/0!</v>
      </c>
      <c r="C32" s="31" t="e">
        <f>1/(1+POWER((C30/C29),$J$32))</f>
        <v>#DIV/0!</v>
      </c>
      <c r="D32" s="31" t="e">
        <f>1/(1+POWER((D30/D29),$J$32))</f>
        <v>#DIV/0!</v>
      </c>
      <c r="E32" s="18"/>
      <c r="F32" s="6" t="s">
        <v>26</v>
      </c>
      <c r="H32" s="6" t="s">
        <v>27</v>
      </c>
      <c r="J32" s="18">
        <v>3.5</v>
      </c>
      <c r="K32" s="18" t="s">
        <v>32</v>
      </c>
      <c r="L32" s="18" t="s">
        <v>32</v>
      </c>
      <c r="N32" t="s">
        <v>265</v>
      </c>
      <c r="O32" s="8" t="str">
        <f>IF((AC13-AD8)&lt;0,CONCATENATE("",TEXT(AC13-AD8,"0,00")),CONCATENATE("+",TEXT(AC13-AD8,"0,00")))</f>
        <v>+0,00</v>
      </c>
      <c r="P32" s="8" t="str">
        <f>IF((AD13-AC8)&lt;0,CONCATENATE("",TEXT(AD13-AC8,"0,00")),CONCATENATE("+",TEXT(AD13-AC8,"0,00")))</f>
        <v>+0,00</v>
      </c>
      <c r="Q32" s="6" t="s">
        <v>278</v>
      </c>
      <c r="W32" s="18"/>
      <c r="X32" s="18"/>
    </row>
    <row r="33" spans="1:24" s="6" customFormat="1">
      <c r="A33" s="4" t="s">
        <v>5</v>
      </c>
      <c r="B33" s="31" t="e">
        <f>1/(1+(($L$33*POWER(B30, $J$31))/POWER(B29, $K$31)))</f>
        <v>#DIV/0!</v>
      </c>
      <c r="C33" s="31" t="e">
        <f>1/(1+(($L$33*POWER(C30, $J$31))/POWER(C29, $K$31)))</f>
        <v>#DIV/0!</v>
      </c>
      <c r="D33" s="31" t="e">
        <f>1/(1+(($L$33*POWER(D30, $J$31))/POWER(D29, $K$31)))</f>
        <v>#DIV/0!</v>
      </c>
      <c r="E33" s="18"/>
      <c r="F33" s="6" t="s">
        <v>28</v>
      </c>
      <c r="J33" s="18">
        <v>3.5</v>
      </c>
      <c r="K33" s="18">
        <v>3.5</v>
      </c>
      <c r="L33" s="18">
        <v>1</v>
      </c>
      <c r="O33" s="92"/>
      <c r="P33" s="92"/>
      <c r="W33" s="18"/>
      <c r="X33" s="18"/>
    </row>
    <row r="34" spans="1:24">
      <c r="A34" s="4"/>
      <c r="E34" s="1"/>
      <c r="N34" s="6" t="s">
        <v>291</v>
      </c>
      <c r="O34" s="94">
        <f>AC7/(AC7+AD7)</f>
        <v>0.52210526315789474</v>
      </c>
      <c r="P34" s="94">
        <f>AD7/(AD7+AC7)</f>
        <v>0.47789473684210526</v>
      </c>
    </row>
    <row r="35" spans="1:24">
      <c r="A35" s="4"/>
      <c r="B35" s="4" t="s">
        <v>15</v>
      </c>
      <c r="C35" s="4" t="s">
        <v>14</v>
      </c>
      <c r="D35" s="4" t="s">
        <v>16</v>
      </c>
      <c r="E35" s="1"/>
      <c r="N35" s="6" t="s">
        <v>55</v>
      </c>
      <c r="O35" s="38">
        <f>5+3.95*ATAN((100*O34-50)/15)</f>
        <v>5.5779453876198692</v>
      </c>
      <c r="P35" s="38">
        <f>5+3.95*ATAN((100*P34-50)/15)</f>
        <v>4.4220546123801308</v>
      </c>
    </row>
    <row r="36" spans="1:24">
      <c r="A36" s="4" t="s">
        <v>23</v>
      </c>
      <c r="B36" s="26">
        <f>AD13</f>
        <v>0</v>
      </c>
      <c r="C36" s="26">
        <f>AD12</f>
        <v>0</v>
      </c>
      <c r="D36" s="26">
        <f>AD11</f>
        <v>0</v>
      </c>
      <c r="E36" s="1"/>
      <c r="O36" s="7"/>
      <c r="P36" s="7"/>
    </row>
    <row r="37" spans="1:24">
      <c r="A37" s="4" t="s">
        <v>22</v>
      </c>
      <c r="B37" s="26">
        <f>AC8</f>
        <v>0</v>
      </c>
      <c r="C37" s="26">
        <f>AC9</f>
        <v>0</v>
      </c>
      <c r="D37" s="26">
        <f>AC10</f>
        <v>0</v>
      </c>
      <c r="E37" s="1"/>
      <c r="J37" s="3" t="s">
        <v>29</v>
      </c>
      <c r="K37" s="3" t="s">
        <v>30</v>
      </c>
      <c r="L37" s="3" t="s">
        <v>31</v>
      </c>
      <c r="O37" s="7"/>
      <c r="P37" s="7"/>
    </row>
    <row r="38" spans="1:24">
      <c r="A38" s="4" t="s">
        <v>3</v>
      </c>
      <c r="B38" s="30" t="e">
        <f>1/(1+(POWER(B37, $J$31)/POWER(B36, $K$31)))</f>
        <v>#DIV/0!</v>
      </c>
      <c r="C38" s="30" t="e">
        <f>1/(1+(POWER(C37, $J$31)/POWER(C36, $K$31)))</f>
        <v>#DIV/0!</v>
      </c>
      <c r="D38" s="30" t="e">
        <f>1/(1+(POWER(D37, $J$31)/POWER(D36, $K$31)))</f>
        <v>#DIV/0!</v>
      </c>
      <c r="E38" s="1"/>
      <c r="F38" t="s">
        <v>24</v>
      </c>
      <c r="H38" t="s">
        <v>25</v>
      </c>
      <c r="J38" s="1">
        <v>3.5</v>
      </c>
      <c r="K38" s="1">
        <v>3.5</v>
      </c>
      <c r="L38" s="1" t="s">
        <v>32</v>
      </c>
      <c r="O38" s="7"/>
      <c r="P38" s="7"/>
    </row>
    <row r="39" spans="1:24">
      <c r="A39" s="4" t="s">
        <v>4</v>
      </c>
      <c r="B39" s="30" t="e">
        <f>1/(1+POWER((B37/B36),$J$32))</f>
        <v>#DIV/0!</v>
      </c>
      <c r="C39" s="30" t="e">
        <f>1/(1+POWER((C37/C36),$J$32))</f>
        <v>#DIV/0!</v>
      </c>
      <c r="D39" s="30" t="e">
        <f>1/(1+POWER((D37/D36),$J$32))</f>
        <v>#DIV/0!</v>
      </c>
      <c r="E39" s="1"/>
      <c r="F39" t="s">
        <v>26</v>
      </c>
      <c r="H39" t="s">
        <v>27</v>
      </c>
      <c r="J39" s="1">
        <v>3.5</v>
      </c>
      <c r="K39" s="1" t="s">
        <v>32</v>
      </c>
      <c r="L39" s="1" t="s">
        <v>32</v>
      </c>
      <c r="O39" s="7"/>
      <c r="P39" s="7"/>
    </row>
    <row r="40" spans="1:24">
      <c r="A40" s="4" t="s">
        <v>5</v>
      </c>
      <c r="B40" s="30" t="e">
        <f>1/(1+($L$33*POWER(B37, $J$31)/POWER(B36, $K$31)))</f>
        <v>#DIV/0!</v>
      </c>
      <c r="C40" s="30" t="e">
        <f>1/(1+($L$33*POWER(C37, $J$31)/POWER(C36, $K$31)))</f>
        <v>#DIV/0!</v>
      </c>
      <c r="D40" s="30" t="e">
        <f>1/(1+($L$33*POWER(D37, $J$31)/POWER(D36, $K$31)))</f>
        <v>#DIV/0!</v>
      </c>
      <c r="E40" s="1"/>
      <c r="F40" t="s">
        <v>28</v>
      </c>
      <c r="J40" s="1">
        <v>3.5</v>
      </c>
      <c r="K40" s="1">
        <v>3.5</v>
      </c>
      <c r="L40" s="1">
        <v>1</v>
      </c>
      <c r="O40" s="7"/>
      <c r="P40" s="7"/>
    </row>
    <row r="41" spans="1:24" s="20" customFormat="1" ht="13.8" thickBot="1">
      <c r="B41" s="21"/>
      <c r="C41" s="21"/>
      <c r="D41" s="21"/>
      <c r="E41" s="21"/>
      <c r="O41" s="93"/>
      <c r="P41" s="93"/>
      <c r="W41" s="21"/>
      <c r="X41" s="21"/>
    </row>
    <row r="42" spans="1:24" s="22" customFormat="1">
      <c r="B42" s="23"/>
      <c r="C42" s="23"/>
      <c r="D42" s="23"/>
      <c r="E42" s="23"/>
      <c r="W42" s="23"/>
      <c r="X42" s="23"/>
    </row>
    <row r="43" spans="1:24" s="22" customFormat="1">
      <c r="A43" s="36" t="s">
        <v>145</v>
      </c>
      <c r="B43" s="37"/>
      <c r="C43" s="37"/>
      <c r="D43" s="37"/>
      <c r="E43" s="37"/>
      <c r="F43" s="36"/>
      <c r="G43" s="36" t="s">
        <v>146</v>
      </c>
      <c r="W43" s="23"/>
      <c r="X43" s="23"/>
    </row>
    <row r="44" spans="1:24" s="22" customFormat="1">
      <c r="A44" s="36"/>
      <c r="B44" s="37"/>
      <c r="C44" s="37"/>
      <c r="D44" s="37"/>
      <c r="E44" s="37"/>
      <c r="F44" s="36"/>
      <c r="G44" s="36"/>
      <c r="W44" s="23"/>
      <c r="X44" s="23"/>
    </row>
    <row r="45" spans="1:24">
      <c r="B45" s="4" t="s">
        <v>15</v>
      </c>
      <c r="C45" s="4" t="s">
        <v>14</v>
      </c>
      <c r="D45" s="4" t="s">
        <v>16</v>
      </c>
      <c r="E45" s="4" t="s">
        <v>57</v>
      </c>
      <c r="F45" s="4" t="s">
        <v>103</v>
      </c>
      <c r="H45" s="4" t="s">
        <v>15</v>
      </c>
      <c r="I45" s="4" t="s">
        <v>14</v>
      </c>
      <c r="J45" s="4" t="s">
        <v>16</v>
      </c>
      <c r="K45" s="4" t="s">
        <v>57</v>
      </c>
      <c r="L45" s="3" t="s">
        <v>103</v>
      </c>
    </row>
    <row r="46" spans="1:24">
      <c r="A46" s="4" t="s">
        <v>105</v>
      </c>
      <c r="B46" s="8">
        <f>0.26*(10-$B$11)</f>
        <v>2.0134962096540145</v>
      </c>
      <c r="C46" s="8">
        <f>0.38*(10-$B$11)</f>
        <v>2.9428021525712516</v>
      </c>
      <c r="D46" s="8">
        <f>0.26*(10-$B$11)</f>
        <v>2.0134962096540145</v>
      </c>
      <c r="E46" s="43">
        <f>0.1*(10-$B$11)</f>
        <v>0.7744216190976978</v>
      </c>
      <c r="F46" s="8">
        <f>SUM(B46:E46)</f>
        <v>7.744216190976978</v>
      </c>
      <c r="H46" s="8">
        <f>0.26*(10-$B$13)</f>
        <v>1.3832000000000002</v>
      </c>
      <c r="I46" s="8">
        <f>0.38*(10-$B$13)</f>
        <v>2.0216000000000003</v>
      </c>
      <c r="J46" s="8">
        <f>0.26*(10-$B$13)</f>
        <v>1.3832000000000002</v>
      </c>
      <c r="K46" s="43">
        <f>0.1*(10-$B$13)</f>
        <v>0.53200000000000003</v>
      </c>
      <c r="L46" s="8">
        <f>SUM(H46:K46)</f>
        <v>5.3200000000000012</v>
      </c>
    </row>
    <row r="47" spans="1:24">
      <c r="A47" s="4" t="s">
        <v>106</v>
      </c>
      <c r="B47" s="8" t="e">
        <f>B46*B38</f>
        <v>#DIV/0!</v>
      </c>
      <c r="C47" s="8" t="e">
        <f>C46*C38</f>
        <v>#DIV/0!</v>
      </c>
      <c r="D47" s="8" t="e">
        <f>D46*D38</f>
        <v>#DIV/0!</v>
      </c>
      <c r="E47" s="38"/>
      <c r="F47" s="34" t="e">
        <f>SUM(B47:D47)</f>
        <v>#DIV/0!</v>
      </c>
      <c r="H47" s="8" t="e">
        <f>H46*B38</f>
        <v>#DIV/0!</v>
      </c>
      <c r="I47" s="8" t="e">
        <f>I46*C38</f>
        <v>#DIV/0!</v>
      </c>
      <c r="J47" s="8" t="e">
        <f>J46*D38</f>
        <v>#DIV/0!</v>
      </c>
      <c r="K47" s="8"/>
      <c r="L47" s="34" t="e">
        <f>SUM(H47:J47)</f>
        <v>#DIV/0!</v>
      </c>
      <c r="N47" s="17" t="s">
        <v>148</v>
      </c>
    </row>
    <row r="48" spans="1:24">
      <c r="A48" s="4" t="s">
        <v>6</v>
      </c>
      <c r="B48" s="8" t="e">
        <f>B38*((0.26*(10-$B$11))-((0.26*(10-$B$11))*0.3))</f>
        <v>#DIV/0!</v>
      </c>
      <c r="C48" s="8" t="e">
        <f>C38*((0.38*(10-$B$11))+((0.38*(10-$B$11))*0.3))</f>
        <v>#DIV/0!</v>
      </c>
      <c r="D48" s="8" t="e">
        <f>D38*((0.26*(10-$B$11))-((0.26*(10-$B$11))*0.3))</f>
        <v>#DIV/0!</v>
      </c>
      <c r="E48" s="38"/>
      <c r="F48" s="34" t="e">
        <f>SUM(B48:D48)</f>
        <v>#DIV/0!</v>
      </c>
      <c r="H48" s="8" t="e">
        <f>B38*((0.26*(10-$B$13))-((0.26*(10-$B$13))*0.3))</f>
        <v>#DIV/0!</v>
      </c>
      <c r="I48" s="8" t="e">
        <f>C38*((0.38*(10-$B$13))+((0.38*(10-$B$13))*0.3))</f>
        <v>#DIV/0!</v>
      </c>
      <c r="J48" s="8" t="e">
        <f>D38*((0.26*(10-$B$13))-((0.26*(10-$B$13))*0.3))</f>
        <v>#DIV/0!</v>
      </c>
      <c r="K48" s="8"/>
      <c r="L48" s="34" t="e">
        <f>SUM(H48:J48)</f>
        <v>#DIV/0!</v>
      </c>
      <c r="N48" s="17" t="s">
        <v>177</v>
      </c>
    </row>
    <row r="49" spans="1:14">
      <c r="A49" s="4" t="s">
        <v>7</v>
      </c>
      <c r="B49" s="8" t="e">
        <f>B38*((0.26*(10-$B$11))+((0.26*(10-$B$11))*0.3))</f>
        <v>#DIV/0!</v>
      </c>
      <c r="C49" s="8" t="e">
        <f>C38*((0.38*(10-$B$11))-((0.38*(10-$B$11))*0.3))</f>
        <v>#DIV/0!</v>
      </c>
      <c r="D49" s="8" t="e">
        <f>D38*((0.26*(10-$B$11))+((0.26*(10-$B$11))*0.3))</f>
        <v>#DIV/0!</v>
      </c>
      <c r="E49" s="38"/>
      <c r="F49" s="34" t="e">
        <f>SUM(B49:D49)</f>
        <v>#DIV/0!</v>
      </c>
      <c r="H49" s="8" t="e">
        <f>B39*((0.26*(10-$B$13))+((0.26*(10-$B$13))*0.3))</f>
        <v>#DIV/0!</v>
      </c>
      <c r="I49" s="8" t="e">
        <f>C39*((0.38*(10-$B$13))-((0.38*(10-$B$13))*0.3))</f>
        <v>#DIV/0!</v>
      </c>
      <c r="J49" s="8" t="e">
        <f>D39*((0.26*(10-$B$13)+((0.26*(10-$B$13))*0.3)))</f>
        <v>#DIV/0!</v>
      </c>
      <c r="K49" s="8"/>
      <c r="L49" s="34" t="e">
        <f>SUM(H49:J49)</f>
        <v>#DIV/0!</v>
      </c>
      <c r="N49" s="17" t="s">
        <v>178</v>
      </c>
    </row>
    <row r="50" spans="1:14">
      <c r="H50" s="8"/>
      <c r="I50" s="8"/>
      <c r="J50" s="8"/>
      <c r="K50" s="19"/>
      <c r="L50" s="8"/>
      <c r="N50" s="17"/>
    </row>
    <row r="51" spans="1:14">
      <c r="A51" s="4" t="s">
        <v>107</v>
      </c>
      <c r="B51" s="8" t="e">
        <f>B20*B31</f>
        <v>#DIV/0!</v>
      </c>
      <c r="C51" s="8" t="e">
        <f>C20*C31</f>
        <v>#DIV/0!</v>
      </c>
      <c r="D51" s="8" t="e">
        <f>D20*D31</f>
        <v>#DIV/0!</v>
      </c>
      <c r="E51" s="38"/>
      <c r="F51" s="34" t="e">
        <f>SUM(B51:D51)</f>
        <v>#DIV/0!</v>
      </c>
      <c r="G51" s="4" t="s">
        <v>104</v>
      </c>
      <c r="H51" s="8" t="e">
        <f>H20*B31</f>
        <v>#DIV/0!</v>
      </c>
      <c r="I51" s="8" t="e">
        <f>I20*C31</f>
        <v>#DIV/0!</v>
      </c>
      <c r="J51" s="8" t="e">
        <f>J20*D31</f>
        <v>#DIV/0!</v>
      </c>
      <c r="K51" s="8"/>
      <c r="L51" s="34" t="e">
        <f>SUM(H51:J51)</f>
        <v>#DIV/0!</v>
      </c>
      <c r="N51" s="17" t="s">
        <v>147</v>
      </c>
    </row>
    <row r="52" spans="1:14">
      <c r="A52" s="4" t="s">
        <v>6</v>
      </c>
      <c r="B52" s="8" t="e">
        <f>B22*B31</f>
        <v>#DIV/0!</v>
      </c>
      <c r="C52" s="8" t="e">
        <f>C22*C31</f>
        <v>#DIV/0!</v>
      </c>
      <c r="D52" s="8" t="e">
        <f>D22*D31</f>
        <v>#DIV/0!</v>
      </c>
      <c r="E52" s="38"/>
      <c r="F52" s="34" t="e">
        <f>SUM(B52:D52)</f>
        <v>#DIV/0!</v>
      </c>
      <c r="G52" s="4" t="s">
        <v>6</v>
      </c>
      <c r="H52" s="8" t="e">
        <f>H22*B31</f>
        <v>#DIV/0!</v>
      </c>
      <c r="I52" s="8" t="e">
        <f>I22*C31</f>
        <v>#DIV/0!</v>
      </c>
      <c r="J52" s="8" t="e">
        <f>J22*D31</f>
        <v>#DIV/0!</v>
      </c>
      <c r="K52" s="8"/>
      <c r="L52" s="34" t="e">
        <f>SUM(H52:J52)</f>
        <v>#DIV/0!</v>
      </c>
      <c r="N52" s="17" t="s">
        <v>149</v>
      </c>
    </row>
    <row r="53" spans="1:14">
      <c r="A53" s="4" t="s">
        <v>7</v>
      </c>
      <c r="B53" s="8" t="e">
        <f>B25*B31</f>
        <v>#DIV/0!</v>
      </c>
      <c r="C53" s="8" t="e">
        <f>C25*C31</f>
        <v>#DIV/0!</v>
      </c>
      <c r="D53" s="8" t="e">
        <f>D25*D31</f>
        <v>#DIV/0!</v>
      </c>
      <c r="E53" s="38"/>
      <c r="F53" s="34" t="e">
        <f>SUM(B53:D53)</f>
        <v>#DIV/0!</v>
      </c>
      <c r="G53" s="4" t="s">
        <v>7</v>
      </c>
      <c r="H53" s="8" t="e">
        <f>H25*B31</f>
        <v>#DIV/0!</v>
      </c>
      <c r="I53" s="8" t="e">
        <f>I25*C31</f>
        <v>#DIV/0!</v>
      </c>
      <c r="J53" s="8" t="e">
        <f>J25*D31</f>
        <v>#DIV/0!</v>
      </c>
      <c r="K53" s="8"/>
      <c r="L53" s="34" t="e">
        <f>SUM(H53:J53)</f>
        <v>#DIV/0!</v>
      </c>
      <c r="N53" s="17" t="s">
        <v>150</v>
      </c>
    </row>
    <row r="54" spans="1:14">
      <c r="H54" s="8"/>
      <c r="I54" s="8"/>
      <c r="J54" s="8"/>
      <c r="K54" s="8"/>
      <c r="L54" s="8"/>
    </row>
    <row r="55" spans="1:14">
      <c r="B55" s="8"/>
      <c r="F55" s="8"/>
      <c r="H55" s="1"/>
      <c r="I55" s="1"/>
      <c r="J55" s="1"/>
      <c r="K55" s="1"/>
      <c r="L55" s="1"/>
    </row>
    <row r="59" spans="1:14">
      <c r="B59" s="8"/>
    </row>
  </sheetData>
  <phoneticPr fontId="7" type="noConversion"/>
  <dataValidations count="2">
    <dataValidation type="list" allowBlank="1" showInputMessage="1" showErrorMessage="1" sqref="O7:P13">
      <formula1>Förmågenivå</formula1>
    </dataValidation>
    <dataValidation type="list" allowBlank="1" showInputMessage="1" showErrorMessage="1" sqref="Q3">
      <formula1>Input</formula1>
    </dataValidation>
  </dataValidations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2</vt:i4>
      </vt:variant>
    </vt:vector>
  </HeadingPairs>
  <TitlesOfParts>
    <vt:vector size="29" baseType="lpstr">
      <vt:lpstr>Description</vt:lpstr>
      <vt:lpstr>PlayerData</vt:lpstr>
      <vt:lpstr>TeamData</vt:lpstr>
      <vt:lpstr>Summary</vt:lpstr>
      <vt:lpstr>RawData</vt:lpstr>
      <vt:lpstr>TS Analysis</vt:lpstr>
      <vt:lpstr>Match predictor</vt:lpstr>
      <vt:lpstr>Team tool (GBK)</vt:lpstr>
      <vt:lpstr>Team tool (SWE)</vt:lpstr>
      <vt:lpstr>Ability analyser</vt:lpstr>
      <vt:lpstr>Coach</vt:lpstr>
      <vt:lpstr>Confidence</vt:lpstr>
      <vt:lpstr>Player tool 2</vt:lpstr>
      <vt:lpstr>Player Tools</vt:lpstr>
      <vt:lpstr>Övriga vertyg</vt:lpstr>
      <vt:lpstr>Parser</vt:lpstr>
      <vt:lpstr>Tables</vt:lpstr>
      <vt:lpstr>LL Player tool</vt:lpstr>
      <vt:lpstr>CA</vt:lpstr>
      <vt:lpstr>Player tool 2.0</vt:lpstr>
      <vt:lpstr>Salary</vt:lpstr>
      <vt:lpstr>Economy</vt:lpstr>
      <vt:lpstr>Stamina performance</vt:lpstr>
      <vt:lpstr>Stamina training</vt:lpstr>
      <vt:lpstr>Form vs Stamina</vt:lpstr>
      <vt:lpstr>Experience vs Form</vt:lpstr>
      <vt:lpstr> Experience vs Stamina</vt:lpstr>
      <vt:lpstr>Förmågenivå</vt:lpstr>
      <vt:lpstr>Input</vt:lpstr>
    </vt:vector>
  </TitlesOfParts>
  <Company>Alps Nordic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 Skoglund</dc:creator>
  <cp:lastModifiedBy>JohanS</cp:lastModifiedBy>
  <dcterms:created xsi:type="dcterms:W3CDTF">2007-03-06T10:45:17Z</dcterms:created>
  <dcterms:modified xsi:type="dcterms:W3CDTF">2012-03-15T00:24:31Z</dcterms:modified>
</cp:coreProperties>
</file>