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3948" yWindow="-168" windowWidth="9708" windowHeight="9120" firstSheet="27" activeTab="31"/>
  </bookViews>
  <sheets>
    <sheet name="Description" sheetId="7" r:id="rId1"/>
    <sheet name="PlayerData" sheetId="1" r:id="rId2"/>
    <sheet name="TeamData" sheetId="2" r:id="rId3"/>
    <sheet name="Summary" sheetId="6" r:id="rId4"/>
    <sheet name="RawData" sheetId="5" r:id="rId5"/>
    <sheet name="TS Analysis" sheetId="19" r:id="rId6"/>
    <sheet name="Match predictor" sheetId="4" r:id="rId7"/>
    <sheet name="Team tool (GBK)" sheetId="14" r:id="rId8"/>
    <sheet name="Team tool (SWE)" sheetId="16" r:id="rId9"/>
    <sheet name="Ability analyser" sheetId="17" r:id="rId10"/>
    <sheet name="Coach" sheetId="22" r:id="rId11"/>
    <sheet name="Confidence" sheetId="23" r:id="rId12"/>
    <sheet name="Player tool 2" sheetId="21" r:id="rId13"/>
    <sheet name="Player Tools" sheetId="9" r:id="rId14"/>
    <sheet name="Övriga vertyg" sheetId="10" r:id="rId15"/>
    <sheet name="Parser" sheetId="8" r:id="rId16"/>
    <sheet name="Tables" sheetId="20" r:id="rId17"/>
    <sheet name="LL Player tool" sheetId="12" r:id="rId18"/>
    <sheet name="CA" sheetId="13" r:id="rId19"/>
    <sheet name="Player tool 2.0" sheetId="11" r:id="rId20"/>
    <sheet name="Salary" sheetId="18" r:id="rId21"/>
    <sheet name="Economy" sheetId="15" r:id="rId22"/>
    <sheet name="Stamina performance" sheetId="24" r:id="rId23"/>
    <sheet name="Stamina training" sheetId="25" r:id="rId24"/>
    <sheet name="Form vs Stamina" sheetId="26" r:id="rId25"/>
    <sheet name="Experience vs Form" sheetId="27" r:id="rId26"/>
    <sheet name=" Experience vs Stamina (abs)" sheetId="28" r:id="rId27"/>
    <sheet name=" Experience vs Stamina (rel)" sheetId="29" r:id="rId28"/>
    <sheet name="Sheet1" sheetId="30" r:id="rId29"/>
    <sheet name="Chance conversion" sheetId="31" r:id="rId30"/>
    <sheet name="Chance conversion new" sheetId="32" r:id="rId31"/>
    <sheet name="CC tables" sheetId="33" r:id="rId32"/>
  </sheets>
  <definedNames>
    <definedName name="_xlnm._FilterDatabase" localSheetId="16" hidden="1">Tables!$V$1:$V$122</definedName>
    <definedName name="Förmågenivå">Tables!$V$2:$V$122</definedName>
    <definedName name="Input">Tables!$G$17:$G$18</definedName>
  </definedNames>
  <calcPr calcId="125725"/>
</workbook>
</file>

<file path=xl/calcChain.xml><?xml version="1.0" encoding="utf-8"?>
<calcChain xmlns="http://schemas.openxmlformats.org/spreadsheetml/2006/main">
  <c r="B5" i="33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4"/>
  <c r="B3"/>
  <c r="D2"/>
  <c r="D3" s="1"/>
  <c r="AA3"/>
  <c r="AG21"/>
  <c r="AD21"/>
  <c r="AK21" s="1"/>
  <c r="AC21"/>
  <c r="AJ21" s="1"/>
  <c r="AB21"/>
  <c r="AI21" s="1"/>
  <c r="AA21"/>
  <c r="AH21" s="1"/>
  <c r="AH20"/>
  <c r="AG20"/>
  <c r="AD20"/>
  <c r="AK20" s="1"/>
  <c r="AC20"/>
  <c r="AJ20" s="1"/>
  <c r="AB20"/>
  <c r="AI20" s="1"/>
  <c r="AA20"/>
  <c r="AG19"/>
  <c r="AD19"/>
  <c r="AK19" s="1"/>
  <c r="AC19"/>
  <c r="AJ19" s="1"/>
  <c r="AB19"/>
  <c r="AI19" s="1"/>
  <c r="AA19"/>
  <c r="AH19" s="1"/>
  <c r="AG18"/>
  <c r="AD18"/>
  <c r="AK18" s="1"/>
  <c r="AC18"/>
  <c r="AJ18" s="1"/>
  <c r="AB18"/>
  <c r="AI18" s="1"/>
  <c r="AA18"/>
  <c r="AH18" s="1"/>
  <c r="AG17"/>
  <c r="AD17"/>
  <c r="AK17" s="1"/>
  <c r="AC17"/>
  <c r="AJ17" s="1"/>
  <c r="AB17"/>
  <c r="AI17" s="1"/>
  <c r="AA17"/>
  <c r="AH17" s="1"/>
  <c r="AG16"/>
  <c r="AD16"/>
  <c r="AK16" s="1"/>
  <c r="AC16"/>
  <c r="AJ16" s="1"/>
  <c r="AB16"/>
  <c r="AI16" s="1"/>
  <c r="AA16"/>
  <c r="AH16" s="1"/>
  <c r="AG15"/>
  <c r="AD15"/>
  <c r="AK15" s="1"/>
  <c r="AC15"/>
  <c r="AJ15" s="1"/>
  <c r="AB15"/>
  <c r="AI15" s="1"/>
  <c r="AA15"/>
  <c r="AH15" s="1"/>
  <c r="AH14"/>
  <c r="AG14"/>
  <c r="AD14"/>
  <c r="AK14" s="1"/>
  <c r="AC14"/>
  <c r="AJ14" s="1"/>
  <c r="AB14"/>
  <c r="AI14" s="1"/>
  <c r="AA14"/>
  <c r="AG13"/>
  <c r="AD13"/>
  <c r="AK13" s="1"/>
  <c r="AC13"/>
  <c r="AJ13" s="1"/>
  <c r="AB13"/>
  <c r="AI13" s="1"/>
  <c r="AA13"/>
  <c r="AH13" s="1"/>
  <c r="AH12"/>
  <c r="AG12"/>
  <c r="AD12"/>
  <c r="AK12" s="1"/>
  <c r="AC12"/>
  <c r="AJ12" s="1"/>
  <c r="AB12"/>
  <c r="AI12" s="1"/>
  <c r="AA12"/>
  <c r="AG11"/>
  <c r="AD11"/>
  <c r="AK11" s="1"/>
  <c r="AC11"/>
  <c r="AJ11" s="1"/>
  <c r="AB11"/>
  <c r="AI11" s="1"/>
  <c r="AA11"/>
  <c r="AH11" s="1"/>
  <c r="AG10"/>
  <c r="AD10"/>
  <c r="AK10" s="1"/>
  <c r="AC10"/>
  <c r="AJ10" s="1"/>
  <c r="AB10"/>
  <c r="AI10" s="1"/>
  <c r="AA10"/>
  <c r="AH10" s="1"/>
  <c r="AG9"/>
  <c r="AD9"/>
  <c r="AK9" s="1"/>
  <c r="AC9"/>
  <c r="AJ9" s="1"/>
  <c r="AB9"/>
  <c r="AI9" s="1"/>
  <c r="AA9"/>
  <c r="AH9" s="1"/>
  <c r="AG8"/>
  <c r="AD8"/>
  <c r="AK8" s="1"/>
  <c r="AC8"/>
  <c r="AJ8" s="1"/>
  <c r="AB8"/>
  <c r="AI8" s="1"/>
  <c r="AA8"/>
  <c r="AH8" s="1"/>
  <c r="AG7"/>
  <c r="AD7"/>
  <c r="AK7" s="1"/>
  <c r="AC7"/>
  <c r="AJ7" s="1"/>
  <c r="AB7"/>
  <c r="AI7" s="1"/>
  <c r="AA7"/>
  <c r="AH7" s="1"/>
  <c r="AG6"/>
  <c r="AD6"/>
  <c r="AK6" s="1"/>
  <c r="AC6"/>
  <c r="AJ6" s="1"/>
  <c r="AB6"/>
  <c r="AI6" s="1"/>
  <c r="AA6"/>
  <c r="AH6" s="1"/>
  <c r="AG5"/>
  <c r="AD5"/>
  <c r="AK5" s="1"/>
  <c r="AC5"/>
  <c r="AJ5" s="1"/>
  <c r="AB5"/>
  <c r="AI5" s="1"/>
  <c r="AA5"/>
  <c r="AH5" s="1"/>
  <c r="AG4"/>
  <c r="AD4"/>
  <c r="AK4" s="1"/>
  <c r="AC4"/>
  <c r="AJ4" s="1"/>
  <c r="AB4"/>
  <c r="AI4" s="1"/>
  <c r="AA4"/>
  <c r="AH4" s="1"/>
  <c r="AG3"/>
  <c r="AD3"/>
  <c r="AK3" s="1"/>
  <c r="AC3"/>
  <c r="AJ3" s="1"/>
  <c r="AB3"/>
  <c r="AI3" s="1"/>
  <c r="AH3"/>
  <c r="AK2"/>
  <c r="AJ2"/>
  <c r="AI2"/>
  <c r="AH2"/>
  <c r="AG2"/>
  <c r="BU2" i="32"/>
  <c r="BU6" s="1"/>
  <c r="BU10"/>
  <c r="BU18"/>
  <c r="BU26"/>
  <c r="BU34"/>
  <c r="BU42"/>
  <c r="BU50"/>
  <c r="BU58"/>
  <c r="BU66"/>
  <c r="BU74"/>
  <c r="BU77"/>
  <c r="F2"/>
  <c r="B4"/>
  <c r="D4" s="1"/>
  <c r="E2"/>
  <c r="D3"/>
  <c r="CL21"/>
  <c r="CI21"/>
  <c r="CP21" s="1"/>
  <c r="CH21"/>
  <c r="CO21" s="1"/>
  <c r="CG21"/>
  <c r="CN21" s="1"/>
  <c r="CF21"/>
  <c r="CM21" s="1"/>
  <c r="CL20"/>
  <c r="CI20"/>
  <c r="CP20" s="1"/>
  <c r="CH20"/>
  <c r="CO20" s="1"/>
  <c r="CG20"/>
  <c r="CN20" s="1"/>
  <c r="CF20"/>
  <c r="CM20" s="1"/>
  <c r="CL19"/>
  <c r="CI19"/>
  <c r="CP19" s="1"/>
  <c r="CH19"/>
  <c r="CO19" s="1"/>
  <c r="CG19"/>
  <c r="CN19" s="1"/>
  <c r="CF19"/>
  <c r="CM19" s="1"/>
  <c r="CL18"/>
  <c r="CI18"/>
  <c r="CP18" s="1"/>
  <c r="CH18"/>
  <c r="CO18" s="1"/>
  <c r="CG18"/>
  <c r="CN18" s="1"/>
  <c r="CF18"/>
  <c r="CM18" s="1"/>
  <c r="CL17"/>
  <c r="CI17"/>
  <c r="CP17" s="1"/>
  <c r="CH17"/>
  <c r="CO17" s="1"/>
  <c r="CG17"/>
  <c r="CN17" s="1"/>
  <c r="CF17"/>
  <c r="CM17" s="1"/>
  <c r="CM16"/>
  <c r="CL16"/>
  <c r="CI16"/>
  <c r="CP16" s="1"/>
  <c r="CH16"/>
  <c r="CO16" s="1"/>
  <c r="CG16"/>
  <c r="CN16" s="1"/>
  <c r="CF16"/>
  <c r="CL15"/>
  <c r="CI15"/>
  <c r="CP15" s="1"/>
  <c r="CH15"/>
  <c r="CO15" s="1"/>
  <c r="CG15"/>
  <c r="CN15" s="1"/>
  <c r="CF15"/>
  <c r="CM15" s="1"/>
  <c r="CL14"/>
  <c r="CI14"/>
  <c r="CP14" s="1"/>
  <c r="CH14"/>
  <c r="CO14" s="1"/>
  <c r="CG14"/>
  <c r="CN14" s="1"/>
  <c r="CF14"/>
  <c r="CM14" s="1"/>
  <c r="CL13"/>
  <c r="CI13"/>
  <c r="CP13" s="1"/>
  <c r="CH13"/>
  <c r="CO13" s="1"/>
  <c r="CG13"/>
  <c r="CN13" s="1"/>
  <c r="CF13"/>
  <c r="CM13" s="1"/>
  <c r="CL12"/>
  <c r="CI12"/>
  <c r="CP12" s="1"/>
  <c r="CH12"/>
  <c r="CO12" s="1"/>
  <c r="CG12"/>
  <c r="CN12" s="1"/>
  <c r="CF12"/>
  <c r="CM12" s="1"/>
  <c r="CL11"/>
  <c r="CI11"/>
  <c r="CP11" s="1"/>
  <c r="CH11"/>
  <c r="CO11" s="1"/>
  <c r="CG11"/>
  <c r="CN11" s="1"/>
  <c r="CF11"/>
  <c r="CM11" s="1"/>
  <c r="CL10"/>
  <c r="CI10"/>
  <c r="CP10" s="1"/>
  <c r="CH10"/>
  <c r="CO10" s="1"/>
  <c r="CG10"/>
  <c r="CN10" s="1"/>
  <c r="CF10"/>
  <c r="CM10" s="1"/>
  <c r="CL9"/>
  <c r="CI9"/>
  <c r="CP9" s="1"/>
  <c r="CH9"/>
  <c r="CO9" s="1"/>
  <c r="CG9"/>
  <c r="CN9" s="1"/>
  <c r="CF9"/>
  <c r="CM9" s="1"/>
  <c r="CL8"/>
  <c r="CI8"/>
  <c r="CP8" s="1"/>
  <c r="CH8"/>
  <c r="CO8" s="1"/>
  <c r="CG8"/>
  <c r="CN8" s="1"/>
  <c r="CF8"/>
  <c r="CM8" s="1"/>
  <c r="CL7"/>
  <c r="CI7"/>
  <c r="CP7" s="1"/>
  <c r="CH7"/>
  <c r="CO7" s="1"/>
  <c r="CG7"/>
  <c r="CN7" s="1"/>
  <c r="CF7"/>
  <c r="CM7" s="1"/>
  <c r="CL6"/>
  <c r="CI6"/>
  <c r="CP6" s="1"/>
  <c r="CH6"/>
  <c r="CO6" s="1"/>
  <c r="CG6"/>
  <c r="CN6" s="1"/>
  <c r="CF6"/>
  <c r="CM6" s="1"/>
  <c r="CM5"/>
  <c r="CL5"/>
  <c r="CI5"/>
  <c r="CP5" s="1"/>
  <c r="CH5"/>
  <c r="CO5" s="1"/>
  <c r="CG5"/>
  <c r="CN5" s="1"/>
  <c r="CF5"/>
  <c r="CL4"/>
  <c r="CI4"/>
  <c r="CP4" s="1"/>
  <c r="CH4"/>
  <c r="CO4" s="1"/>
  <c r="CG4"/>
  <c r="CN4" s="1"/>
  <c r="CF4"/>
  <c r="CM4" s="1"/>
  <c r="CL3"/>
  <c r="CI3"/>
  <c r="CP3" s="1"/>
  <c r="CH3"/>
  <c r="CO3" s="1"/>
  <c r="CG3"/>
  <c r="CN3" s="1"/>
  <c r="CF3"/>
  <c r="CM3" s="1"/>
  <c r="CP2"/>
  <c r="CO2"/>
  <c r="CN2"/>
  <c r="CM2"/>
  <c r="CL2"/>
  <c r="B4" i="3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E2"/>
  <c r="E38" s="1"/>
  <c r="D53"/>
  <c r="E52"/>
  <c r="D37"/>
  <c r="D38"/>
  <c r="D39"/>
  <c r="D40"/>
  <c r="D41"/>
  <c r="D42"/>
  <c r="D43"/>
  <c r="D44"/>
  <c r="D45"/>
  <c r="D46"/>
  <c r="D47"/>
  <c r="D48"/>
  <c r="D49"/>
  <c r="D50"/>
  <c r="D51"/>
  <c r="D52"/>
  <c r="D54"/>
  <c r="D55"/>
  <c r="D56"/>
  <c r="D36"/>
  <c r="D3"/>
  <c r="AQ2"/>
  <c r="AR2"/>
  <c r="AS2"/>
  <c r="AT2"/>
  <c r="AU2"/>
  <c r="AK3"/>
  <c r="AR3" s="1"/>
  <c r="AL3"/>
  <c r="AM3"/>
  <c r="AT3" s="1"/>
  <c r="AN3"/>
  <c r="AQ3"/>
  <c r="AS3"/>
  <c r="AU3"/>
  <c r="AK4"/>
  <c r="AR4" s="1"/>
  <c r="AL4"/>
  <c r="AM4"/>
  <c r="AT4" s="1"/>
  <c r="AN4"/>
  <c r="AU4" s="1"/>
  <c r="AQ4"/>
  <c r="AS4"/>
  <c r="AK5"/>
  <c r="AR5" s="1"/>
  <c r="AL5"/>
  <c r="AM5"/>
  <c r="AT5" s="1"/>
  <c r="AN5"/>
  <c r="AU5" s="1"/>
  <c r="AQ5"/>
  <c r="AS5"/>
  <c r="AK6"/>
  <c r="AR6" s="1"/>
  <c r="AL6"/>
  <c r="AM6"/>
  <c r="AT6" s="1"/>
  <c r="AN6"/>
  <c r="AU6" s="1"/>
  <c r="AQ6"/>
  <c r="AS6"/>
  <c r="AK7"/>
  <c r="AR7" s="1"/>
  <c r="AL7"/>
  <c r="AM7"/>
  <c r="AT7" s="1"/>
  <c r="AN7"/>
  <c r="AQ7"/>
  <c r="AS7"/>
  <c r="AU7"/>
  <c r="AK8"/>
  <c r="AR8" s="1"/>
  <c r="AL8"/>
  <c r="AM8"/>
  <c r="AT8" s="1"/>
  <c r="AN8"/>
  <c r="AU8" s="1"/>
  <c r="AQ8"/>
  <c r="AS8"/>
  <c r="AK9"/>
  <c r="AR9" s="1"/>
  <c r="AL9"/>
  <c r="AM9"/>
  <c r="AT9" s="1"/>
  <c r="AN9"/>
  <c r="AU9" s="1"/>
  <c r="AQ9"/>
  <c r="AS9"/>
  <c r="AK10"/>
  <c r="AR10" s="1"/>
  <c r="AL10"/>
  <c r="AS10" s="1"/>
  <c r="AM10"/>
  <c r="AT10" s="1"/>
  <c r="AN10"/>
  <c r="AU10" s="1"/>
  <c r="AQ10"/>
  <c r="AK11"/>
  <c r="AR11" s="1"/>
  <c r="AL11"/>
  <c r="AM11"/>
  <c r="AT11" s="1"/>
  <c r="AN11"/>
  <c r="AQ11"/>
  <c r="AS11"/>
  <c r="AU11"/>
  <c r="AK12"/>
  <c r="AR12" s="1"/>
  <c r="AL12"/>
  <c r="AM12"/>
  <c r="AT12" s="1"/>
  <c r="AN12"/>
  <c r="AU12" s="1"/>
  <c r="AQ12"/>
  <c r="AS12"/>
  <c r="AK13"/>
  <c r="AR13" s="1"/>
  <c r="AL13"/>
  <c r="AM13"/>
  <c r="AT13" s="1"/>
  <c r="AN13"/>
  <c r="AU13" s="1"/>
  <c r="AQ13"/>
  <c r="AS13"/>
  <c r="AK14"/>
  <c r="AR14" s="1"/>
  <c r="AL14"/>
  <c r="AM14"/>
  <c r="AT14" s="1"/>
  <c r="AN14"/>
  <c r="AU14" s="1"/>
  <c r="AQ14"/>
  <c r="AS14"/>
  <c r="AK23"/>
  <c r="AR23" s="1"/>
  <c r="AL23"/>
  <c r="AM23"/>
  <c r="AT23" s="1"/>
  <c r="AN23"/>
  <c r="AQ23"/>
  <c r="AS23"/>
  <c r="AU23"/>
  <c r="AK24"/>
  <c r="AR24" s="1"/>
  <c r="AL24"/>
  <c r="AM24"/>
  <c r="AT24" s="1"/>
  <c r="AN24"/>
  <c r="AU24" s="1"/>
  <c r="AQ24"/>
  <c r="AS24"/>
  <c r="AK25"/>
  <c r="AR25" s="1"/>
  <c r="AL25"/>
  <c r="AM25"/>
  <c r="AT25" s="1"/>
  <c r="AN25"/>
  <c r="AU25" s="1"/>
  <c r="AQ25"/>
  <c r="AS25"/>
  <c r="AK26"/>
  <c r="AR26" s="1"/>
  <c r="AL26"/>
  <c r="AM26"/>
  <c r="AT26" s="1"/>
  <c r="AN26"/>
  <c r="AU26" s="1"/>
  <c r="AQ26"/>
  <c r="AS26"/>
  <c r="AK27"/>
  <c r="AR27" s="1"/>
  <c r="AL27"/>
  <c r="AM27"/>
  <c r="AT27" s="1"/>
  <c r="AN27"/>
  <c r="AQ27"/>
  <c r="AS27"/>
  <c r="AU27"/>
  <c r="AK28"/>
  <c r="AR28" s="1"/>
  <c r="AL28"/>
  <c r="AM28"/>
  <c r="AT28" s="1"/>
  <c r="AN28"/>
  <c r="AU28" s="1"/>
  <c r="AQ28"/>
  <c r="AS28"/>
  <c r="AK29"/>
  <c r="AR29" s="1"/>
  <c r="AL29"/>
  <c r="AM29"/>
  <c r="AT29" s="1"/>
  <c r="AN29"/>
  <c r="AU29" s="1"/>
  <c r="AQ29"/>
  <c r="AS29"/>
  <c r="AK31"/>
  <c r="AR31" s="1"/>
  <c r="AL31"/>
  <c r="AM31"/>
  <c r="AT31" s="1"/>
  <c r="AN31"/>
  <c r="AU31" s="1"/>
  <c r="AQ31"/>
  <c r="AS31"/>
  <c r="B15" i="12"/>
  <c r="B14"/>
  <c r="AH4" i="29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3"/>
  <c r="AG3"/>
  <c r="AI3"/>
  <c r="AG4"/>
  <c r="AI4"/>
  <c r="AG5"/>
  <c r="AI5"/>
  <c r="AG6"/>
  <c r="AI6"/>
  <c r="AG7"/>
  <c r="AI7"/>
  <c r="AG8"/>
  <c r="AI8"/>
  <c r="AG9"/>
  <c r="AI9"/>
  <c r="AG10"/>
  <c r="AI10"/>
  <c r="AG11"/>
  <c r="AI11"/>
  <c r="AG12"/>
  <c r="AI12"/>
  <c r="AG13"/>
  <c r="AI13"/>
  <c r="AG14"/>
  <c r="AI14"/>
  <c r="AG15"/>
  <c r="AI15"/>
  <c r="AG16"/>
  <c r="AI16"/>
  <c r="AG17"/>
  <c r="AI17"/>
  <c r="AG18"/>
  <c r="AI18"/>
  <c r="AG19"/>
  <c r="AI19"/>
  <c r="AG20"/>
  <c r="AI20"/>
  <c r="AG21"/>
  <c r="AI21"/>
  <c r="AG22"/>
  <c r="AI2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3"/>
  <c r="AF2"/>
  <c r="AG2"/>
  <c r="AH2"/>
  <c r="AI2"/>
  <c r="AE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A3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4"/>
  <c r="D5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3"/>
  <c r="D27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3"/>
  <c r="D3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E52"/>
  <c r="F52"/>
  <c r="G52"/>
  <c r="H52"/>
  <c r="I52"/>
  <c r="J52"/>
  <c r="K52"/>
  <c r="L52"/>
  <c r="M52"/>
  <c r="N52"/>
  <c r="O52"/>
  <c r="P52"/>
  <c r="Q52"/>
  <c r="R52"/>
  <c r="S52"/>
  <c r="T52"/>
  <c r="E53"/>
  <c r="F53"/>
  <c r="G53"/>
  <c r="H53"/>
  <c r="I53"/>
  <c r="J53"/>
  <c r="K53"/>
  <c r="L53"/>
  <c r="M53"/>
  <c r="N53"/>
  <c r="O53"/>
  <c r="P53"/>
  <c r="Q53"/>
  <c r="R53"/>
  <c r="S53"/>
  <c r="T53"/>
  <c r="E54"/>
  <c r="F54"/>
  <c r="G54"/>
  <c r="H54"/>
  <c r="I54"/>
  <c r="J54"/>
  <c r="K54"/>
  <c r="L54"/>
  <c r="M54"/>
  <c r="N54"/>
  <c r="O54"/>
  <c r="P54"/>
  <c r="Q54"/>
  <c r="R54"/>
  <c r="S54"/>
  <c r="T54"/>
  <c r="E55"/>
  <c r="F55"/>
  <c r="G55"/>
  <c r="H55"/>
  <c r="I55"/>
  <c r="J55"/>
  <c r="K55"/>
  <c r="L55"/>
  <c r="M55"/>
  <c r="N55"/>
  <c r="O55"/>
  <c r="P55"/>
  <c r="Q55"/>
  <c r="R55"/>
  <c r="S55"/>
  <c r="T55"/>
  <c r="E56"/>
  <c r="F56"/>
  <c r="G56"/>
  <c r="H56"/>
  <c r="I56"/>
  <c r="J56"/>
  <c r="K56"/>
  <c r="L56"/>
  <c r="M56"/>
  <c r="N56"/>
  <c r="O56"/>
  <c r="P56"/>
  <c r="Q56"/>
  <c r="R56"/>
  <c r="S56"/>
  <c r="T56"/>
  <c r="E57"/>
  <c r="F57"/>
  <c r="G57"/>
  <c r="H57"/>
  <c r="I57"/>
  <c r="J57"/>
  <c r="K57"/>
  <c r="L57"/>
  <c r="M57"/>
  <c r="N57"/>
  <c r="O57"/>
  <c r="P57"/>
  <c r="Q57"/>
  <c r="R57"/>
  <c r="S57"/>
  <c r="T57"/>
  <c r="E58"/>
  <c r="F58"/>
  <c r="G58"/>
  <c r="H58"/>
  <c r="I58"/>
  <c r="J58"/>
  <c r="K58"/>
  <c r="L58"/>
  <c r="M58"/>
  <c r="N58"/>
  <c r="O58"/>
  <c r="P58"/>
  <c r="Q58"/>
  <c r="R58"/>
  <c r="S58"/>
  <c r="T58"/>
  <c r="E59"/>
  <c r="F59"/>
  <c r="G59"/>
  <c r="H59"/>
  <c r="I59"/>
  <c r="J59"/>
  <c r="K59"/>
  <c r="L59"/>
  <c r="M59"/>
  <c r="N59"/>
  <c r="O59"/>
  <c r="P59"/>
  <c r="Q59"/>
  <c r="R59"/>
  <c r="S59"/>
  <c r="T59"/>
  <c r="E60"/>
  <c r="F60"/>
  <c r="G60"/>
  <c r="H60"/>
  <c r="I60"/>
  <c r="J60"/>
  <c r="K60"/>
  <c r="L60"/>
  <c r="M60"/>
  <c r="N60"/>
  <c r="O60"/>
  <c r="P60"/>
  <c r="Q60"/>
  <c r="R60"/>
  <c r="S60"/>
  <c r="T60"/>
  <c r="E61"/>
  <c r="F61"/>
  <c r="G61"/>
  <c r="H61"/>
  <c r="I61"/>
  <c r="J61"/>
  <c r="K61"/>
  <c r="L61"/>
  <c r="M61"/>
  <c r="N61"/>
  <c r="O61"/>
  <c r="P61"/>
  <c r="Q61"/>
  <c r="R61"/>
  <c r="S61"/>
  <c r="T61"/>
  <c r="E62"/>
  <c r="F62"/>
  <c r="G62"/>
  <c r="H62"/>
  <c r="I62"/>
  <c r="J62"/>
  <c r="K62"/>
  <c r="L62"/>
  <c r="M62"/>
  <c r="N62"/>
  <c r="O62"/>
  <c r="P62"/>
  <c r="Q62"/>
  <c r="R62"/>
  <c r="S62"/>
  <c r="T62"/>
  <c r="E63"/>
  <c r="F63"/>
  <c r="G63"/>
  <c r="H63"/>
  <c r="I63"/>
  <c r="J63"/>
  <c r="K63"/>
  <c r="L63"/>
  <c r="M63"/>
  <c r="N63"/>
  <c r="O63"/>
  <c r="P63"/>
  <c r="Q63"/>
  <c r="R63"/>
  <c r="S63"/>
  <c r="T63"/>
  <c r="E64"/>
  <c r="F64"/>
  <c r="G64"/>
  <c r="H64"/>
  <c r="I64"/>
  <c r="J64"/>
  <c r="K64"/>
  <c r="L64"/>
  <c r="M64"/>
  <c r="N64"/>
  <c r="O64"/>
  <c r="P64"/>
  <c r="Q64"/>
  <c r="R64"/>
  <c r="S64"/>
  <c r="T64"/>
  <c r="E65"/>
  <c r="F65"/>
  <c r="G65"/>
  <c r="H65"/>
  <c r="I65"/>
  <c r="J65"/>
  <c r="K65"/>
  <c r="L65"/>
  <c r="M65"/>
  <c r="N65"/>
  <c r="O65"/>
  <c r="P65"/>
  <c r="Q65"/>
  <c r="R65"/>
  <c r="S65"/>
  <c r="T65"/>
  <c r="E66"/>
  <c r="F66"/>
  <c r="G66"/>
  <c r="H66"/>
  <c r="I66"/>
  <c r="J66"/>
  <c r="K66"/>
  <c r="L66"/>
  <c r="M66"/>
  <c r="N66"/>
  <c r="O66"/>
  <c r="P66"/>
  <c r="Q66"/>
  <c r="R66"/>
  <c r="S66"/>
  <c r="T66"/>
  <c r="E67"/>
  <c r="F67"/>
  <c r="G67"/>
  <c r="H67"/>
  <c r="I67"/>
  <c r="J67"/>
  <c r="K67"/>
  <c r="L67"/>
  <c r="M67"/>
  <c r="N67"/>
  <c r="O67"/>
  <c r="P67"/>
  <c r="Q67"/>
  <c r="R67"/>
  <c r="S67"/>
  <c r="T67"/>
  <c r="E68"/>
  <c r="F68"/>
  <c r="G68"/>
  <c r="H68"/>
  <c r="I68"/>
  <c r="J68"/>
  <c r="K68"/>
  <c r="L68"/>
  <c r="M68"/>
  <c r="N68"/>
  <c r="O68"/>
  <c r="P68"/>
  <c r="Q68"/>
  <c r="R68"/>
  <c r="S68"/>
  <c r="T68"/>
  <c r="E69"/>
  <c r="F69"/>
  <c r="G69"/>
  <c r="H69"/>
  <c r="I69"/>
  <c r="J69"/>
  <c r="K69"/>
  <c r="L69"/>
  <c r="M69"/>
  <c r="N69"/>
  <c r="O69"/>
  <c r="P69"/>
  <c r="Q69"/>
  <c r="R69"/>
  <c r="S69"/>
  <c r="T69"/>
  <c r="E70"/>
  <c r="F70"/>
  <c r="G70"/>
  <c r="H70"/>
  <c r="I70"/>
  <c r="J70"/>
  <c r="K70"/>
  <c r="L70"/>
  <c r="M70"/>
  <c r="N70"/>
  <c r="O70"/>
  <c r="P70"/>
  <c r="Q70"/>
  <c r="R70"/>
  <c r="S70"/>
  <c r="T70"/>
  <c r="E71"/>
  <c r="F71"/>
  <c r="G71"/>
  <c r="H71"/>
  <c r="I71"/>
  <c r="J71"/>
  <c r="K71"/>
  <c r="L71"/>
  <c r="M71"/>
  <c r="N71"/>
  <c r="O71"/>
  <c r="P71"/>
  <c r="Q71"/>
  <c r="R71"/>
  <c r="S71"/>
  <c r="T71"/>
  <c r="E27"/>
  <c r="F27"/>
  <c r="G27"/>
  <c r="H27"/>
  <c r="I27"/>
  <c r="J27"/>
  <c r="K27"/>
  <c r="L27"/>
  <c r="M27"/>
  <c r="N27"/>
  <c r="O27"/>
  <c r="P27"/>
  <c r="Q27"/>
  <c r="R27"/>
  <c r="S27"/>
  <c r="T27"/>
  <c r="E28"/>
  <c r="F28"/>
  <c r="G28"/>
  <c r="H28"/>
  <c r="I28"/>
  <c r="J28"/>
  <c r="K28"/>
  <c r="L28"/>
  <c r="M28"/>
  <c r="N28"/>
  <c r="O28"/>
  <c r="P28"/>
  <c r="Q28"/>
  <c r="R28"/>
  <c r="S28"/>
  <c r="T28"/>
  <c r="E29"/>
  <c r="F29"/>
  <c r="G29"/>
  <c r="H29"/>
  <c r="I29"/>
  <c r="J29"/>
  <c r="K29"/>
  <c r="L29"/>
  <c r="M29"/>
  <c r="N29"/>
  <c r="O29"/>
  <c r="P29"/>
  <c r="Q29"/>
  <c r="R29"/>
  <c r="S29"/>
  <c r="T29"/>
  <c r="E30"/>
  <c r="F30"/>
  <c r="G30"/>
  <c r="H30"/>
  <c r="I30"/>
  <c r="J30"/>
  <c r="K30"/>
  <c r="L30"/>
  <c r="M30"/>
  <c r="N30"/>
  <c r="O30"/>
  <c r="P30"/>
  <c r="Q30"/>
  <c r="R30"/>
  <c r="S30"/>
  <c r="T30"/>
  <c r="E31"/>
  <c r="F31"/>
  <c r="G31"/>
  <c r="H31"/>
  <c r="I31"/>
  <c r="J31"/>
  <c r="K31"/>
  <c r="L31"/>
  <c r="M31"/>
  <c r="N31"/>
  <c r="O31"/>
  <c r="P31"/>
  <c r="Q31"/>
  <c r="R31"/>
  <c r="S31"/>
  <c r="T31"/>
  <c r="E32"/>
  <c r="F32"/>
  <c r="G32"/>
  <c r="H32"/>
  <c r="I32"/>
  <c r="J32"/>
  <c r="K32"/>
  <c r="L32"/>
  <c r="M32"/>
  <c r="N32"/>
  <c r="O32"/>
  <c r="P32"/>
  <c r="Q32"/>
  <c r="R32"/>
  <c r="S32"/>
  <c r="T32"/>
  <c r="E33"/>
  <c r="F33"/>
  <c r="G33"/>
  <c r="H33"/>
  <c r="I33"/>
  <c r="J33"/>
  <c r="K33"/>
  <c r="L33"/>
  <c r="M33"/>
  <c r="N33"/>
  <c r="O33"/>
  <c r="P33"/>
  <c r="Q33"/>
  <c r="R33"/>
  <c r="S33"/>
  <c r="T33"/>
  <c r="E34"/>
  <c r="F34"/>
  <c r="G34"/>
  <c r="H34"/>
  <c r="I34"/>
  <c r="J34"/>
  <c r="K34"/>
  <c r="L34"/>
  <c r="M34"/>
  <c r="N34"/>
  <c r="O34"/>
  <c r="P34"/>
  <c r="Q34"/>
  <c r="R34"/>
  <c r="S34"/>
  <c r="T34"/>
  <c r="E35"/>
  <c r="F35"/>
  <c r="G35"/>
  <c r="H35"/>
  <c r="I35"/>
  <c r="J35"/>
  <c r="K35"/>
  <c r="L35"/>
  <c r="M35"/>
  <c r="N35"/>
  <c r="O35"/>
  <c r="P35"/>
  <c r="Q35"/>
  <c r="R35"/>
  <c r="S35"/>
  <c r="T35"/>
  <c r="E36"/>
  <c r="F36"/>
  <c r="G36"/>
  <c r="H36"/>
  <c r="I36"/>
  <c r="J36"/>
  <c r="K36"/>
  <c r="L36"/>
  <c r="M36"/>
  <c r="N36"/>
  <c r="O36"/>
  <c r="P36"/>
  <c r="Q36"/>
  <c r="R36"/>
  <c r="S36"/>
  <c r="T36"/>
  <c r="E37"/>
  <c r="F37"/>
  <c r="G37"/>
  <c r="H37"/>
  <c r="I37"/>
  <c r="J37"/>
  <c r="K37"/>
  <c r="L37"/>
  <c r="M37"/>
  <c r="N37"/>
  <c r="O37"/>
  <c r="P37"/>
  <c r="Q37"/>
  <c r="R37"/>
  <c r="S37"/>
  <c r="T37"/>
  <c r="E38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E40"/>
  <c r="F40"/>
  <c r="G40"/>
  <c r="H40"/>
  <c r="I40"/>
  <c r="J40"/>
  <c r="K40"/>
  <c r="L40"/>
  <c r="M40"/>
  <c r="N40"/>
  <c r="O40"/>
  <c r="P40"/>
  <c r="Q40"/>
  <c r="R40"/>
  <c r="S40"/>
  <c r="T40"/>
  <c r="E41"/>
  <c r="F41"/>
  <c r="G41"/>
  <c r="H41"/>
  <c r="I41"/>
  <c r="J41"/>
  <c r="K41"/>
  <c r="L41"/>
  <c r="M41"/>
  <c r="N41"/>
  <c r="O41"/>
  <c r="P41"/>
  <c r="Q41"/>
  <c r="R41"/>
  <c r="S41"/>
  <c r="T41"/>
  <c r="E42"/>
  <c r="F42"/>
  <c r="G42"/>
  <c r="H42"/>
  <c r="I42"/>
  <c r="J42"/>
  <c r="K42"/>
  <c r="L42"/>
  <c r="M42"/>
  <c r="N42"/>
  <c r="O42"/>
  <c r="P42"/>
  <c r="Q42"/>
  <c r="R42"/>
  <c r="S42"/>
  <c r="T42"/>
  <c r="E43"/>
  <c r="F43"/>
  <c r="G43"/>
  <c r="H43"/>
  <c r="I43"/>
  <c r="J43"/>
  <c r="K43"/>
  <c r="L43"/>
  <c r="M43"/>
  <c r="N43"/>
  <c r="O43"/>
  <c r="P43"/>
  <c r="Q43"/>
  <c r="R43"/>
  <c r="S43"/>
  <c r="T43"/>
  <c r="E44"/>
  <c r="F44"/>
  <c r="G44"/>
  <c r="H44"/>
  <c r="I44"/>
  <c r="J44"/>
  <c r="K44"/>
  <c r="L44"/>
  <c r="M44"/>
  <c r="N44"/>
  <c r="O44"/>
  <c r="P44"/>
  <c r="Q44"/>
  <c r="R44"/>
  <c r="S44"/>
  <c r="T44"/>
  <c r="E45"/>
  <c r="F45"/>
  <c r="G45"/>
  <c r="H45"/>
  <c r="I45"/>
  <c r="J45"/>
  <c r="K45"/>
  <c r="L45"/>
  <c r="M45"/>
  <c r="N45"/>
  <c r="O45"/>
  <c r="P45"/>
  <c r="Q45"/>
  <c r="R45"/>
  <c r="S45"/>
  <c r="T45"/>
  <c r="E46"/>
  <c r="F46"/>
  <c r="G46"/>
  <c r="H46"/>
  <c r="I46"/>
  <c r="J46"/>
  <c r="K46"/>
  <c r="L46"/>
  <c r="M46"/>
  <c r="N46"/>
  <c r="O46"/>
  <c r="P46"/>
  <c r="Q46"/>
  <c r="R46"/>
  <c r="S46"/>
  <c r="T4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E3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E3" i="28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C3" i="26"/>
  <c r="D17" i="27"/>
  <c r="E3"/>
  <c r="F3"/>
  <c r="G3"/>
  <c r="H3"/>
  <c r="I3"/>
  <c r="J3"/>
  <c r="K3"/>
  <c r="L3"/>
  <c r="M3"/>
  <c r="N3"/>
  <c r="O3"/>
  <c r="P3"/>
  <c r="Q3"/>
  <c r="R3"/>
  <c r="S3"/>
  <c r="E4"/>
  <c r="F4"/>
  <c r="G4"/>
  <c r="H4"/>
  <c r="I4"/>
  <c r="J4"/>
  <c r="K4"/>
  <c r="L4"/>
  <c r="M4"/>
  <c r="N4"/>
  <c r="O4"/>
  <c r="P4"/>
  <c r="Q4"/>
  <c r="R4"/>
  <c r="S4"/>
  <c r="E5"/>
  <c r="F5"/>
  <c r="G5"/>
  <c r="H5"/>
  <c r="I5"/>
  <c r="J5"/>
  <c r="K5"/>
  <c r="L5"/>
  <c r="M5"/>
  <c r="N5"/>
  <c r="O5"/>
  <c r="P5"/>
  <c r="Q5"/>
  <c r="R5"/>
  <c r="S5"/>
  <c r="E6"/>
  <c r="F6"/>
  <c r="G6"/>
  <c r="H6"/>
  <c r="I6"/>
  <c r="J6"/>
  <c r="K6"/>
  <c r="L6"/>
  <c r="M6"/>
  <c r="N6"/>
  <c r="O6"/>
  <c r="P6"/>
  <c r="Q6"/>
  <c r="R6"/>
  <c r="S6"/>
  <c r="E7"/>
  <c r="F7"/>
  <c r="G7"/>
  <c r="H7"/>
  <c r="I7"/>
  <c r="J7"/>
  <c r="K7"/>
  <c r="L7"/>
  <c r="M7"/>
  <c r="N7"/>
  <c r="O7"/>
  <c r="P7"/>
  <c r="Q7"/>
  <c r="R7"/>
  <c r="S7"/>
  <c r="E8"/>
  <c r="F8"/>
  <c r="G8"/>
  <c r="H8"/>
  <c r="I8"/>
  <c r="J8"/>
  <c r="K8"/>
  <c r="L8"/>
  <c r="M8"/>
  <c r="N8"/>
  <c r="O8"/>
  <c r="P8"/>
  <c r="Q8"/>
  <c r="R8"/>
  <c r="S8"/>
  <c r="E9"/>
  <c r="F9"/>
  <c r="G9"/>
  <c r="H9"/>
  <c r="I9"/>
  <c r="J9"/>
  <c r="K9"/>
  <c r="L9"/>
  <c r="M9"/>
  <c r="N9"/>
  <c r="O9"/>
  <c r="P9"/>
  <c r="Q9"/>
  <c r="R9"/>
  <c r="S9"/>
  <c r="E10"/>
  <c r="F10"/>
  <c r="G10"/>
  <c r="H10"/>
  <c r="I10"/>
  <c r="J10"/>
  <c r="K10"/>
  <c r="L10"/>
  <c r="M10"/>
  <c r="N10"/>
  <c r="O10"/>
  <c r="P10"/>
  <c r="Q10"/>
  <c r="R10"/>
  <c r="S10"/>
  <c r="E11"/>
  <c r="F11"/>
  <c r="G11"/>
  <c r="H11"/>
  <c r="I11"/>
  <c r="J11"/>
  <c r="K11"/>
  <c r="L11"/>
  <c r="M11"/>
  <c r="N11"/>
  <c r="O11"/>
  <c r="P11"/>
  <c r="Q11"/>
  <c r="R11"/>
  <c r="S11"/>
  <c r="E12"/>
  <c r="F12"/>
  <c r="G12"/>
  <c r="H12"/>
  <c r="I12"/>
  <c r="J12"/>
  <c r="K12"/>
  <c r="L12"/>
  <c r="M12"/>
  <c r="N12"/>
  <c r="O12"/>
  <c r="P12"/>
  <c r="Q12"/>
  <c r="R12"/>
  <c r="S12"/>
  <c r="E13"/>
  <c r="F13"/>
  <c r="G13"/>
  <c r="H13"/>
  <c r="I13"/>
  <c r="J13"/>
  <c r="K13"/>
  <c r="L13"/>
  <c r="M13"/>
  <c r="N13"/>
  <c r="O13"/>
  <c r="P13"/>
  <c r="Q13"/>
  <c r="R13"/>
  <c r="S13"/>
  <c r="E14"/>
  <c r="F14"/>
  <c r="G14"/>
  <c r="H14"/>
  <c r="I14"/>
  <c r="J14"/>
  <c r="K14"/>
  <c r="L14"/>
  <c r="M14"/>
  <c r="N14"/>
  <c r="O14"/>
  <c r="P14"/>
  <c r="Q14"/>
  <c r="R14"/>
  <c r="S14"/>
  <c r="E15"/>
  <c r="F15"/>
  <c r="G15"/>
  <c r="H15"/>
  <c r="I15"/>
  <c r="J15"/>
  <c r="K15"/>
  <c r="L15"/>
  <c r="M15"/>
  <c r="N15"/>
  <c r="O15"/>
  <c r="P15"/>
  <c r="Q15"/>
  <c r="R15"/>
  <c r="S15"/>
  <c r="E16"/>
  <c r="F16"/>
  <c r="G16"/>
  <c r="H16"/>
  <c r="I16"/>
  <c r="J16"/>
  <c r="K16"/>
  <c r="L16"/>
  <c r="M16"/>
  <c r="N16"/>
  <c r="O16"/>
  <c r="P16"/>
  <c r="Q16"/>
  <c r="R16"/>
  <c r="S16"/>
  <c r="E17"/>
  <c r="F17"/>
  <c r="G17"/>
  <c r="H17"/>
  <c r="I17"/>
  <c r="J17"/>
  <c r="K17"/>
  <c r="L17"/>
  <c r="M17"/>
  <c r="N17"/>
  <c r="O17"/>
  <c r="P17"/>
  <c r="Q17"/>
  <c r="R17"/>
  <c r="S17"/>
  <c r="E18"/>
  <c r="F18"/>
  <c r="G18"/>
  <c r="H18"/>
  <c r="I18"/>
  <c r="J18"/>
  <c r="K18"/>
  <c r="L18"/>
  <c r="M18"/>
  <c r="N18"/>
  <c r="O18"/>
  <c r="P18"/>
  <c r="Q18"/>
  <c r="R18"/>
  <c r="S18"/>
  <c r="E19"/>
  <c r="F19"/>
  <c r="G19"/>
  <c r="H19"/>
  <c r="I19"/>
  <c r="J19"/>
  <c r="K19"/>
  <c r="L19"/>
  <c r="M19"/>
  <c r="N19"/>
  <c r="O19"/>
  <c r="P19"/>
  <c r="Q19"/>
  <c r="R19"/>
  <c r="S19"/>
  <c r="E20"/>
  <c r="F20"/>
  <c r="G20"/>
  <c r="H20"/>
  <c r="I20"/>
  <c r="J20"/>
  <c r="K20"/>
  <c r="L20"/>
  <c r="M20"/>
  <c r="N20"/>
  <c r="O20"/>
  <c r="P20"/>
  <c r="Q20"/>
  <c r="R20"/>
  <c r="S20"/>
  <c r="E21"/>
  <c r="F21"/>
  <c r="G21"/>
  <c r="H21"/>
  <c r="I21"/>
  <c r="J21"/>
  <c r="K21"/>
  <c r="L21"/>
  <c r="M21"/>
  <c r="N21"/>
  <c r="O21"/>
  <c r="P21"/>
  <c r="Q21"/>
  <c r="R21"/>
  <c r="S21"/>
  <c r="E22"/>
  <c r="F22"/>
  <c r="G22"/>
  <c r="H22"/>
  <c r="I22"/>
  <c r="J22"/>
  <c r="K22"/>
  <c r="L22"/>
  <c r="M22"/>
  <c r="N22"/>
  <c r="O22"/>
  <c r="P22"/>
  <c r="Q22"/>
  <c r="R22"/>
  <c r="S22"/>
  <c r="E23"/>
  <c r="F23"/>
  <c r="G23"/>
  <c r="H23"/>
  <c r="I23"/>
  <c r="J23"/>
  <c r="K23"/>
  <c r="L23"/>
  <c r="M23"/>
  <c r="N23"/>
  <c r="O23"/>
  <c r="P23"/>
  <c r="Q23"/>
  <c r="R23"/>
  <c r="S23"/>
  <c r="E24"/>
  <c r="F24"/>
  <c r="G24"/>
  <c r="H24"/>
  <c r="I24"/>
  <c r="J24"/>
  <c r="K24"/>
  <c r="L24"/>
  <c r="M24"/>
  <c r="N24"/>
  <c r="O24"/>
  <c r="P24"/>
  <c r="Q24"/>
  <c r="R24"/>
  <c r="S24"/>
  <c r="E25"/>
  <c r="F25"/>
  <c r="G25"/>
  <c r="H25"/>
  <c r="I25"/>
  <c r="J25"/>
  <c r="K25"/>
  <c r="L25"/>
  <c r="M25"/>
  <c r="N25"/>
  <c r="O25"/>
  <c r="P25"/>
  <c r="Q25"/>
  <c r="R25"/>
  <c r="S25"/>
  <c r="E26"/>
  <c r="F26"/>
  <c r="G26"/>
  <c r="H26"/>
  <c r="I26"/>
  <c r="J26"/>
  <c r="K26"/>
  <c r="L26"/>
  <c r="M26"/>
  <c r="N26"/>
  <c r="O26"/>
  <c r="P26"/>
  <c r="Q26"/>
  <c r="R26"/>
  <c r="S26"/>
  <c r="E27"/>
  <c r="F27"/>
  <c r="G27"/>
  <c r="H27"/>
  <c r="I27"/>
  <c r="J27"/>
  <c r="K27"/>
  <c r="L27"/>
  <c r="M27"/>
  <c r="N27"/>
  <c r="O27"/>
  <c r="P27"/>
  <c r="Q27"/>
  <c r="R27"/>
  <c r="S27"/>
  <c r="E28"/>
  <c r="F28"/>
  <c r="G28"/>
  <c r="H28"/>
  <c r="I28"/>
  <c r="J28"/>
  <c r="K28"/>
  <c r="L28"/>
  <c r="M28"/>
  <c r="N28"/>
  <c r="O28"/>
  <c r="P28"/>
  <c r="Q28"/>
  <c r="R28"/>
  <c r="S28"/>
  <c r="E29"/>
  <c r="F29"/>
  <c r="G29"/>
  <c r="H29"/>
  <c r="I29"/>
  <c r="J29"/>
  <c r="K29"/>
  <c r="L29"/>
  <c r="M29"/>
  <c r="N29"/>
  <c r="O29"/>
  <c r="P29"/>
  <c r="Q29"/>
  <c r="R29"/>
  <c r="S29"/>
  <c r="E30"/>
  <c r="F30"/>
  <c r="G30"/>
  <c r="H30"/>
  <c r="I30"/>
  <c r="J30"/>
  <c r="K30"/>
  <c r="L30"/>
  <c r="M30"/>
  <c r="N30"/>
  <c r="O30"/>
  <c r="P30"/>
  <c r="Q30"/>
  <c r="R30"/>
  <c r="S30"/>
  <c r="E31"/>
  <c r="F31"/>
  <c r="G31"/>
  <c r="H31"/>
  <c r="I31"/>
  <c r="J31"/>
  <c r="K31"/>
  <c r="L31"/>
  <c r="M31"/>
  <c r="N31"/>
  <c r="O31"/>
  <c r="P31"/>
  <c r="Q31"/>
  <c r="R31"/>
  <c r="S31"/>
  <c r="E32"/>
  <c r="F32"/>
  <c r="G32"/>
  <c r="H32"/>
  <c r="I32"/>
  <c r="J32"/>
  <c r="K32"/>
  <c r="L32"/>
  <c r="M32"/>
  <c r="N32"/>
  <c r="O32"/>
  <c r="P32"/>
  <c r="Q32"/>
  <c r="R32"/>
  <c r="S32"/>
  <c r="D4"/>
  <c r="D5"/>
  <c r="D6"/>
  <c r="D7"/>
  <c r="D8"/>
  <c r="D9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"/>
  <c r="E14" i="12"/>
  <c r="H2" i="21"/>
  <c r="D3" i="26"/>
  <c r="E3"/>
  <c r="F3"/>
  <c r="G3"/>
  <c r="H3"/>
  <c r="I3"/>
  <c r="J3"/>
  <c r="K3"/>
  <c r="L3"/>
  <c r="M3"/>
  <c r="N3"/>
  <c r="O3"/>
  <c r="P3"/>
  <c r="Q3"/>
  <c r="R3"/>
  <c r="S3"/>
  <c r="D4"/>
  <c r="E4"/>
  <c r="F4"/>
  <c r="G4"/>
  <c r="H4"/>
  <c r="I4"/>
  <c r="J4"/>
  <c r="K4"/>
  <c r="L4"/>
  <c r="M4"/>
  <c r="N4"/>
  <c r="O4"/>
  <c r="P4"/>
  <c r="Q4"/>
  <c r="R4"/>
  <c r="S4"/>
  <c r="D5"/>
  <c r="E5"/>
  <c r="F5"/>
  <c r="G5"/>
  <c r="H5"/>
  <c r="I5"/>
  <c r="J5"/>
  <c r="K5"/>
  <c r="L5"/>
  <c r="M5"/>
  <c r="N5"/>
  <c r="O5"/>
  <c r="P5"/>
  <c r="Q5"/>
  <c r="R5"/>
  <c r="S5"/>
  <c r="D6"/>
  <c r="E6"/>
  <c r="F6"/>
  <c r="G6"/>
  <c r="H6"/>
  <c r="I6"/>
  <c r="J6"/>
  <c r="K6"/>
  <c r="L6"/>
  <c r="M6"/>
  <c r="N6"/>
  <c r="O6"/>
  <c r="P6"/>
  <c r="Q6"/>
  <c r="R6"/>
  <c r="S6"/>
  <c r="D7"/>
  <c r="E7"/>
  <c r="F7"/>
  <c r="G7"/>
  <c r="H7"/>
  <c r="I7"/>
  <c r="J7"/>
  <c r="K7"/>
  <c r="L7"/>
  <c r="M7"/>
  <c r="N7"/>
  <c r="O7"/>
  <c r="P7"/>
  <c r="Q7"/>
  <c r="R7"/>
  <c r="S7"/>
  <c r="D8"/>
  <c r="E8"/>
  <c r="F8"/>
  <c r="G8"/>
  <c r="H8"/>
  <c r="I8"/>
  <c r="J8"/>
  <c r="K8"/>
  <c r="L8"/>
  <c r="M8"/>
  <c r="N8"/>
  <c r="O8"/>
  <c r="P8"/>
  <c r="Q8"/>
  <c r="R8"/>
  <c r="S8"/>
  <c r="D9"/>
  <c r="E9"/>
  <c r="F9"/>
  <c r="G9"/>
  <c r="H9"/>
  <c r="I9"/>
  <c r="J9"/>
  <c r="K9"/>
  <c r="L9"/>
  <c r="M9"/>
  <c r="N9"/>
  <c r="O9"/>
  <c r="P9"/>
  <c r="Q9"/>
  <c r="R9"/>
  <c r="S9"/>
  <c r="D10"/>
  <c r="E10"/>
  <c r="F10"/>
  <c r="G10"/>
  <c r="H10"/>
  <c r="I10"/>
  <c r="J10"/>
  <c r="K10"/>
  <c r="L10"/>
  <c r="M10"/>
  <c r="N10"/>
  <c r="O10"/>
  <c r="P10"/>
  <c r="Q10"/>
  <c r="R10"/>
  <c r="S10"/>
  <c r="D11"/>
  <c r="E11"/>
  <c r="F11"/>
  <c r="G11"/>
  <c r="H11"/>
  <c r="I11"/>
  <c r="J11"/>
  <c r="K11"/>
  <c r="L11"/>
  <c r="M11"/>
  <c r="N11"/>
  <c r="O11"/>
  <c r="P11"/>
  <c r="Q11"/>
  <c r="R11"/>
  <c r="S11"/>
  <c r="D12"/>
  <c r="E12"/>
  <c r="F12"/>
  <c r="G12"/>
  <c r="H12"/>
  <c r="I12"/>
  <c r="J12"/>
  <c r="K12"/>
  <c r="L12"/>
  <c r="M12"/>
  <c r="N12"/>
  <c r="O12"/>
  <c r="P12"/>
  <c r="Q12"/>
  <c r="R12"/>
  <c r="S12"/>
  <c r="D13"/>
  <c r="E13"/>
  <c r="F13"/>
  <c r="G13"/>
  <c r="H13"/>
  <c r="I13"/>
  <c r="J13"/>
  <c r="K13"/>
  <c r="L13"/>
  <c r="M13"/>
  <c r="N13"/>
  <c r="O13"/>
  <c r="P13"/>
  <c r="Q13"/>
  <c r="R13"/>
  <c r="S13"/>
  <c r="D14"/>
  <c r="E14"/>
  <c r="F14"/>
  <c r="G14"/>
  <c r="H14"/>
  <c r="I14"/>
  <c r="J14"/>
  <c r="K14"/>
  <c r="L14"/>
  <c r="M14"/>
  <c r="N14"/>
  <c r="O14"/>
  <c r="P14"/>
  <c r="Q14"/>
  <c r="R14"/>
  <c r="S14"/>
  <c r="D15"/>
  <c r="E15"/>
  <c r="F15"/>
  <c r="G15"/>
  <c r="H15"/>
  <c r="I15"/>
  <c r="J15"/>
  <c r="K15"/>
  <c r="L15"/>
  <c r="M15"/>
  <c r="N15"/>
  <c r="O15"/>
  <c r="P15"/>
  <c r="Q15"/>
  <c r="R15"/>
  <c r="S15"/>
  <c r="D16"/>
  <c r="E16"/>
  <c r="F16"/>
  <c r="G16"/>
  <c r="H16"/>
  <c r="I16"/>
  <c r="J16"/>
  <c r="K16"/>
  <c r="L16"/>
  <c r="M16"/>
  <c r="N16"/>
  <c r="O16"/>
  <c r="P16"/>
  <c r="Q16"/>
  <c r="R16"/>
  <c r="S16"/>
  <c r="D17"/>
  <c r="E17"/>
  <c r="F17"/>
  <c r="G17"/>
  <c r="H17"/>
  <c r="I17"/>
  <c r="J17"/>
  <c r="K17"/>
  <c r="L17"/>
  <c r="M17"/>
  <c r="N17"/>
  <c r="O17"/>
  <c r="P17"/>
  <c r="Q17"/>
  <c r="R17"/>
  <c r="S17"/>
  <c r="D18"/>
  <c r="E18"/>
  <c r="F18"/>
  <c r="G18"/>
  <c r="H18"/>
  <c r="I18"/>
  <c r="J18"/>
  <c r="K18"/>
  <c r="L18"/>
  <c r="M18"/>
  <c r="N18"/>
  <c r="O18"/>
  <c r="P18"/>
  <c r="Q18"/>
  <c r="R18"/>
  <c r="S18"/>
  <c r="C5"/>
  <c r="C6"/>
  <c r="C7"/>
  <c r="C8"/>
  <c r="C9"/>
  <c r="C10"/>
  <c r="C11"/>
  <c r="C12"/>
  <c r="C13"/>
  <c r="C14"/>
  <c r="C15"/>
  <c r="C16"/>
  <c r="C17"/>
  <c r="C18"/>
  <c r="C4"/>
  <c r="AD12" i="24"/>
  <c r="AC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X14"/>
  <c r="X15"/>
  <c r="X16"/>
  <c r="X17"/>
  <c r="X18"/>
  <c r="X19"/>
  <c r="X20"/>
  <c r="X21"/>
  <c r="X22"/>
  <c r="X23"/>
  <c r="X24"/>
  <c r="X25"/>
  <c r="X26"/>
  <c r="X27"/>
  <c r="X28"/>
  <c r="X29"/>
  <c r="X13"/>
  <c r="AB7"/>
  <c r="AB8"/>
  <c r="AB6"/>
  <c r="AB13"/>
  <c r="AA8"/>
  <c r="AA7"/>
  <c r="AA6"/>
  <c r="AA14"/>
  <c r="AA15"/>
  <c r="AA16"/>
  <c r="AA17"/>
  <c r="AA18"/>
  <c r="AA19"/>
  <c r="AA20"/>
  <c r="AA21"/>
  <c r="AA22"/>
  <c r="AA23"/>
  <c r="AA24"/>
  <c r="AA25"/>
  <c r="AA26"/>
  <c r="AA27"/>
  <c r="AA28"/>
  <c r="AA29"/>
  <c r="AA13"/>
  <c r="AB12"/>
  <c r="AA12"/>
  <c r="W22"/>
  <c r="AB22" s="1"/>
  <c r="W23"/>
  <c r="AB23" s="1"/>
  <c r="W24"/>
  <c r="AB24" s="1"/>
  <c r="W25"/>
  <c r="AB25" s="1"/>
  <c r="W26"/>
  <c r="AB26" s="1"/>
  <c r="W27"/>
  <c r="AB27" s="1"/>
  <c r="W28"/>
  <c r="AB28" s="1"/>
  <c r="W29"/>
  <c r="AB29" s="1"/>
  <c r="W14"/>
  <c r="AB14" s="1"/>
  <c r="W15"/>
  <c r="AB15" s="1"/>
  <c r="W16"/>
  <c r="AB16" s="1"/>
  <c r="W17"/>
  <c r="AB17" s="1"/>
  <c r="W18"/>
  <c r="AB18" s="1"/>
  <c r="W19"/>
  <c r="AB19" s="1"/>
  <c r="W20"/>
  <c r="AB20" s="1"/>
  <c r="W21"/>
  <c r="AB21" s="1"/>
  <c r="W13"/>
  <c r="E16" i="12"/>
  <c r="B25"/>
  <c r="E22" i="24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J22"/>
  <c r="J23"/>
  <c r="J24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I22"/>
  <c r="I23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G22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F22"/>
  <c r="F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D22"/>
  <c r="D23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C22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K23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L25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M27"/>
  <c r="M28"/>
  <c r="M29" s="1"/>
  <c r="M30" s="1"/>
  <c r="M31" s="1"/>
  <c r="M32" s="1"/>
  <c r="M33" s="1"/>
  <c r="M34" s="1"/>
  <c r="M35" s="1"/>
  <c r="M36" s="1"/>
  <c r="M37" s="1"/>
  <c r="M38" s="1"/>
  <c r="N29"/>
  <c r="N30"/>
  <c r="N31" s="1"/>
  <c r="N32" s="1"/>
  <c r="N33" s="1"/>
  <c r="N34" s="1"/>
  <c r="N35" s="1"/>
  <c r="N36" s="1"/>
  <c r="N37" s="1"/>
  <c r="N38" s="1"/>
  <c r="P33"/>
  <c r="P34" s="1"/>
  <c r="P35" s="1"/>
  <c r="P36" s="1"/>
  <c r="P37" s="1"/>
  <c r="P38" s="1"/>
  <c r="O31"/>
  <c r="O32"/>
  <c r="O33" s="1"/>
  <c r="O34" s="1"/>
  <c r="O35" s="1"/>
  <c r="O36" s="1"/>
  <c r="O37" s="1"/>
  <c r="O38" s="1"/>
  <c r="Q35"/>
  <c r="Q36"/>
  <c r="Q37" s="1"/>
  <c r="M16"/>
  <c r="M17" s="1"/>
  <c r="M18" s="1"/>
  <c r="M19" s="1"/>
  <c r="M20" s="1"/>
  <c r="L15"/>
  <c r="H11"/>
  <c r="B4"/>
  <c r="B5"/>
  <c r="B6"/>
  <c r="B7" s="1"/>
  <c r="B23"/>
  <c r="B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D7"/>
  <c r="C5"/>
  <c r="C6" s="1"/>
  <c r="D6"/>
  <c r="E7"/>
  <c r="E8" s="1"/>
  <c r="F8"/>
  <c r="F9" s="1"/>
  <c r="G9"/>
  <c r="G10" s="1"/>
  <c r="H10"/>
  <c r="I11"/>
  <c r="I12" s="1"/>
  <c r="J12"/>
  <c r="K13"/>
  <c r="K14" s="1"/>
  <c r="L14"/>
  <c r="M15"/>
  <c r="N16"/>
  <c r="N17" s="1"/>
  <c r="P18"/>
  <c r="P19" s="1"/>
  <c r="O17"/>
  <c r="O18" s="1"/>
  <c r="Q20"/>
  <c r="Q19"/>
  <c r="R40"/>
  <c r="R42" s="1"/>
  <c r="Y13" s="1"/>
  <c r="S40"/>
  <c r="S42" s="1"/>
  <c r="B14" i="16"/>
  <c r="C18" i="8"/>
  <c r="C19"/>
  <c r="H38" i="21"/>
  <c r="I38"/>
  <c r="I37"/>
  <c r="G37"/>
  <c r="G36"/>
  <c r="H36"/>
  <c r="I36"/>
  <c r="J36"/>
  <c r="H37"/>
  <c r="J37"/>
  <c r="G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AD7" i="16"/>
  <c r="AC7"/>
  <c r="B8"/>
  <c r="B10"/>
  <c r="B11"/>
  <c r="R7"/>
  <c r="S7"/>
  <c r="AD13"/>
  <c r="B36" s="1"/>
  <c r="AC8"/>
  <c r="AD8"/>
  <c r="B30" s="1"/>
  <c r="AC9"/>
  <c r="C37" s="1"/>
  <c r="AD9"/>
  <c r="C30" s="1"/>
  <c r="AC10"/>
  <c r="D37" s="1"/>
  <c r="AD10"/>
  <c r="D30" s="1"/>
  <c r="R11"/>
  <c r="S11"/>
  <c r="Z11"/>
  <c r="AC11"/>
  <c r="D29" s="1"/>
  <c r="AD11"/>
  <c r="D36" s="1"/>
  <c r="AC12"/>
  <c r="C29" s="1"/>
  <c r="AD12"/>
  <c r="R13"/>
  <c r="Z13"/>
  <c r="S13"/>
  <c r="AC13"/>
  <c r="B29" s="1"/>
  <c r="AD6"/>
  <c r="AA6"/>
  <c r="Z6"/>
  <c r="R12"/>
  <c r="T7"/>
  <c r="AA7"/>
  <c r="U7"/>
  <c r="V7" i="20"/>
  <c r="V8"/>
  <c r="V11"/>
  <c r="V12"/>
  <c r="V15"/>
  <c r="V16"/>
  <c r="V19"/>
  <c r="V20"/>
  <c r="V23"/>
  <c r="V27"/>
  <c r="V28"/>
  <c r="V31"/>
  <c r="V32"/>
  <c r="V35"/>
  <c r="V36"/>
  <c r="V39"/>
  <c r="V43"/>
  <c r="V44"/>
  <c r="V47"/>
  <c r="V48"/>
  <c r="V51"/>
  <c r="V52"/>
  <c r="V55"/>
  <c r="V59"/>
  <c r="V60"/>
  <c r="V63"/>
  <c r="V64"/>
  <c r="V67"/>
  <c r="V68"/>
  <c r="V71"/>
  <c r="V72"/>
  <c r="V75"/>
  <c r="V76"/>
  <c r="V79"/>
  <c r="V80"/>
  <c r="V83"/>
  <c r="V84"/>
  <c r="V87"/>
  <c r="V91"/>
  <c r="V92"/>
  <c r="V95"/>
  <c r="V96"/>
  <c r="V99"/>
  <c r="V100"/>
  <c r="V103"/>
  <c r="V107"/>
  <c r="V108"/>
  <c r="V111"/>
  <c r="V112"/>
  <c r="V115"/>
  <c r="V116"/>
  <c r="V119"/>
  <c r="S8"/>
  <c r="S9"/>
  <c r="S12"/>
  <c r="S13"/>
  <c r="S16"/>
  <c r="S17"/>
  <c r="V17"/>
  <c r="S20"/>
  <c r="S21"/>
  <c r="S22"/>
  <c r="V22"/>
  <c r="S24"/>
  <c r="S25"/>
  <c r="S28"/>
  <c r="S29"/>
  <c r="S32"/>
  <c r="S33"/>
  <c r="S36"/>
  <c r="S37"/>
  <c r="S38"/>
  <c r="V38"/>
  <c r="S40"/>
  <c r="S44"/>
  <c r="S45"/>
  <c r="S48"/>
  <c r="S49"/>
  <c r="V49"/>
  <c r="S50"/>
  <c r="V50"/>
  <c r="S52"/>
  <c r="S53"/>
  <c r="S54"/>
  <c r="V54"/>
  <c r="S56"/>
  <c r="S60"/>
  <c r="S61"/>
  <c r="S64"/>
  <c r="S65"/>
  <c r="V65"/>
  <c r="S66"/>
  <c r="V66"/>
  <c r="S68"/>
  <c r="S69"/>
  <c r="S70"/>
  <c r="V70"/>
  <c r="S72"/>
  <c r="S73"/>
  <c r="S76"/>
  <c r="S77"/>
  <c r="S80"/>
  <c r="S81"/>
  <c r="V81"/>
  <c r="S84"/>
  <c r="S85"/>
  <c r="S86"/>
  <c r="V86"/>
  <c r="S88"/>
  <c r="S89"/>
  <c r="S92"/>
  <c r="S93"/>
  <c r="S96"/>
  <c r="S97"/>
  <c r="S100"/>
  <c r="S101"/>
  <c r="S102"/>
  <c r="V102"/>
  <c r="S104"/>
  <c r="S108"/>
  <c r="S109"/>
  <c r="S112"/>
  <c r="S113"/>
  <c r="V113"/>
  <c r="S114"/>
  <c r="V114"/>
  <c r="S116"/>
  <c r="S117"/>
  <c r="S118"/>
  <c r="V118"/>
  <c r="S120"/>
  <c r="S3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T10" i="16"/>
  <c r="U10"/>
  <c r="T9"/>
  <c r="AA9"/>
  <c r="U9"/>
  <c r="T8"/>
  <c r="AA8"/>
  <c r="U8"/>
  <c r="A9"/>
  <c r="J46" i="17"/>
  <c r="L46" s="1"/>
  <c r="Q46" s="1"/>
  <c r="K46"/>
  <c r="M46" s="1"/>
  <c r="J47"/>
  <c r="L47" s="1"/>
  <c r="Q47" s="1"/>
  <c r="K47"/>
  <c r="M47" s="1"/>
  <c r="R47" s="1"/>
  <c r="J48"/>
  <c r="L48" s="1"/>
  <c r="Q48" s="1"/>
  <c r="K48"/>
  <c r="M48"/>
  <c r="J49"/>
  <c r="K49"/>
  <c r="M49" s="1"/>
  <c r="R49" s="1"/>
  <c r="L49"/>
  <c r="Q49" s="1"/>
  <c r="J50"/>
  <c r="L50" s="1"/>
  <c r="Q50" s="1"/>
  <c r="K50"/>
  <c r="M50" s="1"/>
  <c r="J51"/>
  <c r="L51" s="1"/>
  <c r="Q51" s="1"/>
  <c r="K51"/>
  <c r="M51" s="1"/>
  <c r="J52"/>
  <c r="L52" s="1"/>
  <c r="K52"/>
  <c r="M52" s="1"/>
  <c r="R52" s="1"/>
  <c r="J53"/>
  <c r="K53"/>
  <c r="M53" s="1"/>
  <c r="R53" s="1"/>
  <c r="L53"/>
  <c r="Q53" s="1"/>
  <c r="J54"/>
  <c r="L54" s="1"/>
  <c r="K54"/>
  <c r="Q54"/>
  <c r="M54"/>
  <c r="R54" s="1"/>
  <c r="J55"/>
  <c r="L55" s="1"/>
  <c r="Q55" s="1"/>
  <c r="K55"/>
  <c r="M55" s="1"/>
  <c r="R55" s="1"/>
  <c r="J56"/>
  <c r="L56" s="1"/>
  <c r="Q56" s="1"/>
  <c r="K56"/>
  <c r="M56"/>
  <c r="J57"/>
  <c r="L57" s="1"/>
  <c r="K57"/>
  <c r="M57" s="1"/>
  <c r="J58"/>
  <c r="K58"/>
  <c r="L58"/>
  <c r="Q58"/>
  <c r="M58"/>
  <c r="O58" s="1"/>
  <c r="R58"/>
  <c r="J59"/>
  <c r="L59" s="1"/>
  <c r="Q59" s="1"/>
  <c r="K59"/>
  <c r="M59" s="1"/>
  <c r="J60"/>
  <c r="L60"/>
  <c r="Q60" s="1"/>
  <c r="K60"/>
  <c r="M60" s="1"/>
  <c r="O60" s="1"/>
  <c r="J40"/>
  <c r="L40"/>
  <c r="Q40" s="1"/>
  <c r="K40"/>
  <c r="M40" s="1"/>
  <c r="O40" s="1"/>
  <c r="I21" i="21"/>
  <c r="N21"/>
  <c r="G21"/>
  <c r="H20"/>
  <c r="H24"/>
  <c r="M20"/>
  <c r="I20"/>
  <c r="I24"/>
  <c r="N20"/>
  <c r="H21"/>
  <c r="M21"/>
  <c r="H25"/>
  <c r="I25"/>
  <c r="G25"/>
  <c r="L21"/>
  <c r="G20"/>
  <c r="L20"/>
  <c r="G24"/>
  <c r="G10"/>
  <c r="H10"/>
  <c r="I10"/>
  <c r="J10"/>
  <c r="I20" i="16"/>
  <c r="I26"/>
  <c r="I25"/>
  <c r="I24"/>
  <c r="H20"/>
  <c r="J20"/>
  <c r="I21"/>
  <c r="I23"/>
  <c r="I22"/>
  <c r="J26"/>
  <c r="J25"/>
  <c r="J24"/>
  <c r="J22"/>
  <c r="J21"/>
  <c r="K26"/>
  <c r="K25"/>
  <c r="K24"/>
  <c r="K23"/>
  <c r="K22"/>
  <c r="K21"/>
  <c r="K20"/>
  <c r="H26"/>
  <c r="H25"/>
  <c r="H24"/>
  <c r="H23"/>
  <c r="H22"/>
  <c r="H21"/>
  <c r="F2" i="23"/>
  <c r="B3"/>
  <c r="F3"/>
  <c r="B4"/>
  <c r="F4"/>
  <c r="B5"/>
  <c r="F5"/>
  <c r="B6"/>
  <c r="F6"/>
  <c r="B7"/>
  <c r="F7"/>
  <c r="B8"/>
  <c r="F8"/>
  <c r="B9"/>
  <c r="F9"/>
  <c r="B10"/>
  <c r="F10"/>
  <c r="B11"/>
  <c r="F11"/>
  <c r="B12"/>
  <c r="F12"/>
  <c r="B13"/>
  <c r="F13"/>
  <c r="B14"/>
  <c r="F14"/>
  <c r="B15"/>
  <c r="F15"/>
  <c r="F16"/>
  <c r="B17"/>
  <c r="F17"/>
  <c r="B18"/>
  <c r="F18"/>
  <c r="B19"/>
  <c r="B20"/>
  <c r="F20"/>
  <c r="B21"/>
  <c r="F21"/>
  <c r="B22"/>
  <c r="F22"/>
  <c r="B23"/>
  <c r="F23"/>
  <c r="B24"/>
  <c r="F24"/>
  <c r="B25"/>
  <c r="F25"/>
  <c r="B26"/>
  <c r="F26"/>
  <c r="B27"/>
  <c r="F27"/>
  <c r="B28"/>
  <c r="F28"/>
  <c r="B29"/>
  <c r="F29"/>
  <c r="B30"/>
  <c r="F30"/>
  <c r="J44" i="17"/>
  <c r="L44" s="1"/>
  <c r="Q44" s="1"/>
  <c r="K44"/>
  <c r="M44" s="1"/>
  <c r="L25" i="22"/>
  <c r="K25"/>
  <c r="J25"/>
  <c r="L21"/>
  <c r="K21"/>
  <c r="J21"/>
  <c r="H25"/>
  <c r="G25"/>
  <c r="F25"/>
  <c r="H21"/>
  <c r="G21"/>
  <c r="F21"/>
  <c r="D25"/>
  <c r="C25"/>
  <c r="B25"/>
  <c r="D21"/>
  <c r="C21"/>
  <c r="B21"/>
  <c r="L12"/>
  <c r="K12"/>
  <c r="J12"/>
  <c r="L8"/>
  <c r="K8"/>
  <c r="J8"/>
  <c r="G12"/>
  <c r="H12"/>
  <c r="F12"/>
  <c r="H8"/>
  <c r="G8"/>
  <c r="F8"/>
  <c r="D12"/>
  <c r="C12"/>
  <c r="B12"/>
  <c r="D8"/>
  <c r="C8"/>
  <c r="B8"/>
  <c r="J3" i="21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1"/>
  <c r="H11"/>
  <c r="I11"/>
  <c r="G12"/>
  <c r="H12"/>
  <c r="I12"/>
  <c r="G13"/>
  <c r="H13"/>
  <c r="I13"/>
  <c r="G17"/>
  <c r="H17"/>
  <c r="I17"/>
  <c r="G14"/>
  <c r="H14"/>
  <c r="I14"/>
  <c r="G15"/>
  <c r="H15"/>
  <c r="I15"/>
  <c r="G16"/>
  <c r="H16"/>
  <c r="I16"/>
  <c r="G18"/>
  <c r="H18"/>
  <c r="I18"/>
  <c r="G19"/>
  <c r="H19"/>
  <c r="I19"/>
  <c r="G22"/>
  <c r="H22"/>
  <c r="I22"/>
  <c r="G23"/>
  <c r="H23"/>
  <c r="I23"/>
  <c r="G26"/>
  <c r="H26"/>
  <c r="I26"/>
  <c r="G27"/>
  <c r="H27"/>
  <c r="I27"/>
  <c r="G28"/>
  <c r="H28"/>
  <c r="I28"/>
  <c r="G29"/>
  <c r="H29"/>
  <c r="L29"/>
  <c r="I29"/>
  <c r="G30"/>
  <c r="H30"/>
  <c r="L30"/>
  <c r="I30"/>
  <c r="G31"/>
  <c r="H31"/>
  <c r="L31"/>
  <c r="I31"/>
  <c r="G32"/>
  <c r="H32"/>
  <c r="I32"/>
  <c r="G33"/>
  <c r="H33"/>
  <c r="I33"/>
  <c r="G34"/>
  <c r="H34"/>
  <c r="I34"/>
  <c r="G35"/>
  <c r="H35"/>
  <c r="I35"/>
  <c r="I2"/>
  <c r="G2"/>
  <c r="K42" i="17"/>
  <c r="M42"/>
  <c r="R42" s="1"/>
  <c r="J42"/>
  <c r="L42" s="1"/>
  <c r="Q42" s="1"/>
  <c r="I5" i="19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Q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L4"/>
  <c r="B5"/>
  <c r="E5"/>
  <c r="C5"/>
  <c r="B6"/>
  <c r="C6"/>
  <c r="B7"/>
  <c r="C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D5"/>
  <c r="D6"/>
  <c r="D7"/>
  <c r="D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G5"/>
  <c r="N14" i="20"/>
  <c r="N13"/>
  <c r="M13"/>
  <c r="N12"/>
  <c r="M12"/>
  <c r="N11"/>
  <c r="M11"/>
  <c r="N10"/>
  <c r="M10"/>
  <c r="H5" i="19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M9" i="20"/>
  <c r="M8"/>
  <c r="M7"/>
  <c r="M6"/>
  <c r="M5"/>
  <c r="M4"/>
  <c r="M3"/>
  <c r="M2"/>
  <c r="E4" i="19"/>
  <c r="J39" i="17"/>
  <c r="L39" s="1"/>
  <c r="Q39" s="1"/>
  <c r="K39"/>
  <c r="M39"/>
  <c r="R39" s="1"/>
  <c r="K37"/>
  <c r="M37" s="1"/>
  <c r="A6" i="14"/>
  <c r="A9"/>
  <c r="J33" i="17"/>
  <c r="L33" s="1"/>
  <c r="K33"/>
  <c r="M33"/>
  <c r="O33" s="1"/>
  <c r="H33" i="9"/>
  <c r="H34"/>
  <c r="H35"/>
  <c r="H36"/>
  <c r="H32"/>
  <c r="I36"/>
  <c r="J36"/>
  <c r="P36"/>
  <c r="K36"/>
  <c r="O36"/>
  <c r="Q36"/>
  <c r="I34"/>
  <c r="J34"/>
  <c r="P34"/>
  <c r="K34"/>
  <c r="I35"/>
  <c r="J35"/>
  <c r="P35"/>
  <c r="K35"/>
  <c r="O35"/>
  <c r="Q35"/>
  <c r="I33"/>
  <c r="O33"/>
  <c r="J33"/>
  <c r="K33"/>
  <c r="I32"/>
  <c r="J32"/>
  <c r="P32"/>
  <c r="K32"/>
  <c r="O32"/>
  <c r="Q32"/>
  <c r="C5"/>
  <c r="K13"/>
  <c r="P11"/>
  <c r="P12"/>
  <c r="P13"/>
  <c r="P14"/>
  <c r="P15"/>
  <c r="P16"/>
  <c r="P17"/>
  <c r="P10"/>
  <c r="N11"/>
  <c r="Q11"/>
  <c r="N12"/>
  <c r="Q12"/>
  <c r="N13"/>
  <c r="Q13"/>
  <c r="N14"/>
  <c r="N15"/>
  <c r="Q15"/>
  <c r="N16"/>
  <c r="Q16"/>
  <c r="N17"/>
  <c r="Q17"/>
  <c r="N10"/>
  <c r="Q10"/>
  <c r="B5"/>
  <c r="J28" i="17"/>
  <c r="L28" s="1"/>
  <c r="K28"/>
  <c r="M28" s="1"/>
  <c r="O28" s="1"/>
  <c r="J30"/>
  <c r="K30"/>
  <c r="M30" s="1"/>
  <c r="O30" s="1"/>
  <c r="L30"/>
  <c r="J32"/>
  <c r="L32"/>
  <c r="K32"/>
  <c r="M32" s="1"/>
  <c r="O32" s="1"/>
  <c r="J27"/>
  <c r="L27" s="1"/>
  <c r="K27"/>
  <c r="M27" s="1"/>
  <c r="J26"/>
  <c r="L26" s="1"/>
  <c r="O26" s="1"/>
  <c r="K26"/>
  <c r="M26"/>
  <c r="J6"/>
  <c r="L6" s="1"/>
  <c r="K7"/>
  <c r="M7" s="1"/>
  <c r="O7" s="1"/>
  <c r="J10"/>
  <c r="L10" s="1"/>
  <c r="K11"/>
  <c r="M11" s="1"/>
  <c r="O11" s="1"/>
  <c r="J11"/>
  <c r="L11"/>
  <c r="K14"/>
  <c r="M14" s="1"/>
  <c r="J14"/>
  <c r="L14" s="1"/>
  <c r="K15"/>
  <c r="M15" s="1"/>
  <c r="O15" s="1"/>
  <c r="K16"/>
  <c r="M16" s="1"/>
  <c r="O16" s="1"/>
  <c r="J16"/>
  <c r="L16"/>
  <c r="K17"/>
  <c r="M17" s="1"/>
  <c r="J17"/>
  <c r="L17" s="1"/>
  <c r="O17" s="1"/>
  <c r="K20"/>
  <c r="M20" s="1"/>
  <c r="J20"/>
  <c r="L20" s="1"/>
  <c r="J22"/>
  <c r="L22"/>
  <c r="D68"/>
  <c r="D74"/>
  <c r="AA18" i="8"/>
  <c r="J37" i="17"/>
  <c r="L37" s="1"/>
  <c r="Q37" s="1"/>
  <c r="AA17" i="8"/>
  <c r="J15" i="17"/>
  <c r="L15" s="1"/>
  <c r="D37" i="14"/>
  <c r="C37"/>
  <c r="B37"/>
  <c r="B40"/>
  <c r="T11" i="16"/>
  <c r="U11"/>
  <c r="T12"/>
  <c r="U12"/>
  <c r="T13"/>
  <c r="U13"/>
  <c r="P25"/>
  <c r="R10"/>
  <c r="S10"/>
  <c r="R9"/>
  <c r="R8"/>
  <c r="A6"/>
  <c r="R6"/>
  <c r="T6"/>
  <c r="AC6"/>
  <c r="B15"/>
  <c r="D16"/>
  <c r="L20"/>
  <c r="L21"/>
  <c r="L22"/>
  <c r="L24"/>
  <c r="O25"/>
  <c r="L26"/>
  <c r="H46"/>
  <c r="I46"/>
  <c r="J46"/>
  <c r="K46"/>
  <c r="B8" i="14"/>
  <c r="B10"/>
  <c r="B11"/>
  <c r="E21"/>
  <c r="B14"/>
  <c r="W8"/>
  <c r="W11"/>
  <c r="T13"/>
  <c r="U13"/>
  <c r="R8"/>
  <c r="S8"/>
  <c r="T12"/>
  <c r="U12"/>
  <c r="X12"/>
  <c r="R9"/>
  <c r="T11"/>
  <c r="U11"/>
  <c r="R10"/>
  <c r="W10"/>
  <c r="S10"/>
  <c r="T10"/>
  <c r="U10"/>
  <c r="X10"/>
  <c r="P29" s="1"/>
  <c r="R11"/>
  <c r="S11"/>
  <c r="T9"/>
  <c r="U9"/>
  <c r="R12"/>
  <c r="S12"/>
  <c r="W12"/>
  <c r="T8"/>
  <c r="U8"/>
  <c r="X8"/>
  <c r="R13"/>
  <c r="S13"/>
  <c r="T7"/>
  <c r="R7"/>
  <c r="S7"/>
  <c r="P25"/>
  <c r="O25"/>
  <c r="X6"/>
  <c r="W6"/>
  <c r="E14" i="8"/>
  <c r="T6" i="14"/>
  <c r="R6"/>
  <c r="B15"/>
  <c r="D16"/>
  <c r="B20"/>
  <c r="C22"/>
  <c r="C52"/>
  <c r="C20"/>
  <c r="C24"/>
  <c r="D20"/>
  <c r="H20"/>
  <c r="H21"/>
  <c r="I20"/>
  <c r="H24"/>
  <c r="J20"/>
  <c r="K20"/>
  <c r="L20"/>
  <c r="D21"/>
  <c r="J21"/>
  <c r="K21"/>
  <c r="E22"/>
  <c r="J22"/>
  <c r="J52"/>
  <c r="K22"/>
  <c r="C23"/>
  <c r="D23"/>
  <c r="E23"/>
  <c r="H23"/>
  <c r="J23"/>
  <c r="K23"/>
  <c r="B24"/>
  <c r="E24"/>
  <c r="J24"/>
  <c r="K24"/>
  <c r="C25"/>
  <c r="D25"/>
  <c r="E25"/>
  <c r="H25"/>
  <c r="H53"/>
  <c r="I25"/>
  <c r="K25"/>
  <c r="B26"/>
  <c r="E26"/>
  <c r="J26"/>
  <c r="K26"/>
  <c r="B31"/>
  <c r="C31"/>
  <c r="D31"/>
  <c r="B32"/>
  <c r="C32"/>
  <c r="D32"/>
  <c r="B33"/>
  <c r="C33"/>
  <c r="D33"/>
  <c r="B38"/>
  <c r="B48"/>
  <c r="F48"/>
  <c r="C38"/>
  <c r="D38"/>
  <c r="C39"/>
  <c r="D39"/>
  <c r="C40"/>
  <c r="D40"/>
  <c r="B46"/>
  <c r="C46"/>
  <c r="E46"/>
  <c r="H46"/>
  <c r="H47"/>
  <c r="I46"/>
  <c r="J46"/>
  <c r="L46"/>
  <c r="K46"/>
  <c r="C47"/>
  <c r="I47"/>
  <c r="C48"/>
  <c r="D48"/>
  <c r="I48"/>
  <c r="J48"/>
  <c r="C49"/>
  <c r="D49"/>
  <c r="I49"/>
  <c r="J49"/>
  <c r="C51"/>
  <c r="D51"/>
  <c r="I51"/>
  <c r="J51"/>
  <c r="C53"/>
  <c r="D53"/>
  <c r="I53"/>
  <c r="D30" i="4"/>
  <c r="I14" i="12"/>
  <c r="L14"/>
  <c r="I15"/>
  <c r="L15"/>
  <c r="I16"/>
  <c r="I25"/>
  <c r="E15"/>
  <c r="I13"/>
  <c r="L5" i="13"/>
  <c r="K6"/>
  <c r="L6"/>
  <c r="K3"/>
  <c r="J4"/>
  <c r="L4"/>
  <c r="J5"/>
  <c r="J6"/>
  <c r="J7"/>
  <c r="L7"/>
  <c r="J8"/>
  <c r="L8"/>
  <c r="J3"/>
  <c r="G3"/>
  <c r="H10"/>
  <c r="G4"/>
  <c r="G11"/>
  <c r="H4"/>
  <c r="G5"/>
  <c r="K5"/>
  <c r="H5"/>
  <c r="G6"/>
  <c r="H6"/>
  <c r="G7"/>
  <c r="K7"/>
  <c r="H7"/>
  <c r="G8"/>
  <c r="H8"/>
  <c r="H3"/>
  <c r="L3"/>
  <c r="B13" i="12"/>
  <c r="F14" i="8"/>
  <c r="C15"/>
  <c r="F15"/>
  <c r="E15"/>
  <c r="C16"/>
  <c r="F16"/>
  <c r="E18"/>
  <c r="E19"/>
  <c r="C20"/>
  <c r="E20"/>
  <c r="E26"/>
  <c r="J26"/>
  <c r="C21"/>
  <c r="C27"/>
  <c r="H27"/>
  <c r="E21"/>
  <c r="C24"/>
  <c r="H24"/>
  <c r="D5" i="9"/>
  <c r="B10"/>
  <c r="C10"/>
  <c r="D10"/>
  <c r="B15"/>
  <c r="C15"/>
  <c r="D15"/>
  <c r="B20"/>
  <c r="C20"/>
  <c r="D20"/>
  <c r="B25"/>
  <c r="C25"/>
  <c r="D25"/>
  <c r="B30"/>
  <c r="C30"/>
  <c r="D30"/>
  <c r="B35"/>
  <c r="C35"/>
  <c r="D35"/>
  <c r="B7" i="4"/>
  <c r="B9"/>
  <c r="B10"/>
  <c r="B13"/>
  <c r="B14"/>
  <c r="H19"/>
  <c r="I19"/>
  <c r="L19"/>
  <c r="J19"/>
  <c r="J20"/>
  <c r="K19"/>
  <c r="H20"/>
  <c r="K20"/>
  <c r="H21"/>
  <c r="I21"/>
  <c r="L21"/>
  <c r="J21"/>
  <c r="K21"/>
  <c r="H22"/>
  <c r="K22"/>
  <c r="I23"/>
  <c r="K23"/>
  <c r="K24"/>
  <c r="I25"/>
  <c r="K25"/>
  <c r="B30"/>
  <c r="H50"/>
  <c r="L50"/>
  <c r="C30"/>
  <c r="B31"/>
  <c r="C31"/>
  <c r="D31"/>
  <c r="B32"/>
  <c r="C32"/>
  <c r="D32"/>
  <c r="B37"/>
  <c r="B47"/>
  <c r="C37"/>
  <c r="D37"/>
  <c r="B38"/>
  <c r="C38"/>
  <c r="D38"/>
  <c r="B39"/>
  <c r="C39"/>
  <c r="D39"/>
  <c r="H45"/>
  <c r="H46"/>
  <c r="I45"/>
  <c r="J45"/>
  <c r="L45"/>
  <c r="K45"/>
  <c r="I46"/>
  <c r="I47"/>
  <c r="J47"/>
  <c r="H48"/>
  <c r="I48"/>
  <c r="L48"/>
  <c r="J48"/>
  <c r="I50"/>
  <c r="J50"/>
  <c r="I51"/>
  <c r="J51"/>
  <c r="E26" i="16"/>
  <c r="E22"/>
  <c r="E23"/>
  <c r="B8" i="19"/>
  <c r="E7"/>
  <c r="D22" i="4"/>
  <c r="E25"/>
  <c r="C47"/>
  <c r="C48"/>
  <c r="C19"/>
  <c r="C50"/>
  <c r="E20"/>
  <c r="E22"/>
  <c r="C23"/>
  <c r="E24"/>
  <c r="D45"/>
  <c r="D46"/>
  <c r="B19"/>
  <c r="C45"/>
  <c r="C46"/>
  <c r="E19"/>
  <c r="E21"/>
  <c r="C22"/>
  <c r="E23"/>
  <c r="B45"/>
  <c r="D47"/>
  <c r="D48"/>
  <c r="D19"/>
  <c r="D50"/>
  <c r="B24"/>
  <c r="D25"/>
  <c r="E45"/>
  <c r="L11" i="13"/>
  <c r="L10"/>
  <c r="D14" i="4"/>
  <c r="D15"/>
  <c r="C25" i="8"/>
  <c r="H25"/>
  <c r="C26"/>
  <c r="H26"/>
  <c r="E24"/>
  <c r="J24"/>
  <c r="E25"/>
  <c r="J25"/>
  <c r="F47" i="4"/>
  <c r="F46" i="14"/>
  <c r="L46" i="4"/>
  <c r="L53" i="14"/>
  <c r="K10" i="13"/>
  <c r="M10"/>
  <c r="M14"/>
  <c r="L24" i="14"/>
  <c r="Q33" i="9"/>
  <c r="E27" i="8"/>
  <c r="J27"/>
  <c r="I11" i="13"/>
  <c r="I15"/>
  <c r="L25" i="16"/>
  <c r="Z9"/>
  <c r="S9"/>
  <c r="V77" i="20"/>
  <c r="S78"/>
  <c r="V78"/>
  <c r="S41"/>
  <c r="V40"/>
  <c r="V29"/>
  <c r="S30"/>
  <c r="V30"/>
  <c r="I19" i="12"/>
  <c r="L25" i="14"/>
  <c r="L46" i="16"/>
  <c r="J46" i="4"/>
  <c r="J25"/>
  <c r="H24"/>
  <c r="J23"/>
  <c r="G10" i="13"/>
  <c r="I10"/>
  <c r="I14"/>
  <c r="J47" i="14"/>
  <c r="L47"/>
  <c r="I23"/>
  <c r="L23"/>
  <c r="I21"/>
  <c r="L21"/>
  <c r="B21"/>
  <c r="U7"/>
  <c r="X7"/>
  <c r="Z8" i="16"/>
  <c r="Q14" i="9"/>
  <c r="I24" i="4"/>
  <c r="I52"/>
  <c r="I22"/>
  <c r="I20"/>
  <c r="L20"/>
  <c r="H51"/>
  <c r="L51"/>
  <c r="B48"/>
  <c r="F48"/>
  <c r="H47"/>
  <c r="L47"/>
  <c r="H25"/>
  <c r="J24"/>
  <c r="J52"/>
  <c r="H23"/>
  <c r="L23"/>
  <c r="J22"/>
  <c r="H11" i="13"/>
  <c r="H51" i="14"/>
  <c r="L51"/>
  <c r="B51"/>
  <c r="F51"/>
  <c r="B49"/>
  <c r="F49"/>
  <c r="H48"/>
  <c r="L48"/>
  <c r="B47"/>
  <c r="F47"/>
  <c r="D46"/>
  <c r="D47"/>
  <c r="B39"/>
  <c r="H49"/>
  <c r="L49"/>
  <c r="I26"/>
  <c r="D26"/>
  <c r="B25"/>
  <c r="I24"/>
  <c r="D24"/>
  <c r="F24"/>
  <c r="B23"/>
  <c r="F23"/>
  <c r="I22"/>
  <c r="I52"/>
  <c r="D22"/>
  <c r="D52"/>
  <c r="D15"/>
  <c r="X9"/>
  <c r="X11"/>
  <c r="X13"/>
  <c r="W7"/>
  <c r="AA12" i="16"/>
  <c r="P33" i="9"/>
  <c r="O34"/>
  <c r="Q34"/>
  <c r="W9" i="14"/>
  <c r="S9"/>
  <c r="E20"/>
  <c r="F20"/>
  <c r="C21"/>
  <c r="R57" i="17"/>
  <c r="K8" i="13"/>
  <c r="K4"/>
  <c r="K11"/>
  <c r="M11"/>
  <c r="M15"/>
  <c r="L16" i="12"/>
  <c r="B22" i="14"/>
  <c r="D15" i="16"/>
  <c r="E6" i="19"/>
  <c r="H26" i="14"/>
  <c r="L26"/>
  <c r="C26"/>
  <c r="F26"/>
  <c r="J25"/>
  <c r="J53"/>
  <c r="H22"/>
  <c r="W13"/>
  <c r="O32" s="1"/>
  <c r="S8" i="16"/>
  <c r="V97" i="20"/>
  <c r="S98"/>
  <c r="V98"/>
  <c r="S57"/>
  <c r="V56"/>
  <c r="K22" i="17"/>
  <c r="M22" s="1"/>
  <c r="O22" s="1"/>
  <c r="K10"/>
  <c r="M10" s="1"/>
  <c r="O10" s="1"/>
  <c r="K6"/>
  <c r="M6" s="1"/>
  <c r="O6" s="1"/>
  <c r="J38"/>
  <c r="L38"/>
  <c r="Q38" s="1"/>
  <c r="L28" i="21"/>
  <c r="L37"/>
  <c r="Z10" i="16"/>
  <c r="AA13"/>
  <c r="AA11"/>
  <c r="AA19" i="8"/>
  <c r="J7" i="17"/>
  <c r="L7" s="1"/>
  <c r="K38"/>
  <c r="M38"/>
  <c r="R38" s="1"/>
  <c r="P5" i="19"/>
  <c r="Q5" s="1"/>
  <c r="P6" s="1"/>
  <c r="Q6" s="1"/>
  <c r="P7" s="1"/>
  <c r="Q7" s="1"/>
  <c r="P8" s="1"/>
  <c r="Q8" s="1"/>
  <c r="P9" s="1"/>
  <c r="Q9" s="1"/>
  <c r="P10" s="1"/>
  <c r="Q10" s="1"/>
  <c r="P11" s="1"/>
  <c r="Q11" s="1"/>
  <c r="P12" s="1"/>
  <c r="Q12" s="1"/>
  <c r="P13" s="1"/>
  <c r="Q13" s="1"/>
  <c r="P14" s="1"/>
  <c r="Q14" s="1"/>
  <c r="P15" s="1"/>
  <c r="Q15" s="1"/>
  <c r="P16" s="1"/>
  <c r="Q16" s="1"/>
  <c r="P17" s="1"/>
  <c r="Q17" s="1"/>
  <c r="P18" s="1"/>
  <c r="Q18" s="1"/>
  <c r="P19" s="1"/>
  <c r="Q19" s="1"/>
  <c r="P20" s="1"/>
  <c r="Q20" s="1"/>
  <c r="P21" s="1"/>
  <c r="Q21" s="1"/>
  <c r="P22" s="1"/>
  <c r="Q22" s="1"/>
  <c r="P23" s="1"/>
  <c r="Q23" s="1"/>
  <c r="P24" s="1"/>
  <c r="Q24" s="1"/>
  <c r="P25" s="1"/>
  <c r="Q25" s="1"/>
  <c r="P26" s="1"/>
  <c r="Q26" s="1"/>
  <c r="P27" s="1"/>
  <c r="Q27" s="1"/>
  <c r="P28" s="1"/>
  <c r="Q28" s="1"/>
  <c r="P29" s="1"/>
  <c r="Q29" s="1"/>
  <c r="P30" s="1"/>
  <c r="Q30" s="1"/>
  <c r="P31" s="1"/>
  <c r="Q31" s="1"/>
  <c r="P32" s="1"/>
  <c r="Q32" s="1"/>
  <c r="P33" s="1"/>
  <c r="Q33" s="1"/>
  <c r="P34" s="1"/>
  <c r="Q34" s="1"/>
  <c r="P35" s="1"/>
  <c r="Q35" s="1"/>
  <c r="P36" s="1"/>
  <c r="Q36" s="1"/>
  <c r="P37" s="1"/>
  <c r="Q37" s="1"/>
  <c r="P38" s="1"/>
  <c r="Q38" s="1"/>
  <c r="P39" s="1"/>
  <c r="Q39" s="1"/>
  <c r="P40" s="1"/>
  <c r="Q40" s="1"/>
  <c r="P41" s="1"/>
  <c r="Q41" s="1"/>
  <c r="P42" s="1"/>
  <c r="Q42" s="1"/>
  <c r="P43" s="1"/>
  <c r="Q43" s="1"/>
  <c r="P44" s="1"/>
  <c r="Q44" s="1"/>
  <c r="P45" s="1"/>
  <c r="Q45" s="1"/>
  <c r="P46" s="1"/>
  <c r="Q46" s="1"/>
  <c r="P47" s="1"/>
  <c r="Q47" s="1"/>
  <c r="P48" s="1"/>
  <c r="Q48" s="1"/>
  <c r="P49" s="1"/>
  <c r="Q49" s="1"/>
  <c r="P50" s="1"/>
  <c r="Q50" s="1"/>
  <c r="P51" s="1"/>
  <c r="Q51" s="1"/>
  <c r="P52" s="1"/>
  <c r="Q52" s="1"/>
  <c r="P53" s="1"/>
  <c r="Q53" s="1"/>
  <c r="P54" s="1"/>
  <c r="Q54" s="1"/>
  <c r="P55" s="1"/>
  <c r="Q55" s="1"/>
  <c r="P56" s="1"/>
  <c r="Q56" s="1"/>
  <c r="P57" s="1"/>
  <c r="Q57" s="1"/>
  <c r="P58" s="1"/>
  <c r="Q58" s="1"/>
  <c r="P59" s="1"/>
  <c r="Q59" s="1"/>
  <c r="P60" s="1"/>
  <c r="Q60" s="1"/>
  <c r="P61" s="1"/>
  <c r="Q61" s="1"/>
  <c r="P62" s="1"/>
  <c r="Q62" s="1"/>
  <c r="P63" s="1"/>
  <c r="Q63" s="1"/>
  <c r="P64" s="1"/>
  <c r="Q64" s="1"/>
  <c r="P65" s="1"/>
  <c r="Q65" s="1"/>
  <c r="P66" s="1"/>
  <c r="Q66" s="1"/>
  <c r="P67" s="1"/>
  <c r="Q67" s="1"/>
  <c r="P68" s="1"/>
  <c r="Q68" s="1"/>
  <c r="P69" s="1"/>
  <c r="Q69" s="1"/>
  <c r="P70" s="1"/>
  <c r="Q70" s="1"/>
  <c r="P71" s="1"/>
  <c r="Q71" s="1"/>
  <c r="P72" s="1"/>
  <c r="Q72" s="1"/>
  <c r="P73" s="1"/>
  <c r="Q73" s="1"/>
  <c r="P74" s="1"/>
  <c r="Q74" s="1"/>
  <c r="P75" s="1"/>
  <c r="Q75" s="1"/>
  <c r="P76" s="1"/>
  <c r="Q76" s="1"/>
  <c r="P77" s="1"/>
  <c r="Q77" s="1"/>
  <c r="P78" s="1"/>
  <c r="Q78" s="1"/>
  <c r="P79" s="1"/>
  <c r="Q79" s="1"/>
  <c r="P80" s="1"/>
  <c r="Q80" s="1"/>
  <c r="P81" s="1"/>
  <c r="Q81" s="1"/>
  <c r="P82" s="1"/>
  <c r="Q82" s="1"/>
  <c r="P83" s="1"/>
  <c r="Q83" s="1"/>
  <c r="P84" s="1"/>
  <c r="Q84" s="1"/>
  <c r="P85" s="1"/>
  <c r="Q85" s="1"/>
  <c r="P86" s="1"/>
  <c r="Q86" s="1"/>
  <c r="P87" s="1"/>
  <c r="Q87" s="1"/>
  <c r="P88" s="1"/>
  <c r="Q88" s="1"/>
  <c r="P89" s="1"/>
  <c r="Q89" s="1"/>
  <c r="P90" s="1"/>
  <c r="Q90" s="1"/>
  <c r="P91" s="1"/>
  <c r="Q91" s="1"/>
  <c r="P92" s="1"/>
  <c r="Q92" s="1"/>
  <c r="P93" s="1"/>
  <c r="Q93" s="1"/>
  <c r="P94" s="1"/>
  <c r="Q94" s="1"/>
  <c r="P95" s="1"/>
  <c r="Q95" s="1"/>
  <c r="P96" s="1"/>
  <c r="Q96" s="1"/>
  <c r="P97" s="1"/>
  <c r="Q97" s="1"/>
  <c r="P98" s="1"/>
  <c r="Q98" s="1"/>
  <c r="P99" s="1"/>
  <c r="Q99" s="1"/>
  <c r="P100" s="1"/>
  <c r="Q100" s="1"/>
  <c r="P101" s="1"/>
  <c r="Q101" s="1"/>
  <c r="P102" s="1"/>
  <c r="Q102" s="1"/>
  <c r="P103" s="1"/>
  <c r="Q103" s="1"/>
  <c r="P104" s="1"/>
  <c r="Q104" s="1"/>
  <c r="P105" s="1"/>
  <c r="Q105" s="1"/>
  <c r="P106" s="1"/>
  <c r="Q106" s="1"/>
  <c r="P107" s="1"/>
  <c r="Q107" s="1"/>
  <c r="P108" s="1"/>
  <c r="Q108" s="1"/>
  <c r="P109" s="1"/>
  <c r="Q109" s="1"/>
  <c r="P110" s="1"/>
  <c r="Q110" s="1"/>
  <c r="P111" s="1"/>
  <c r="Q111" s="1"/>
  <c r="P112" s="1"/>
  <c r="Q112" s="1"/>
  <c r="P113" s="1"/>
  <c r="Q113" s="1"/>
  <c r="P114" s="1"/>
  <c r="Q114" s="1"/>
  <c r="P115" s="1"/>
  <c r="Q115" s="1"/>
  <c r="S121" i="20"/>
  <c r="V120"/>
  <c r="V33"/>
  <c r="S34"/>
  <c r="V34"/>
  <c r="K5" i="19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K25" s="1"/>
  <c r="L25" s="1"/>
  <c r="K26" s="1"/>
  <c r="L26" s="1"/>
  <c r="K27" s="1"/>
  <c r="L27" s="1"/>
  <c r="K28" s="1"/>
  <c r="L28" s="1"/>
  <c r="K29" s="1"/>
  <c r="L29" s="1"/>
  <c r="K30" s="1"/>
  <c r="L30" s="1"/>
  <c r="K31" s="1"/>
  <c r="L31" s="1"/>
  <c r="K32" s="1"/>
  <c r="L32" s="1"/>
  <c r="K33" s="1"/>
  <c r="L33" s="1"/>
  <c r="K34" s="1"/>
  <c r="L34" s="1"/>
  <c r="K35" s="1"/>
  <c r="L35" s="1"/>
  <c r="K36" s="1"/>
  <c r="L36" s="1"/>
  <c r="K37" s="1"/>
  <c r="L37" s="1"/>
  <c r="K38" s="1"/>
  <c r="L38" s="1"/>
  <c r="K39" s="1"/>
  <c r="L39" s="1"/>
  <c r="K40" s="1"/>
  <c r="L40" s="1"/>
  <c r="K41" s="1"/>
  <c r="L41" s="1"/>
  <c r="K42" s="1"/>
  <c r="L42" s="1"/>
  <c r="K43" s="1"/>
  <c r="L43" s="1"/>
  <c r="K44" s="1"/>
  <c r="L44" s="1"/>
  <c r="K45" s="1"/>
  <c r="L45" s="1"/>
  <c r="K46" s="1"/>
  <c r="L46" s="1"/>
  <c r="K47" s="1"/>
  <c r="L47" s="1"/>
  <c r="K48" s="1"/>
  <c r="L48" s="1"/>
  <c r="K49" s="1"/>
  <c r="L49" s="1"/>
  <c r="K50" s="1"/>
  <c r="L50" s="1"/>
  <c r="K51" s="1"/>
  <c r="L51" s="1"/>
  <c r="K52" s="1"/>
  <c r="L52" s="1"/>
  <c r="K53" s="1"/>
  <c r="L53" s="1"/>
  <c r="K54" s="1"/>
  <c r="L54" s="1"/>
  <c r="K55" s="1"/>
  <c r="L55" s="1"/>
  <c r="K56" s="1"/>
  <c r="L56" s="1"/>
  <c r="K57" s="1"/>
  <c r="L57" s="1"/>
  <c r="K58" s="1"/>
  <c r="L58" s="1"/>
  <c r="K59" s="1"/>
  <c r="L59" s="1"/>
  <c r="K60" s="1"/>
  <c r="L60" s="1"/>
  <c r="K61" s="1"/>
  <c r="L61" s="1"/>
  <c r="K62" s="1"/>
  <c r="L62" s="1"/>
  <c r="K63" s="1"/>
  <c r="L63" s="1"/>
  <c r="K64" s="1"/>
  <c r="L64" s="1"/>
  <c r="K65" s="1"/>
  <c r="L65" s="1"/>
  <c r="K66" s="1"/>
  <c r="L66" s="1"/>
  <c r="K67" s="1"/>
  <c r="L67" s="1"/>
  <c r="K68" s="1"/>
  <c r="L68" s="1"/>
  <c r="K69" s="1"/>
  <c r="L69" s="1"/>
  <c r="K70" s="1"/>
  <c r="L70" s="1"/>
  <c r="K71" s="1"/>
  <c r="L71" s="1"/>
  <c r="K72" s="1"/>
  <c r="L72" s="1"/>
  <c r="K73" s="1"/>
  <c r="L73" s="1"/>
  <c r="K74" s="1"/>
  <c r="L74" s="1"/>
  <c r="K75" s="1"/>
  <c r="L75" s="1"/>
  <c r="K76" s="1"/>
  <c r="L76" s="1"/>
  <c r="K77" s="1"/>
  <c r="L77" s="1"/>
  <c r="K78" s="1"/>
  <c r="L78" s="1"/>
  <c r="K79" s="1"/>
  <c r="L79" s="1"/>
  <c r="K80" s="1"/>
  <c r="L80" s="1"/>
  <c r="K81" s="1"/>
  <c r="L81" s="1"/>
  <c r="K82" s="1"/>
  <c r="L82" s="1"/>
  <c r="K83" s="1"/>
  <c r="L83" s="1"/>
  <c r="K84" s="1"/>
  <c r="L84" s="1"/>
  <c r="K85" s="1"/>
  <c r="L85" s="1"/>
  <c r="K86" s="1"/>
  <c r="L86" s="1"/>
  <c r="K87" s="1"/>
  <c r="L87" s="1"/>
  <c r="K88" s="1"/>
  <c r="L88" s="1"/>
  <c r="K89" s="1"/>
  <c r="L89" s="1"/>
  <c r="K90" s="1"/>
  <c r="L90" s="1"/>
  <c r="K91" s="1"/>
  <c r="L91" s="1"/>
  <c r="K92" s="1"/>
  <c r="L92" s="1"/>
  <c r="K93" s="1"/>
  <c r="L93" s="1"/>
  <c r="K94" s="1"/>
  <c r="L94" s="1"/>
  <c r="K95" s="1"/>
  <c r="L95" s="1"/>
  <c r="K96" s="1"/>
  <c r="L96" s="1"/>
  <c r="K97" s="1"/>
  <c r="L97" s="1"/>
  <c r="K98" s="1"/>
  <c r="L98" s="1"/>
  <c r="K99" s="1"/>
  <c r="L99" s="1"/>
  <c r="K100" s="1"/>
  <c r="L100" s="1"/>
  <c r="K101" s="1"/>
  <c r="L101" s="1"/>
  <c r="K102" s="1"/>
  <c r="L102" s="1"/>
  <c r="K103" s="1"/>
  <c r="L103" s="1"/>
  <c r="K104" s="1"/>
  <c r="L104" s="1"/>
  <c r="K105" s="1"/>
  <c r="L105" s="1"/>
  <c r="K106" s="1"/>
  <c r="L106" s="1"/>
  <c r="K107" s="1"/>
  <c r="L107" s="1"/>
  <c r="K108" s="1"/>
  <c r="L108" s="1"/>
  <c r="K109" s="1"/>
  <c r="L109" s="1"/>
  <c r="K110" s="1"/>
  <c r="L110" s="1"/>
  <c r="K111" s="1"/>
  <c r="L111" s="1"/>
  <c r="K112" s="1"/>
  <c r="L112" s="1"/>
  <c r="K113" s="1"/>
  <c r="L113" s="1"/>
  <c r="K114" s="1"/>
  <c r="L114" s="1"/>
  <c r="K115" s="1"/>
  <c r="L115" s="1"/>
  <c r="R56" i="17"/>
  <c r="S105" i="20"/>
  <c r="V104"/>
  <c r="V93"/>
  <c r="S94"/>
  <c r="V94"/>
  <c r="V13"/>
  <c r="S14"/>
  <c r="V14"/>
  <c r="S90"/>
  <c r="V90"/>
  <c r="V89"/>
  <c r="V61"/>
  <c r="S62"/>
  <c r="V62"/>
  <c r="S26"/>
  <c r="V26"/>
  <c r="V25"/>
  <c r="V88"/>
  <c r="V24"/>
  <c r="V109"/>
  <c r="S110"/>
  <c r="V110"/>
  <c r="S74"/>
  <c r="V74"/>
  <c r="V73"/>
  <c r="V45"/>
  <c r="S46"/>
  <c r="V46"/>
  <c r="S10"/>
  <c r="V10"/>
  <c r="V9"/>
  <c r="S12" i="16"/>
  <c r="Z12"/>
  <c r="D46"/>
  <c r="C46"/>
  <c r="E24"/>
  <c r="E20"/>
  <c r="B20"/>
  <c r="B22"/>
  <c r="B46"/>
  <c r="C20"/>
  <c r="B26"/>
  <c r="E25"/>
  <c r="E21"/>
  <c r="C24"/>
  <c r="D20"/>
  <c r="D22"/>
  <c r="E46"/>
  <c r="O53" i="17"/>
  <c r="S82" i="20"/>
  <c r="V82"/>
  <c r="S18"/>
  <c r="V18"/>
  <c r="Z7" i="16"/>
  <c r="J23"/>
  <c r="L23"/>
  <c r="S4" i="20"/>
  <c r="V117"/>
  <c r="V101"/>
  <c r="V85"/>
  <c r="V69"/>
  <c r="V53"/>
  <c r="V37"/>
  <c r="V21"/>
  <c r="AA10" i="16"/>
  <c r="C21"/>
  <c r="D23"/>
  <c r="B23"/>
  <c r="S5" i="20"/>
  <c r="V4"/>
  <c r="S106"/>
  <c r="V106"/>
  <c r="V105"/>
  <c r="S42"/>
  <c r="V42"/>
  <c r="V41"/>
  <c r="B52" i="4"/>
  <c r="F52"/>
  <c r="F24"/>
  <c r="S122" i="20"/>
  <c r="V122"/>
  <c r="V121"/>
  <c r="K45" i="17"/>
  <c r="M45"/>
  <c r="R45" s="1"/>
  <c r="J45"/>
  <c r="L45" s="1"/>
  <c r="J43"/>
  <c r="L43" s="1"/>
  <c r="Q43" s="1"/>
  <c r="K21"/>
  <c r="M21"/>
  <c r="K43"/>
  <c r="M43" s="1"/>
  <c r="O43" s="1"/>
  <c r="K35"/>
  <c r="M35" s="1"/>
  <c r="J34"/>
  <c r="L34" s="1"/>
  <c r="J31"/>
  <c r="L31" s="1"/>
  <c r="O31" s="1"/>
  <c r="J25"/>
  <c r="L25" s="1"/>
  <c r="J12"/>
  <c r="L12"/>
  <c r="K18"/>
  <c r="M18" s="1"/>
  <c r="K36"/>
  <c r="M36"/>
  <c r="O36" s="1"/>
  <c r="J36"/>
  <c r="L36" s="1"/>
  <c r="K31"/>
  <c r="M31" s="1"/>
  <c r="K12"/>
  <c r="M12" s="1"/>
  <c r="O12" s="1"/>
  <c r="J18"/>
  <c r="L18"/>
  <c r="J21"/>
  <c r="L21" s="1"/>
  <c r="J35"/>
  <c r="L35"/>
  <c r="K25"/>
  <c r="M25" s="1"/>
  <c r="O25" s="1"/>
  <c r="AA20" i="8"/>
  <c r="K34" i="17"/>
  <c r="M34" s="1"/>
  <c r="O34" s="1"/>
  <c r="H52" i="4"/>
  <c r="L52"/>
  <c r="L24"/>
  <c r="B50"/>
  <c r="F50"/>
  <c r="F19"/>
  <c r="C8" i="19"/>
  <c r="B9"/>
  <c r="D21" i="16"/>
  <c r="F46"/>
  <c r="F25" i="14"/>
  <c r="B53"/>
  <c r="F53"/>
  <c r="F45" i="4"/>
  <c r="B46"/>
  <c r="F46"/>
  <c r="C25" i="16"/>
  <c r="B24"/>
  <c r="C26"/>
  <c r="B25"/>
  <c r="D24"/>
  <c r="D25"/>
  <c r="B21"/>
  <c r="C22"/>
  <c r="C23"/>
  <c r="F20"/>
  <c r="S58" i="20"/>
  <c r="V58"/>
  <c r="V57"/>
  <c r="L22" i="14"/>
  <c r="H52"/>
  <c r="L52"/>
  <c r="B52"/>
  <c r="F52"/>
  <c r="F22"/>
  <c r="L22" i="4"/>
  <c r="B22"/>
  <c r="F22"/>
  <c r="B23"/>
  <c r="L25"/>
  <c r="B20"/>
  <c r="F20"/>
  <c r="C20"/>
  <c r="D20"/>
  <c r="D23"/>
  <c r="B25"/>
  <c r="D26" i="16"/>
  <c r="F21" i="14"/>
  <c r="D21" i="4"/>
  <c r="D51"/>
  <c r="D24"/>
  <c r="D52"/>
  <c r="C25"/>
  <c r="C21"/>
  <c r="C51"/>
  <c r="C24"/>
  <c r="C52"/>
  <c r="B21"/>
  <c r="F23" i="16"/>
  <c r="F21"/>
  <c r="F26"/>
  <c r="E9" i="19"/>
  <c r="C9"/>
  <c r="B10"/>
  <c r="F25" i="16"/>
  <c r="K29" i="17"/>
  <c r="M29"/>
  <c r="K23"/>
  <c r="M23" s="1"/>
  <c r="O23" s="1"/>
  <c r="J19"/>
  <c r="L19" s="1"/>
  <c r="O19" s="1"/>
  <c r="J5"/>
  <c r="L5" s="1"/>
  <c r="K5"/>
  <c r="M5" s="1"/>
  <c r="J23"/>
  <c r="L23" s="1"/>
  <c r="J29"/>
  <c r="L29" s="1"/>
  <c r="K19"/>
  <c r="M19" s="1"/>
  <c r="AA21" i="8"/>
  <c r="B51" i="4"/>
  <c r="F51"/>
  <c r="F21"/>
  <c r="S6" i="20"/>
  <c r="V6"/>
  <c r="V5"/>
  <c r="F25" i="4"/>
  <c r="E8" i="19"/>
  <c r="F23" i="4"/>
  <c r="F24" i="16"/>
  <c r="F22"/>
  <c r="C10" i="19"/>
  <c r="B11"/>
  <c r="J8" i="17"/>
  <c r="L8"/>
  <c r="Q8" s="1"/>
  <c r="J24"/>
  <c r="L24" s="1"/>
  <c r="K4"/>
  <c r="M4"/>
  <c r="O4" s="1"/>
  <c r="K9"/>
  <c r="M9"/>
  <c r="K24"/>
  <c r="M24" s="1"/>
  <c r="AA22" i="8"/>
  <c r="K8" i="17"/>
  <c r="M8"/>
  <c r="O8" s="1"/>
  <c r="J4"/>
  <c r="L4"/>
  <c r="J9"/>
  <c r="L9"/>
  <c r="O9" s="1"/>
  <c r="K3"/>
  <c r="M3"/>
  <c r="K13"/>
  <c r="M13" s="1"/>
  <c r="AA23" i="8"/>
  <c r="J3" i="17"/>
  <c r="L3" s="1"/>
  <c r="J13"/>
  <c r="L13" s="1"/>
  <c r="C11" i="19"/>
  <c r="B12"/>
  <c r="E10"/>
  <c r="O24" i="17"/>
  <c r="C12" i="19"/>
  <c r="B13"/>
  <c r="K41" i="17"/>
  <c r="M41" s="1"/>
  <c r="O41" s="1"/>
  <c r="J41"/>
  <c r="L41" s="1"/>
  <c r="Q41" s="1"/>
  <c r="AA24" i="8"/>
  <c r="AA25"/>
  <c r="AA26"/>
  <c r="AA27"/>
  <c r="AA28"/>
  <c r="AA29"/>
  <c r="AA30"/>
  <c r="AA31"/>
  <c r="AA32"/>
  <c r="AA33"/>
  <c r="E11" i="19"/>
  <c r="O13" i="17"/>
  <c r="E13" i="19"/>
  <c r="C13"/>
  <c r="B14"/>
  <c r="E12"/>
  <c r="C14"/>
  <c r="B15"/>
  <c r="C15"/>
  <c r="B16"/>
  <c r="E14"/>
  <c r="C16"/>
  <c r="B17"/>
  <c r="E15"/>
  <c r="C17"/>
  <c r="B18"/>
  <c r="E16"/>
  <c r="C18"/>
  <c r="B19"/>
  <c r="E17"/>
  <c r="C19"/>
  <c r="B20"/>
  <c r="E18"/>
  <c r="E20"/>
  <c r="C20"/>
  <c r="B21"/>
  <c r="E19"/>
  <c r="E21"/>
  <c r="C21"/>
  <c r="B22"/>
  <c r="C22"/>
  <c r="B23"/>
  <c r="C23"/>
  <c r="B24"/>
  <c r="E22"/>
  <c r="C24"/>
  <c r="B25"/>
  <c r="E23"/>
  <c r="C25"/>
  <c r="B26"/>
  <c r="E24"/>
  <c r="E26"/>
  <c r="C26"/>
  <c r="B27"/>
  <c r="E25"/>
  <c r="E27"/>
  <c r="C27"/>
  <c r="B28"/>
  <c r="C28"/>
  <c r="B29"/>
  <c r="C29"/>
  <c r="B30"/>
  <c r="E28"/>
  <c r="E30"/>
  <c r="C30"/>
  <c r="B31"/>
  <c r="E29"/>
  <c r="E31"/>
  <c r="C31"/>
  <c r="B32"/>
  <c r="C32"/>
  <c r="B33"/>
  <c r="C33"/>
  <c r="B34"/>
  <c r="E32"/>
  <c r="C34"/>
  <c r="B35"/>
  <c r="E33"/>
  <c r="C35"/>
  <c r="B36"/>
  <c r="E34"/>
  <c r="E36"/>
  <c r="C36"/>
  <c r="B37"/>
  <c r="E35"/>
  <c r="C37"/>
  <c r="B38"/>
  <c r="E38"/>
  <c r="C38"/>
  <c r="B39"/>
  <c r="E37"/>
  <c r="E39"/>
  <c r="C39"/>
  <c r="B40"/>
  <c r="E40"/>
  <c r="C40"/>
  <c r="B41"/>
  <c r="C41"/>
  <c r="B42"/>
  <c r="E42"/>
  <c r="C42"/>
  <c r="B43"/>
  <c r="E41"/>
  <c r="E43"/>
  <c r="C43"/>
  <c r="B44"/>
  <c r="C44"/>
  <c r="B45"/>
  <c r="C45"/>
  <c r="B46"/>
  <c r="E44"/>
  <c r="C46"/>
  <c r="B47"/>
  <c r="E45"/>
  <c r="E47"/>
  <c r="C47"/>
  <c r="B48"/>
  <c r="E46"/>
  <c r="C48"/>
  <c r="B49"/>
  <c r="C49"/>
  <c r="B50"/>
  <c r="E48"/>
  <c r="C50"/>
  <c r="B51"/>
  <c r="E49"/>
  <c r="E51"/>
  <c r="C51"/>
  <c r="B52"/>
  <c r="E50"/>
  <c r="E52"/>
  <c r="C52"/>
  <c r="B53"/>
  <c r="C53"/>
  <c r="B54"/>
  <c r="E54"/>
  <c r="C54"/>
  <c r="B55"/>
  <c r="E53"/>
  <c r="E55"/>
  <c r="C55"/>
  <c r="B56"/>
  <c r="C56"/>
  <c r="B57"/>
  <c r="C57"/>
  <c r="B58"/>
  <c r="E56"/>
  <c r="E58"/>
  <c r="C58"/>
  <c r="B59"/>
  <c r="E57"/>
  <c r="E59"/>
  <c r="C59"/>
  <c r="B60"/>
  <c r="C60"/>
  <c r="B61"/>
  <c r="C61"/>
  <c r="B62"/>
  <c r="E60"/>
  <c r="E62"/>
  <c r="C62"/>
  <c r="B63"/>
  <c r="E61"/>
  <c r="C63"/>
  <c r="B64"/>
  <c r="C64"/>
  <c r="B65"/>
  <c r="E63"/>
  <c r="C65"/>
  <c r="B66"/>
  <c r="E64"/>
  <c r="E66"/>
  <c r="C66"/>
  <c r="B67"/>
  <c r="E65"/>
  <c r="E67"/>
  <c r="C67"/>
  <c r="B68"/>
  <c r="C68"/>
  <c r="B69"/>
  <c r="E69"/>
  <c r="C69"/>
  <c r="B70"/>
  <c r="E68"/>
  <c r="E70"/>
  <c r="C70"/>
  <c r="B71"/>
  <c r="E71"/>
  <c r="C71"/>
  <c r="B72"/>
  <c r="C72"/>
  <c r="B73"/>
  <c r="E73"/>
  <c r="C73"/>
  <c r="B74"/>
  <c r="E72"/>
  <c r="E74"/>
  <c r="C74"/>
  <c r="B75"/>
  <c r="C75"/>
  <c r="B76"/>
  <c r="C76"/>
  <c r="B77"/>
  <c r="E75"/>
  <c r="C77"/>
  <c r="B78"/>
  <c r="E76"/>
  <c r="E78"/>
  <c r="C78"/>
  <c r="B79"/>
  <c r="E77"/>
  <c r="C79"/>
  <c r="B80"/>
  <c r="C80"/>
  <c r="B81"/>
  <c r="E79"/>
  <c r="C81"/>
  <c r="B82"/>
  <c r="E80"/>
  <c r="E82"/>
  <c r="C82"/>
  <c r="B83"/>
  <c r="E81"/>
  <c r="E83"/>
  <c r="C83"/>
  <c r="B84"/>
  <c r="C84"/>
  <c r="B85"/>
  <c r="E85"/>
  <c r="C85"/>
  <c r="B86"/>
  <c r="E84"/>
  <c r="E86"/>
  <c r="C86"/>
  <c r="B87"/>
  <c r="E87"/>
  <c r="C87"/>
  <c r="B88"/>
  <c r="C88"/>
  <c r="B89"/>
  <c r="E89"/>
  <c r="C89"/>
  <c r="B90"/>
  <c r="E88"/>
  <c r="E90"/>
  <c r="C90"/>
  <c r="B91"/>
  <c r="E91"/>
  <c r="C91"/>
  <c r="B92"/>
  <c r="C92"/>
  <c r="B93"/>
  <c r="C93"/>
  <c r="B94"/>
  <c r="E92"/>
  <c r="E94"/>
  <c r="C94"/>
  <c r="B95"/>
  <c r="E93"/>
  <c r="C95"/>
  <c r="B96"/>
  <c r="C96"/>
  <c r="B97"/>
  <c r="E95"/>
  <c r="C97"/>
  <c r="B98"/>
  <c r="E96"/>
  <c r="E98"/>
  <c r="C98"/>
  <c r="B99"/>
  <c r="E97"/>
  <c r="E99"/>
  <c r="C99"/>
  <c r="B100"/>
  <c r="E100"/>
  <c r="C100"/>
  <c r="B101"/>
  <c r="C101"/>
  <c r="B102"/>
  <c r="C102"/>
  <c r="B103"/>
  <c r="E101"/>
  <c r="E103"/>
  <c r="C103"/>
  <c r="B104"/>
  <c r="E102"/>
  <c r="E104"/>
  <c r="C104"/>
  <c r="B105"/>
  <c r="C105"/>
  <c r="B106"/>
  <c r="C106"/>
  <c r="B107"/>
  <c r="E105"/>
  <c r="E107"/>
  <c r="C107"/>
  <c r="B108"/>
  <c r="E106"/>
  <c r="C108"/>
  <c r="B109"/>
  <c r="C109"/>
  <c r="B110"/>
  <c r="E108"/>
  <c r="E110"/>
  <c r="C110"/>
  <c r="B111"/>
  <c r="E109"/>
  <c r="E111"/>
  <c r="C111"/>
  <c r="B112"/>
  <c r="E112"/>
  <c r="C112"/>
  <c r="B113"/>
  <c r="C113"/>
  <c r="B114"/>
  <c r="E114"/>
  <c r="C114"/>
  <c r="B115"/>
  <c r="E113"/>
  <c r="E115"/>
  <c r="C115"/>
  <c r="B19" i="12"/>
  <c r="E2" i="33" l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D5"/>
  <c r="D4"/>
  <c r="BU78" i="32"/>
  <c r="BU65"/>
  <c r="BU49"/>
  <c r="BU33"/>
  <c r="BU17"/>
  <c r="BU72"/>
  <c r="BU70"/>
  <c r="BU62"/>
  <c r="BU54"/>
  <c r="BU46"/>
  <c r="BU38"/>
  <c r="BU30"/>
  <c r="BU22"/>
  <c r="BU14"/>
  <c r="BU3"/>
  <c r="BU7"/>
  <c r="BU11"/>
  <c r="BU15"/>
  <c r="BU19"/>
  <c r="BU23"/>
  <c r="BU27"/>
  <c r="BU31"/>
  <c r="BU35"/>
  <c r="BU39"/>
  <c r="BU43"/>
  <c r="BU47"/>
  <c r="BU51"/>
  <c r="BU55"/>
  <c r="BU59"/>
  <c r="BU63"/>
  <c r="BU67"/>
  <c r="BU71"/>
  <c r="BU75"/>
  <c r="BU4"/>
  <c r="BU8"/>
  <c r="BU12"/>
  <c r="BU16"/>
  <c r="BU20"/>
  <c r="BU24"/>
  <c r="BU28"/>
  <c r="BU32"/>
  <c r="BU36"/>
  <c r="BU40"/>
  <c r="BU44"/>
  <c r="BU48"/>
  <c r="BU52"/>
  <c r="BU56"/>
  <c r="BU60"/>
  <c r="BU64"/>
  <c r="BU68"/>
  <c r="BU57"/>
  <c r="BU41"/>
  <c r="BU25"/>
  <c r="BU9"/>
  <c r="BV2"/>
  <c r="BU76"/>
  <c r="BU73"/>
  <c r="BU69"/>
  <c r="BU61"/>
  <c r="BU53"/>
  <c r="BU45"/>
  <c r="BU37"/>
  <c r="BU29"/>
  <c r="BU21"/>
  <c r="BU13"/>
  <c r="BU5"/>
  <c r="G2"/>
  <c r="F3"/>
  <c r="F4"/>
  <c r="B5"/>
  <c r="E4"/>
  <c r="E3"/>
  <c r="O28" i="14"/>
  <c r="P28"/>
  <c r="D38" i="16"/>
  <c r="D48" s="1"/>
  <c r="E39" i="31"/>
  <c r="E51"/>
  <c r="E3"/>
  <c r="F2"/>
  <c r="F55" s="1"/>
  <c r="E44"/>
  <c r="F45"/>
  <c r="E47"/>
  <c r="E40"/>
  <c r="E4"/>
  <c r="E56"/>
  <c r="E48"/>
  <c r="E43"/>
  <c r="E36"/>
  <c r="E53"/>
  <c r="F46"/>
  <c r="F37"/>
  <c r="F52"/>
  <c r="F38"/>
  <c r="F54"/>
  <c r="F44"/>
  <c r="F56"/>
  <c r="F47"/>
  <c r="G2"/>
  <c r="F50"/>
  <c r="F49"/>
  <c r="F48"/>
  <c r="F42"/>
  <c r="F41"/>
  <c r="F40"/>
  <c r="F39"/>
  <c r="F51"/>
  <c r="F43"/>
  <c r="E54"/>
  <c r="E49"/>
  <c r="E45"/>
  <c r="E41"/>
  <c r="E37"/>
  <c r="E55"/>
  <c r="E50"/>
  <c r="E46"/>
  <c r="E42"/>
  <c r="E5"/>
  <c r="G5"/>
  <c r="F5"/>
  <c r="D5"/>
  <c r="F4"/>
  <c r="G4"/>
  <c r="D4"/>
  <c r="D32" i="16"/>
  <c r="P26"/>
  <c r="O29"/>
  <c r="O23" i="14"/>
  <c r="K19" i="12"/>
  <c r="K25" s="1"/>
  <c r="P34" i="16"/>
  <c r="P35" s="1"/>
  <c r="B22" i="12"/>
  <c r="B28" s="1"/>
  <c r="P32" i="14"/>
  <c r="O30"/>
  <c r="O31"/>
  <c r="P27"/>
  <c r="O27"/>
  <c r="P32" i="16"/>
  <c r="D21" i="12"/>
  <c r="D27" s="1"/>
  <c r="P26" i="14"/>
  <c r="P31" i="16"/>
  <c r="D39"/>
  <c r="J49" s="1"/>
  <c r="P23"/>
  <c r="C36"/>
  <c r="C40" s="1"/>
  <c r="P27"/>
  <c r="P29"/>
  <c r="O26"/>
  <c r="O31"/>
  <c r="N18" i="24"/>
  <c r="N19" s="1"/>
  <c r="N20" s="1"/>
  <c r="N40"/>
  <c r="N42" s="1"/>
  <c r="Y17" s="1"/>
  <c r="F10"/>
  <c r="F11" s="1"/>
  <c r="F12" s="1"/>
  <c r="F13" s="1"/>
  <c r="F14" s="1"/>
  <c r="F15" s="1"/>
  <c r="F16" s="1"/>
  <c r="F17" s="1"/>
  <c r="F18" s="1"/>
  <c r="F19" s="1"/>
  <c r="F20" s="1"/>
  <c r="D40"/>
  <c r="D42" s="1"/>
  <c r="Y27" s="1"/>
  <c r="P40"/>
  <c r="P42" s="1"/>
  <c r="Y15" s="1"/>
  <c r="P20"/>
  <c r="K15"/>
  <c r="K16" s="1"/>
  <c r="K17" s="1"/>
  <c r="K18" s="1"/>
  <c r="K19" s="1"/>
  <c r="K20" s="1"/>
  <c r="G40"/>
  <c r="G42" s="1"/>
  <c r="Y24" s="1"/>
  <c r="G11"/>
  <c r="G12" s="1"/>
  <c r="G13" s="1"/>
  <c r="G14" s="1"/>
  <c r="G15" s="1"/>
  <c r="G16" s="1"/>
  <c r="G17" s="1"/>
  <c r="G18" s="1"/>
  <c r="G19" s="1"/>
  <c r="G20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40"/>
  <c r="C42" s="1"/>
  <c r="Y28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O40"/>
  <c r="O42" s="1"/>
  <c r="Y16" s="1"/>
  <c r="O19"/>
  <c r="O20" s="1"/>
  <c r="I13"/>
  <c r="I14" s="1"/>
  <c r="I15" s="1"/>
  <c r="I16" s="1"/>
  <c r="I17" s="1"/>
  <c r="I18" s="1"/>
  <c r="I19" s="1"/>
  <c r="I20" s="1"/>
  <c r="E40"/>
  <c r="E42" s="1"/>
  <c r="Y26" s="1"/>
  <c r="E9"/>
  <c r="E10" s="1"/>
  <c r="E11" s="1"/>
  <c r="E12" s="1"/>
  <c r="E13" s="1"/>
  <c r="E14" s="1"/>
  <c r="E15" s="1"/>
  <c r="E16" s="1"/>
  <c r="E17" s="1"/>
  <c r="E18" s="1"/>
  <c r="E19" s="1"/>
  <c r="E20" s="1"/>
  <c r="Q38"/>
  <c r="Q40"/>
  <c r="Q42" s="1"/>
  <c r="Y14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H12"/>
  <c r="H13" s="1"/>
  <c r="H14" s="1"/>
  <c r="H15" s="1"/>
  <c r="H16" s="1"/>
  <c r="H17" s="1"/>
  <c r="H18" s="1"/>
  <c r="H19" s="1"/>
  <c r="H20" s="1"/>
  <c r="M40"/>
  <c r="M42" s="1"/>
  <c r="Y18" s="1"/>
  <c r="J13"/>
  <c r="J14" s="1"/>
  <c r="J15" s="1"/>
  <c r="J16" s="1"/>
  <c r="J17" s="1"/>
  <c r="J18" s="1"/>
  <c r="J19" s="1"/>
  <c r="J20" s="1"/>
  <c r="L16"/>
  <c r="L17" s="1"/>
  <c r="L18" s="1"/>
  <c r="L19" s="1"/>
  <c r="L20" s="1"/>
  <c r="Q57" i="17"/>
  <c r="O57"/>
  <c r="Q52"/>
  <c r="O52"/>
  <c r="O37"/>
  <c r="R37"/>
  <c r="O50"/>
  <c r="R50"/>
  <c r="Q45"/>
  <c r="O45"/>
  <c r="O44"/>
  <c r="R44"/>
  <c r="O59"/>
  <c r="R59"/>
  <c r="R46"/>
  <c r="O46"/>
  <c r="O35"/>
  <c r="O27"/>
  <c r="O3"/>
  <c r="O5"/>
  <c r="O29"/>
  <c r="R41"/>
  <c r="R8"/>
  <c r="R43"/>
  <c r="O18"/>
  <c r="O21"/>
  <c r="O20"/>
  <c r="O14"/>
  <c r="D22" i="12"/>
  <c r="D28" s="1"/>
  <c r="B20"/>
  <c r="C33" s="1"/>
  <c r="D33" s="1"/>
  <c r="I21"/>
  <c r="I27" s="1"/>
  <c r="K22"/>
  <c r="K28" s="1"/>
  <c r="D20"/>
  <c r="D26" s="1"/>
  <c r="O38" i="17"/>
  <c r="R40"/>
  <c r="O27" i="16"/>
  <c r="D19" i="12"/>
  <c r="D25" s="1"/>
  <c r="D40" i="16"/>
  <c r="O42" i="17"/>
  <c r="O23" i="16"/>
  <c r="O32"/>
  <c r="B37"/>
  <c r="B40" s="1"/>
  <c r="P28"/>
  <c r="R60" i="17"/>
  <c r="R51"/>
  <c r="O51"/>
  <c r="D31" i="16"/>
  <c r="D33"/>
  <c r="O56" i="17"/>
  <c r="O48"/>
  <c r="I22" i="12"/>
  <c r="I28" s="1"/>
  <c r="K20"/>
  <c r="K26" s="1"/>
  <c r="O26" i="14"/>
  <c r="P34"/>
  <c r="P35" s="1"/>
  <c r="O47" i="17"/>
  <c r="O39"/>
  <c r="O34" i="14"/>
  <c r="O35" s="1"/>
  <c r="O34" i="16"/>
  <c r="O35" s="1"/>
  <c r="B21" i="12"/>
  <c r="B27" s="1"/>
  <c r="D49" i="16"/>
  <c r="O54" i="17"/>
  <c r="K21" i="12"/>
  <c r="K27" s="1"/>
  <c r="J47" i="16"/>
  <c r="P23" i="14"/>
  <c r="O55" i="17"/>
  <c r="P30" i="16"/>
  <c r="C38"/>
  <c r="I20" i="12"/>
  <c r="I26" s="1"/>
  <c r="R48" i="17"/>
  <c r="P30" i="14"/>
  <c r="P31"/>
  <c r="C39" i="16"/>
  <c r="I49" s="1"/>
  <c r="O28"/>
  <c r="O49" i="17"/>
  <c r="O30" i="16"/>
  <c r="C31"/>
  <c r="C33"/>
  <c r="C32"/>
  <c r="B33"/>
  <c r="B32"/>
  <c r="B31"/>
  <c r="J48"/>
  <c r="D47"/>
  <c r="O29" i="14"/>
  <c r="J40" i="12" l="1"/>
  <c r="E5" i="33"/>
  <c r="F5"/>
  <c r="E4"/>
  <c r="F3"/>
  <c r="E3"/>
  <c r="F4"/>
  <c r="G4"/>
  <c r="F6"/>
  <c r="E6"/>
  <c r="D6"/>
  <c r="G5"/>
  <c r="BV4" i="32"/>
  <c r="BV8"/>
  <c r="BV12"/>
  <c r="BV16"/>
  <c r="BV20"/>
  <c r="BV24"/>
  <c r="BV28"/>
  <c r="BV32"/>
  <c r="BV36"/>
  <c r="BV40"/>
  <c r="BV44"/>
  <c r="BV48"/>
  <c r="BV52"/>
  <c r="BV56"/>
  <c r="BV60"/>
  <c r="BV64"/>
  <c r="BV68"/>
  <c r="BV72"/>
  <c r="BV76"/>
  <c r="BW2"/>
  <c r="BV5"/>
  <c r="BV9"/>
  <c r="BV13"/>
  <c r="BV17"/>
  <c r="BV21"/>
  <c r="BV25"/>
  <c r="BV29"/>
  <c r="BV33"/>
  <c r="BV37"/>
  <c r="BV41"/>
  <c r="BV45"/>
  <c r="BV49"/>
  <c r="BV53"/>
  <c r="BV57"/>
  <c r="BV61"/>
  <c r="BV65"/>
  <c r="BV69"/>
  <c r="BV6"/>
  <c r="BV14"/>
  <c r="BV22"/>
  <c r="BV30"/>
  <c r="BV38"/>
  <c r="BV46"/>
  <c r="BV54"/>
  <c r="BV62"/>
  <c r="BV70"/>
  <c r="BV10"/>
  <c r="BV18"/>
  <c r="BV34"/>
  <c r="BV50"/>
  <c r="BV66"/>
  <c r="BV74"/>
  <c r="BV77"/>
  <c r="BV11"/>
  <c r="BV19"/>
  <c r="BV27"/>
  <c r="BV35"/>
  <c r="BV59"/>
  <c r="BV67"/>
  <c r="BV73"/>
  <c r="BV7"/>
  <c r="BV15"/>
  <c r="BV23"/>
  <c r="BV31"/>
  <c r="BV39"/>
  <c r="BV47"/>
  <c r="BV55"/>
  <c r="BV63"/>
  <c r="BV71"/>
  <c r="BV75"/>
  <c r="BV78"/>
  <c r="BV26"/>
  <c r="BV42"/>
  <c r="BV58"/>
  <c r="BV3"/>
  <c r="BV43"/>
  <c r="BV51"/>
  <c r="F5"/>
  <c r="G3"/>
  <c r="G5"/>
  <c r="H2"/>
  <c r="G4"/>
  <c r="B6"/>
  <c r="D5"/>
  <c r="E5"/>
  <c r="D6"/>
  <c r="B7"/>
  <c r="F3" i="31"/>
  <c r="F53"/>
  <c r="F36"/>
  <c r="G40"/>
  <c r="G41"/>
  <c r="G42"/>
  <c r="G48"/>
  <c r="G49"/>
  <c r="G50"/>
  <c r="G36"/>
  <c r="G37"/>
  <c r="G44"/>
  <c r="G46"/>
  <c r="G52"/>
  <c r="G55"/>
  <c r="H2"/>
  <c r="G39"/>
  <c r="G47"/>
  <c r="G56"/>
  <c r="G53"/>
  <c r="G38"/>
  <c r="G45"/>
  <c r="G54"/>
  <c r="G3"/>
  <c r="G43"/>
  <c r="G51"/>
  <c r="F6"/>
  <c r="G6"/>
  <c r="D6"/>
  <c r="E6"/>
  <c r="J39" i="12"/>
  <c r="L39" s="1"/>
  <c r="J35"/>
  <c r="K35" s="1"/>
  <c r="J44"/>
  <c r="L44" s="1"/>
  <c r="J46"/>
  <c r="J34"/>
  <c r="L34" s="1"/>
  <c r="J37"/>
  <c r="K37" s="1"/>
  <c r="J36"/>
  <c r="K36" s="1"/>
  <c r="J38"/>
  <c r="J45"/>
  <c r="K45" s="1"/>
  <c r="B38" i="16"/>
  <c r="H47" s="1"/>
  <c r="L47" s="1"/>
  <c r="B26" i="12"/>
  <c r="J33"/>
  <c r="J42"/>
  <c r="K42" s="1"/>
  <c r="J43"/>
  <c r="K43" s="1"/>
  <c r="J41"/>
  <c r="L41" s="1"/>
  <c r="C35"/>
  <c r="D35" s="1"/>
  <c r="C37"/>
  <c r="E37" s="1"/>
  <c r="C39"/>
  <c r="E39" s="1"/>
  <c r="C42"/>
  <c r="E42" s="1"/>
  <c r="E33"/>
  <c r="C44"/>
  <c r="E44" s="1"/>
  <c r="C45"/>
  <c r="D45" s="1"/>
  <c r="C36"/>
  <c r="D36" s="1"/>
  <c r="I40" i="24"/>
  <c r="I42" s="1"/>
  <c r="Y22" s="1"/>
  <c r="L40"/>
  <c r="L42" s="1"/>
  <c r="Y19" s="1"/>
  <c r="K40"/>
  <c r="K42" s="1"/>
  <c r="Y20" s="1"/>
  <c r="J40"/>
  <c r="J42" s="1"/>
  <c r="Y21" s="1"/>
  <c r="H40"/>
  <c r="H42" s="1"/>
  <c r="Y23" s="1"/>
  <c r="B40"/>
  <c r="B42" s="1"/>
  <c r="Y29" s="1"/>
  <c r="F40"/>
  <c r="F42" s="1"/>
  <c r="Y25" s="1"/>
  <c r="C48" i="16"/>
  <c r="C49"/>
  <c r="I48"/>
  <c r="I47"/>
  <c r="C47"/>
  <c r="D51"/>
  <c r="J53"/>
  <c r="J52"/>
  <c r="J51"/>
  <c r="D52"/>
  <c r="D53"/>
  <c r="C46" i="12"/>
  <c r="D46" s="1"/>
  <c r="C34"/>
  <c r="D34" s="1"/>
  <c r="C43"/>
  <c r="E43" s="1"/>
  <c r="B39" i="16"/>
  <c r="H49" s="1"/>
  <c r="L49" s="1"/>
  <c r="C40" i="12"/>
  <c r="E40" s="1"/>
  <c r="C38"/>
  <c r="D38" s="1"/>
  <c r="C41"/>
  <c r="E41" s="1"/>
  <c r="E38"/>
  <c r="C51" i="16"/>
  <c r="C52"/>
  <c r="I52"/>
  <c r="I53"/>
  <c r="C53"/>
  <c r="I51"/>
  <c r="L36" i="12"/>
  <c r="K38"/>
  <c r="L38"/>
  <c r="L45"/>
  <c r="H53" i="16"/>
  <c r="L53" s="1"/>
  <c r="B51"/>
  <c r="F51" s="1"/>
  <c r="B53"/>
  <c r="F53" s="1"/>
  <c r="B52"/>
  <c r="F52" s="1"/>
  <c r="H51"/>
  <c r="L51" s="1"/>
  <c r="H52"/>
  <c r="L52" s="1"/>
  <c r="L42" i="12"/>
  <c r="E35"/>
  <c r="K39"/>
  <c r="D42"/>
  <c r="K33"/>
  <c r="L33"/>
  <c r="K40"/>
  <c r="L40"/>
  <c r="K44"/>
  <c r="L35"/>
  <c r="K46"/>
  <c r="L46"/>
  <c r="E36" l="1"/>
  <c r="G3" i="33"/>
  <c r="G6"/>
  <c r="H7"/>
  <c r="D7"/>
  <c r="E7"/>
  <c r="F7"/>
  <c r="G7"/>
  <c r="H3"/>
  <c r="I7"/>
  <c r="H4"/>
  <c r="H5"/>
  <c r="H6"/>
  <c r="BX2" i="32"/>
  <c r="BW5"/>
  <c r="BW9"/>
  <c r="BW13"/>
  <c r="BW17"/>
  <c r="BW21"/>
  <c r="BW25"/>
  <c r="BW29"/>
  <c r="BW33"/>
  <c r="BW37"/>
  <c r="BW41"/>
  <c r="BW45"/>
  <c r="BW49"/>
  <c r="BW53"/>
  <c r="BW57"/>
  <c r="BW61"/>
  <c r="BW65"/>
  <c r="BW69"/>
  <c r="BW73"/>
  <c r="BW77"/>
  <c r="BW6"/>
  <c r="BW10"/>
  <c r="BW14"/>
  <c r="BW18"/>
  <c r="BW22"/>
  <c r="BW26"/>
  <c r="BW30"/>
  <c r="BW34"/>
  <c r="BW38"/>
  <c r="BW42"/>
  <c r="BW46"/>
  <c r="BW50"/>
  <c r="BW54"/>
  <c r="BW58"/>
  <c r="BW62"/>
  <c r="BW66"/>
  <c r="BW70"/>
  <c r="BW7"/>
  <c r="BW15"/>
  <c r="BW23"/>
  <c r="BW31"/>
  <c r="BW39"/>
  <c r="BW47"/>
  <c r="BW55"/>
  <c r="BW63"/>
  <c r="BW71"/>
  <c r="BW72"/>
  <c r="BW75"/>
  <c r="BW78"/>
  <c r="BW11"/>
  <c r="BW27"/>
  <c r="BW43"/>
  <c r="BW59"/>
  <c r="BW4"/>
  <c r="BW12"/>
  <c r="BW20"/>
  <c r="BW28"/>
  <c r="BW52"/>
  <c r="BW60"/>
  <c r="BW8"/>
  <c r="BW16"/>
  <c r="BW24"/>
  <c r="BW32"/>
  <c r="BW40"/>
  <c r="BW48"/>
  <c r="BW56"/>
  <c r="BW64"/>
  <c r="BW74"/>
  <c r="BW3"/>
  <c r="BW19"/>
  <c r="BW35"/>
  <c r="BW51"/>
  <c r="BW67"/>
  <c r="BW36"/>
  <c r="BW44"/>
  <c r="BW68"/>
  <c r="BW76"/>
  <c r="F7"/>
  <c r="F6"/>
  <c r="E6"/>
  <c r="G6"/>
  <c r="G7"/>
  <c r="I2"/>
  <c r="H4"/>
  <c r="H6"/>
  <c r="H5"/>
  <c r="H3"/>
  <c r="H7"/>
  <c r="E7"/>
  <c r="B8"/>
  <c r="D7"/>
  <c r="L37" i="12"/>
  <c r="L43"/>
  <c r="B49" i="16"/>
  <c r="F49" s="1"/>
  <c r="D40" i="12"/>
  <c r="I2" i="31"/>
  <c r="H39"/>
  <c r="H47"/>
  <c r="H56"/>
  <c r="H53"/>
  <c r="H36"/>
  <c r="H37"/>
  <c r="H38"/>
  <c r="H44"/>
  <c r="H45"/>
  <c r="H46"/>
  <c r="H52"/>
  <c r="H54"/>
  <c r="H55"/>
  <c r="H3"/>
  <c r="H43"/>
  <c r="H51"/>
  <c r="H40"/>
  <c r="H48"/>
  <c r="H41"/>
  <c r="H49"/>
  <c r="H42"/>
  <c r="H50"/>
  <c r="H4"/>
  <c r="H5"/>
  <c r="H6"/>
  <c r="F7"/>
  <c r="D7"/>
  <c r="H7"/>
  <c r="G7"/>
  <c r="E7"/>
  <c r="D37" i="12"/>
  <c r="K34"/>
  <c r="D44"/>
  <c r="E46"/>
  <c r="H48" i="16"/>
  <c r="L48" s="1"/>
  <c r="B48"/>
  <c r="F48" s="1"/>
  <c r="D39" i="12"/>
  <c r="B47" i="16"/>
  <c r="F47" s="1"/>
  <c r="E45" i="12"/>
  <c r="K41"/>
  <c r="D43"/>
  <c r="E34"/>
  <c r="D41"/>
  <c r="F8" i="33" l="1"/>
  <c r="E8"/>
  <c r="I8"/>
  <c r="G8"/>
  <c r="H8"/>
  <c r="D8"/>
  <c r="I3"/>
  <c r="J8"/>
  <c r="I4"/>
  <c r="I5"/>
  <c r="I6"/>
  <c r="BX6" i="32"/>
  <c r="BX10"/>
  <c r="BX14"/>
  <c r="BX18"/>
  <c r="BX22"/>
  <c r="BX26"/>
  <c r="BX30"/>
  <c r="BX34"/>
  <c r="BX38"/>
  <c r="BX42"/>
  <c r="BX46"/>
  <c r="BX50"/>
  <c r="BX54"/>
  <c r="BX58"/>
  <c r="BX62"/>
  <c r="BX66"/>
  <c r="BX70"/>
  <c r="BX74"/>
  <c r="BX78"/>
  <c r="BX3"/>
  <c r="BX7"/>
  <c r="BX11"/>
  <c r="BX15"/>
  <c r="BX19"/>
  <c r="BX23"/>
  <c r="BX27"/>
  <c r="BX31"/>
  <c r="BX35"/>
  <c r="BX39"/>
  <c r="BX43"/>
  <c r="BX47"/>
  <c r="BX51"/>
  <c r="BX55"/>
  <c r="BX59"/>
  <c r="BX63"/>
  <c r="BX67"/>
  <c r="BX71"/>
  <c r="BX8"/>
  <c r="BX16"/>
  <c r="BX24"/>
  <c r="BX32"/>
  <c r="BX40"/>
  <c r="BX48"/>
  <c r="BX56"/>
  <c r="BX64"/>
  <c r="BX4"/>
  <c r="BX20"/>
  <c r="BX36"/>
  <c r="BX52"/>
  <c r="BX68"/>
  <c r="BX5"/>
  <c r="BX13"/>
  <c r="BX37"/>
  <c r="BX45"/>
  <c r="BX69"/>
  <c r="BX75"/>
  <c r="BY2"/>
  <c r="BX9"/>
  <c r="BX17"/>
  <c r="BX25"/>
  <c r="BX33"/>
  <c r="BX41"/>
  <c r="BX49"/>
  <c r="BX57"/>
  <c r="BX65"/>
  <c r="BX77"/>
  <c r="BX12"/>
  <c r="BX28"/>
  <c r="BX44"/>
  <c r="BX60"/>
  <c r="BX73"/>
  <c r="BX76"/>
  <c r="BX21"/>
  <c r="BX29"/>
  <c r="BX53"/>
  <c r="BX61"/>
  <c r="BX72"/>
  <c r="F8"/>
  <c r="G8"/>
  <c r="H8"/>
  <c r="I4"/>
  <c r="I6"/>
  <c r="I8"/>
  <c r="I5"/>
  <c r="J2"/>
  <c r="I3"/>
  <c r="I7"/>
  <c r="D8"/>
  <c r="E8"/>
  <c r="B9"/>
  <c r="I9" s="1"/>
  <c r="I53" i="31"/>
  <c r="I4"/>
  <c r="I36"/>
  <c r="I37"/>
  <c r="I38"/>
  <c r="I44"/>
  <c r="I45"/>
  <c r="I46"/>
  <c r="I52"/>
  <c r="I54"/>
  <c r="I55"/>
  <c r="I42"/>
  <c r="I48"/>
  <c r="I50"/>
  <c r="I3"/>
  <c r="I43"/>
  <c r="I51"/>
  <c r="I40"/>
  <c r="I41"/>
  <c r="I49"/>
  <c r="I39"/>
  <c r="I47"/>
  <c r="I56"/>
  <c r="J2"/>
  <c r="J8" s="1"/>
  <c r="I5"/>
  <c r="I6"/>
  <c r="I7"/>
  <c r="F8"/>
  <c r="I8"/>
  <c r="H8"/>
  <c r="G8"/>
  <c r="D8"/>
  <c r="E8"/>
  <c r="J3" i="33" l="1"/>
  <c r="J4"/>
  <c r="J5"/>
  <c r="J6"/>
  <c r="J7"/>
  <c r="H9"/>
  <c r="D9"/>
  <c r="I9"/>
  <c r="G9"/>
  <c r="J9"/>
  <c r="E9"/>
  <c r="K9"/>
  <c r="F9"/>
  <c r="BY3" i="32"/>
  <c r="BY7"/>
  <c r="BY11"/>
  <c r="BY15"/>
  <c r="BY19"/>
  <c r="BY23"/>
  <c r="BY27"/>
  <c r="BY31"/>
  <c r="BY35"/>
  <c r="BY39"/>
  <c r="BY43"/>
  <c r="BY47"/>
  <c r="BY51"/>
  <c r="BY55"/>
  <c r="BY59"/>
  <c r="BY63"/>
  <c r="BY67"/>
  <c r="BY71"/>
  <c r="BY75"/>
  <c r="BY4"/>
  <c r="BY8"/>
  <c r="BY12"/>
  <c r="BY16"/>
  <c r="BY20"/>
  <c r="BY24"/>
  <c r="BY28"/>
  <c r="BY32"/>
  <c r="BY36"/>
  <c r="BY40"/>
  <c r="BY44"/>
  <c r="BY48"/>
  <c r="BY52"/>
  <c r="BY56"/>
  <c r="BY60"/>
  <c r="BY64"/>
  <c r="BY68"/>
  <c r="BZ2"/>
  <c r="BY9"/>
  <c r="BY17"/>
  <c r="BY25"/>
  <c r="BY33"/>
  <c r="BY41"/>
  <c r="BY49"/>
  <c r="BY57"/>
  <c r="BY65"/>
  <c r="BY74"/>
  <c r="BY77"/>
  <c r="BY5"/>
  <c r="BY13"/>
  <c r="BY29"/>
  <c r="BY45"/>
  <c r="BY61"/>
  <c r="BY72"/>
  <c r="BY6"/>
  <c r="BY22"/>
  <c r="BY30"/>
  <c r="BY54"/>
  <c r="BY62"/>
  <c r="BY10"/>
  <c r="BY18"/>
  <c r="BY26"/>
  <c r="BY34"/>
  <c r="BY42"/>
  <c r="BY50"/>
  <c r="BY58"/>
  <c r="BY66"/>
  <c r="BY73"/>
  <c r="BY76"/>
  <c r="BY21"/>
  <c r="BY37"/>
  <c r="BY53"/>
  <c r="BY69"/>
  <c r="BY14"/>
  <c r="BY38"/>
  <c r="BY46"/>
  <c r="BY70"/>
  <c r="BY78"/>
  <c r="F9"/>
  <c r="G9"/>
  <c r="H9"/>
  <c r="J3"/>
  <c r="J5"/>
  <c r="J7"/>
  <c r="J9"/>
  <c r="K2"/>
  <c r="J6"/>
  <c r="J8"/>
  <c r="J4"/>
  <c r="E9"/>
  <c r="B10"/>
  <c r="D9"/>
  <c r="J3" i="31"/>
  <c r="J43"/>
  <c r="J51"/>
  <c r="K2"/>
  <c r="J39"/>
  <c r="J47"/>
  <c r="J56"/>
  <c r="J53"/>
  <c r="J40"/>
  <c r="J41"/>
  <c r="J42"/>
  <c r="J48"/>
  <c r="J49"/>
  <c r="J50"/>
  <c r="J36"/>
  <c r="J44"/>
  <c r="J52"/>
  <c r="J37"/>
  <c r="J45"/>
  <c r="J54"/>
  <c r="J38"/>
  <c r="J46"/>
  <c r="J55"/>
  <c r="J5"/>
  <c r="J4"/>
  <c r="J6"/>
  <c r="J7"/>
  <c r="F9"/>
  <c r="J9"/>
  <c r="I9"/>
  <c r="H9"/>
  <c r="D9"/>
  <c r="G9"/>
  <c r="K9"/>
  <c r="E9"/>
  <c r="K4" i="33" l="1"/>
  <c r="K3"/>
  <c r="L10"/>
  <c r="K5"/>
  <c r="K6"/>
  <c r="K7"/>
  <c r="K8"/>
  <c r="H10"/>
  <c r="D10"/>
  <c r="J10"/>
  <c r="F10"/>
  <c r="K10"/>
  <c r="I10"/>
  <c r="E10"/>
  <c r="G10"/>
  <c r="BZ4" i="32"/>
  <c r="BZ8"/>
  <c r="BZ12"/>
  <c r="BZ16"/>
  <c r="BZ20"/>
  <c r="BZ24"/>
  <c r="BZ28"/>
  <c r="BZ32"/>
  <c r="BZ36"/>
  <c r="BZ40"/>
  <c r="BZ44"/>
  <c r="BZ48"/>
  <c r="BZ52"/>
  <c r="BZ56"/>
  <c r="BZ60"/>
  <c r="BZ64"/>
  <c r="BZ68"/>
  <c r="BZ72"/>
  <c r="BZ76"/>
  <c r="CA2"/>
  <c r="BZ5"/>
  <c r="BZ9"/>
  <c r="BZ13"/>
  <c r="BZ17"/>
  <c r="BZ21"/>
  <c r="BZ25"/>
  <c r="BZ29"/>
  <c r="BZ33"/>
  <c r="BZ37"/>
  <c r="BZ41"/>
  <c r="BZ45"/>
  <c r="BZ49"/>
  <c r="BZ53"/>
  <c r="BZ57"/>
  <c r="BZ61"/>
  <c r="BZ65"/>
  <c r="BZ69"/>
  <c r="BZ10"/>
  <c r="BZ18"/>
  <c r="BZ26"/>
  <c r="BZ34"/>
  <c r="BZ42"/>
  <c r="BZ50"/>
  <c r="BZ58"/>
  <c r="BZ66"/>
  <c r="BZ73"/>
  <c r="BZ6"/>
  <c r="BZ22"/>
  <c r="BZ38"/>
  <c r="BZ54"/>
  <c r="BZ70"/>
  <c r="BZ75"/>
  <c r="BZ78"/>
  <c r="BZ7"/>
  <c r="BZ15"/>
  <c r="BZ39"/>
  <c r="BZ47"/>
  <c r="BZ71"/>
  <c r="BZ74"/>
  <c r="BZ3"/>
  <c r="BZ11"/>
  <c r="BZ19"/>
  <c r="BZ27"/>
  <c r="BZ35"/>
  <c r="BZ43"/>
  <c r="BZ51"/>
  <c r="BZ59"/>
  <c r="BZ67"/>
  <c r="BZ14"/>
  <c r="BZ30"/>
  <c r="BZ46"/>
  <c r="BZ62"/>
  <c r="BZ23"/>
  <c r="BZ31"/>
  <c r="BZ55"/>
  <c r="BZ63"/>
  <c r="BZ77"/>
  <c r="F10"/>
  <c r="G10"/>
  <c r="H10"/>
  <c r="I10"/>
  <c r="J10"/>
  <c r="K3"/>
  <c r="K5"/>
  <c r="K7"/>
  <c r="K9"/>
  <c r="K11"/>
  <c r="L2"/>
  <c r="K6"/>
  <c r="K10"/>
  <c r="K8"/>
  <c r="K4"/>
  <c r="D10"/>
  <c r="E10"/>
  <c r="B11"/>
  <c r="K40" i="31"/>
  <c r="K41"/>
  <c r="K42"/>
  <c r="K48"/>
  <c r="K49"/>
  <c r="K50"/>
  <c r="K36"/>
  <c r="K38"/>
  <c r="K45"/>
  <c r="K54"/>
  <c r="L2"/>
  <c r="K39"/>
  <c r="K47"/>
  <c r="K56"/>
  <c r="K53"/>
  <c r="K37"/>
  <c r="K44"/>
  <c r="K46"/>
  <c r="K52"/>
  <c r="K55"/>
  <c r="K3"/>
  <c r="K43"/>
  <c r="K51"/>
  <c r="K5"/>
  <c r="K4"/>
  <c r="K6"/>
  <c r="K7"/>
  <c r="K8"/>
  <c r="F10"/>
  <c r="J10"/>
  <c r="I10"/>
  <c r="D10"/>
  <c r="H10"/>
  <c r="G10"/>
  <c r="L10"/>
  <c r="K10"/>
  <c r="E10"/>
  <c r="J11" i="33" l="1"/>
  <c r="F11"/>
  <c r="L11"/>
  <c r="H11"/>
  <c r="D11"/>
  <c r="G11"/>
  <c r="I11"/>
  <c r="K11"/>
  <c r="E11"/>
  <c r="L3"/>
  <c r="L4"/>
  <c r="L5"/>
  <c r="L6"/>
  <c r="L7"/>
  <c r="L8"/>
  <c r="L9"/>
  <c r="CA5" i="32"/>
  <c r="CA9"/>
  <c r="CA13"/>
  <c r="CA17"/>
  <c r="CA21"/>
  <c r="CA25"/>
  <c r="CA29"/>
  <c r="CA33"/>
  <c r="CA37"/>
  <c r="CA41"/>
  <c r="CA45"/>
  <c r="CA49"/>
  <c r="CA53"/>
  <c r="CA57"/>
  <c r="CA61"/>
  <c r="CA65"/>
  <c r="CA69"/>
  <c r="CA73"/>
  <c r="CA77"/>
  <c r="CA6"/>
  <c r="CA10"/>
  <c r="CA14"/>
  <c r="CA18"/>
  <c r="CA22"/>
  <c r="CA26"/>
  <c r="CA30"/>
  <c r="CA34"/>
  <c r="CA38"/>
  <c r="CA42"/>
  <c r="CA46"/>
  <c r="CA50"/>
  <c r="CA54"/>
  <c r="CA58"/>
  <c r="CA62"/>
  <c r="CA66"/>
  <c r="CA70"/>
  <c r="CA3"/>
  <c r="CA11"/>
  <c r="CA19"/>
  <c r="CA27"/>
  <c r="CA35"/>
  <c r="CA43"/>
  <c r="CA51"/>
  <c r="CA59"/>
  <c r="CA67"/>
  <c r="CA76"/>
  <c r="CA7"/>
  <c r="CA15"/>
  <c r="CA31"/>
  <c r="CA47"/>
  <c r="CA63"/>
  <c r="CA8"/>
  <c r="CA16"/>
  <c r="CA24"/>
  <c r="CA32"/>
  <c r="CA56"/>
  <c r="CA64"/>
  <c r="CA4"/>
  <c r="CA12"/>
  <c r="CA20"/>
  <c r="CA28"/>
  <c r="CA36"/>
  <c r="CA44"/>
  <c r="CA52"/>
  <c r="CA60"/>
  <c r="CA68"/>
  <c r="CA72"/>
  <c r="CA75"/>
  <c r="CA78"/>
  <c r="CA23"/>
  <c r="CA39"/>
  <c r="CA55"/>
  <c r="CA71"/>
  <c r="CA74"/>
  <c r="CA40"/>
  <c r="CA48"/>
  <c r="F11"/>
  <c r="G11"/>
  <c r="H11"/>
  <c r="I11"/>
  <c r="J11"/>
  <c r="M2"/>
  <c r="L4"/>
  <c r="L6"/>
  <c r="L8"/>
  <c r="L10"/>
  <c r="L3"/>
  <c r="L7"/>
  <c r="L11"/>
  <c r="L5"/>
  <c r="L9"/>
  <c r="E11"/>
  <c r="B12"/>
  <c r="L12" s="1"/>
  <c r="D11"/>
  <c r="M2" i="31"/>
  <c r="L39"/>
  <c r="L47"/>
  <c r="L56"/>
  <c r="L3"/>
  <c r="L43"/>
  <c r="L51"/>
  <c r="L53"/>
  <c r="L5"/>
  <c r="L36"/>
  <c r="L37"/>
  <c r="L38"/>
  <c r="L44"/>
  <c r="L45"/>
  <c r="L46"/>
  <c r="L52"/>
  <c r="L54"/>
  <c r="L55"/>
  <c r="L41"/>
  <c r="L49"/>
  <c r="L42"/>
  <c r="L50"/>
  <c r="L40"/>
  <c r="L48"/>
  <c r="L4"/>
  <c r="L6"/>
  <c r="L7"/>
  <c r="L8"/>
  <c r="L9"/>
  <c r="F11"/>
  <c r="J11"/>
  <c r="D11"/>
  <c r="I11"/>
  <c r="H11"/>
  <c r="G11"/>
  <c r="L11"/>
  <c r="K11"/>
  <c r="E11"/>
  <c r="M3" i="33" l="1"/>
  <c r="N12"/>
  <c r="M5"/>
  <c r="M4"/>
  <c r="M6"/>
  <c r="M7"/>
  <c r="M8"/>
  <c r="M9"/>
  <c r="M10"/>
  <c r="L12"/>
  <c r="H12"/>
  <c r="D12"/>
  <c r="J12"/>
  <c r="F12"/>
  <c r="K12"/>
  <c r="M12"/>
  <c r="E12"/>
  <c r="G12"/>
  <c r="I12"/>
  <c r="M11"/>
  <c r="F12" i="32"/>
  <c r="G12"/>
  <c r="H12"/>
  <c r="I12"/>
  <c r="J12"/>
  <c r="K12"/>
  <c r="M4"/>
  <c r="M6"/>
  <c r="M8"/>
  <c r="M10"/>
  <c r="M12"/>
  <c r="M3"/>
  <c r="M7"/>
  <c r="M11"/>
  <c r="M5"/>
  <c r="M13"/>
  <c r="N2"/>
  <c r="M9"/>
  <c r="D12"/>
  <c r="E12"/>
  <c r="B13"/>
  <c r="M53" i="31"/>
  <c r="M36"/>
  <c r="M37"/>
  <c r="M38"/>
  <c r="M44"/>
  <c r="M45"/>
  <c r="M46"/>
  <c r="M52"/>
  <c r="M54"/>
  <c r="M55"/>
  <c r="M40"/>
  <c r="M41"/>
  <c r="M49"/>
  <c r="N2"/>
  <c r="M3"/>
  <c r="M43"/>
  <c r="M51"/>
  <c r="M42"/>
  <c r="M48"/>
  <c r="M50"/>
  <c r="M4"/>
  <c r="M39"/>
  <c r="M47"/>
  <c r="M56"/>
  <c r="M5"/>
  <c r="M6"/>
  <c r="M7"/>
  <c r="M8"/>
  <c r="M9"/>
  <c r="M10"/>
  <c r="M11"/>
  <c r="F12"/>
  <c r="J12"/>
  <c r="N12"/>
  <c r="I12"/>
  <c r="H12"/>
  <c r="M12"/>
  <c r="G12"/>
  <c r="L12"/>
  <c r="E12"/>
  <c r="K12"/>
  <c r="D12"/>
  <c r="N3" i="33" l="1"/>
  <c r="N5"/>
  <c r="N4"/>
  <c r="N6"/>
  <c r="N7"/>
  <c r="N8"/>
  <c r="N9"/>
  <c r="N10"/>
  <c r="N11"/>
  <c r="N13"/>
  <c r="J13"/>
  <c r="F13"/>
  <c r="L13"/>
  <c r="H13"/>
  <c r="D13"/>
  <c r="O13"/>
  <c r="G13"/>
  <c r="M13"/>
  <c r="I13"/>
  <c r="K13"/>
  <c r="E13"/>
  <c r="F13" i="32"/>
  <c r="G13"/>
  <c r="H13"/>
  <c r="I13"/>
  <c r="J13"/>
  <c r="K13"/>
  <c r="L13"/>
  <c r="N3"/>
  <c r="N5"/>
  <c r="N7"/>
  <c r="N9"/>
  <c r="N11"/>
  <c r="N13"/>
  <c r="N4"/>
  <c r="N8"/>
  <c r="N12"/>
  <c r="O2"/>
  <c r="N10"/>
  <c r="N6"/>
  <c r="N14"/>
  <c r="E13"/>
  <c r="B14"/>
  <c r="D13"/>
  <c r="N3" i="31"/>
  <c r="N43"/>
  <c r="N51"/>
  <c r="N53"/>
  <c r="N40"/>
  <c r="N41"/>
  <c r="N42"/>
  <c r="N48"/>
  <c r="N49"/>
  <c r="N50"/>
  <c r="O2"/>
  <c r="O13" s="1"/>
  <c r="N39"/>
  <c r="N47"/>
  <c r="N56"/>
  <c r="N36"/>
  <c r="N44"/>
  <c r="N52"/>
  <c r="N37"/>
  <c r="N45"/>
  <c r="N54"/>
  <c r="N38"/>
  <c r="N46"/>
  <c r="N55"/>
  <c r="N5"/>
  <c r="N4"/>
  <c r="N6"/>
  <c r="N7"/>
  <c r="N8"/>
  <c r="N9"/>
  <c r="N10"/>
  <c r="N11"/>
  <c r="F13"/>
  <c r="K13"/>
  <c r="I13"/>
  <c r="J13"/>
  <c r="H13"/>
  <c r="N13"/>
  <c r="G13"/>
  <c r="M13"/>
  <c r="D13"/>
  <c r="L13"/>
  <c r="E13"/>
  <c r="L14" i="33" l="1"/>
  <c r="H14"/>
  <c r="D14"/>
  <c r="N14"/>
  <c r="J14"/>
  <c r="F14"/>
  <c r="K14"/>
  <c r="I14"/>
  <c r="M14"/>
  <c r="E14"/>
  <c r="O14"/>
  <c r="G14"/>
  <c r="O3"/>
  <c r="O4"/>
  <c r="O5"/>
  <c r="O6"/>
  <c r="O7"/>
  <c r="O8"/>
  <c r="O9"/>
  <c r="O10"/>
  <c r="O11"/>
  <c r="O12"/>
  <c r="F14" i="32"/>
  <c r="G14"/>
  <c r="H14"/>
  <c r="I14"/>
  <c r="J14"/>
  <c r="K14"/>
  <c r="L14"/>
  <c r="M14"/>
  <c r="O3"/>
  <c r="O5"/>
  <c r="O7"/>
  <c r="O9"/>
  <c r="O11"/>
  <c r="O13"/>
  <c r="P2"/>
  <c r="O4"/>
  <c r="O8"/>
  <c r="O12"/>
  <c r="O10"/>
  <c r="O14"/>
  <c r="O6"/>
  <c r="D14"/>
  <c r="B15"/>
  <c r="E14"/>
  <c r="O40" i="31"/>
  <c r="O41"/>
  <c r="O42"/>
  <c r="O48"/>
  <c r="O49"/>
  <c r="O50"/>
  <c r="O37"/>
  <c r="O44"/>
  <c r="O46"/>
  <c r="O52"/>
  <c r="O55"/>
  <c r="P2"/>
  <c r="O39"/>
  <c r="O47"/>
  <c r="O56"/>
  <c r="O53"/>
  <c r="O36"/>
  <c r="O38"/>
  <c r="O45"/>
  <c r="O54"/>
  <c r="O43"/>
  <c r="O51"/>
  <c r="O3"/>
  <c r="O5"/>
  <c r="O4"/>
  <c r="O6"/>
  <c r="O7"/>
  <c r="O8"/>
  <c r="O9"/>
  <c r="O10"/>
  <c r="O11"/>
  <c r="O12"/>
  <c r="G14"/>
  <c r="K14"/>
  <c r="O14"/>
  <c r="E14"/>
  <c r="J14"/>
  <c r="P14"/>
  <c r="I14"/>
  <c r="N14"/>
  <c r="D14"/>
  <c r="H14"/>
  <c r="M14"/>
  <c r="L14"/>
  <c r="F14"/>
  <c r="P3" i="33" l="1"/>
  <c r="P5"/>
  <c r="P4"/>
  <c r="P6"/>
  <c r="P7"/>
  <c r="P8"/>
  <c r="P9"/>
  <c r="P10"/>
  <c r="P11"/>
  <c r="P12"/>
  <c r="P13"/>
  <c r="N15"/>
  <c r="J15"/>
  <c r="F15"/>
  <c r="P15"/>
  <c r="L15"/>
  <c r="H15"/>
  <c r="D15"/>
  <c r="O15"/>
  <c r="G15"/>
  <c r="M15"/>
  <c r="I15"/>
  <c r="E15"/>
  <c r="K15"/>
  <c r="P14"/>
  <c r="F15" i="32"/>
  <c r="G15"/>
  <c r="H15"/>
  <c r="I15"/>
  <c r="J15"/>
  <c r="K15"/>
  <c r="L15"/>
  <c r="M15"/>
  <c r="N15"/>
  <c r="O15"/>
  <c r="Q2"/>
  <c r="P4"/>
  <c r="P6"/>
  <c r="P8"/>
  <c r="P10"/>
  <c r="P12"/>
  <c r="P14"/>
  <c r="P5"/>
  <c r="P9"/>
  <c r="P13"/>
  <c r="P7"/>
  <c r="P15"/>
  <c r="P3"/>
  <c r="P11"/>
  <c r="E15"/>
  <c r="B16"/>
  <c r="P16" s="1"/>
  <c r="D15"/>
  <c r="Q2" i="31"/>
  <c r="P39"/>
  <c r="P47"/>
  <c r="P56"/>
  <c r="P53"/>
  <c r="P36"/>
  <c r="P37"/>
  <c r="P38"/>
  <c r="P44"/>
  <c r="P45"/>
  <c r="P46"/>
  <c r="P52"/>
  <c r="P54"/>
  <c r="P55"/>
  <c r="P3"/>
  <c r="P43"/>
  <c r="P51"/>
  <c r="P42"/>
  <c r="P50"/>
  <c r="P40"/>
  <c r="P48"/>
  <c r="P41"/>
  <c r="P49"/>
  <c r="P5"/>
  <c r="P4"/>
  <c r="P6"/>
  <c r="P7"/>
  <c r="P8"/>
  <c r="P9"/>
  <c r="P10"/>
  <c r="P11"/>
  <c r="P12"/>
  <c r="P13"/>
  <c r="E15"/>
  <c r="I15"/>
  <c r="M15"/>
  <c r="Q15"/>
  <c r="D15"/>
  <c r="H15"/>
  <c r="L15"/>
  <c r="P15"/>
  <c r="K15"/>
  <c r="J15"/>
  <c r="G15"/>
  <c r="O15"/>
  <c r="F15"/>
  <c r="N15"/>
  <c r="Q3" i="33" l="1"/>
  <c r="Q5"/>
  <c r="Q4"/>
  <c r="Q6"/>
  <c r="Q7"/>
  <c r="Q8"/>
  <c r="Q9"/>
  <c r="Q10"/>
  <c r="Q11"/>
  <c r="Q12"/>
  <c r="Q13"/>
  <c r="Q14"/>
  <c r="P16"/>
  <c r="L16"/>
  <c r="H16"/>
  <c r="D16"/>
  <c r="R16"/>
  <c r="N16"/>
  <c r="J16"/>
  <c r="F16"/>
  <c r="K16"/>
  <c r="Q16"/>
  <c r="M16"/>
  <c r="E16"/>
  <c r="I16"/>
  <c r="O16"/>
  <c r="G16"/>
  <c r="Q15"/>
  <c r="F16" i="32"/>
  <c r="G16"/>
  <c r="H16"/>
  <c r="I16"/>
  <c r="J16"/>
  <c r="K16"/>
  <c r="L16"/>
  <c r="M16"/>
  <c r="N16"/>
  <c r="O16"/>
  <c r="Q4"/>
  <c r="Q6"/>
  <c r="Q8"/>
  <c r="Q10"/>
  <c r="Q12"/>
  <c r="Q14"/>
  <c r="Q16"/>
  <c r="Q5"/>
  <c r="Q9"/>
  <c r="Q13"/>
  <c r="R2"/>
  <c r="Q7"/>
  <c r="Q15"/>
  <c r="Q11"/>
  <c r="Q3"/>
  <c r="D16"/>
  <c r="E16"/>
  <c r="B17"/>
  <c r="Q53" i="31"/>
  <c r="Q36"/>
  <c r="Q37"/>
  <c r="Q38"/>
  <c r="Q44"/>
  <c r="Q45"/>
  <c r="Q46"/>
  <c r="Q52"/>
  <c r="Q54"/>
  <c r="Q55"/>
  <c r="Q40"/>
  <c r="Q42"/>
  <c r="Q48"/>
  <c r="Q50"/>
  <c r="R2"/>
  <c r="Q3"/>
  <c r="Q43"/>
  <c r="Q51"/>
  <c r="Q4"/>
  <c r="Q41"/>
  <c r="Q49"/>
  <c r="Q39"/>
  <c r="Q47"/>
  <c r="Q56"/>
  <c r="Q5"/>
  <c r="Q6"/>
  <c r="Q7"/>
  <c r="Q8"/>
  <c r="Q9"/>
  <c r="Q10"/>
  <c r="Q11"/>
  <c r="Q12"/>
  <c r="Q13"/>
  <c r="Q14"/>
  <c r="D16"/>
  <c r="H16"/>
  <c r="L16"/>
  <c r="P16"/>
  <c r="G16"/>
  <c r="K16"/>
  <c r="O16"/>
  <c r="F16"/>
  <c r="N16"/>
  <c r="E16"/>
  <c r="M16"/>
  <c r="J16"/>
  <c r="R16"/>
  <c r="I16"/>
  <c r="Q16"/>
  <c r="R3" i="33" l="1"/>
  <c r="R5"/>
  <c r="R4"/>
  <c r="R6"/>
  <c r="R7"/>
  <c r="R8"/>
  <c r="R9"/>
  <c r="R10"/>
  <c r="R11"/>
  <c r="R12"/>
  <c r="R13"/>
  <c r="R14"/>
  <c r="R15"/>
  <c r="R17"/>
  <c r="N17"/>
  <c r="J17"/>
  <c r="F17"/>
  <c r="P17"/>
  <c r="L17"/>
  <c r="H17"/>
  <c r="D17"/>
  <c r="O17"/>
  <c r="G17"/>
  <c r="M17"/>
  <c r="Q17"/>
  <c r="I17"/>
  <c r="E17"/>
  <c r="S17"/>
  <c r="K17"/>
  <c r="F17" i="32"/>
  <c r="G17"/>
  <c r="H17"/>
  <c r="I17"/>
  <c r="J17"/>
  <c r="K17"/>
  <c r="L17"/>
  <c r="M17"/>
  <c r="N17"/>
  <c r="O17"/>
  <c r="P17"/>
  <c r="Q17"/>
  <c r="R3"/>
  <c r="R5"/>
  <c r="R7"/>
  <c r="R9"/>
  <c r="R11"/>
  <c r="R13"/>
  <c r="R15"/>
  <c r="R17"/>
  <c r="S2"/>
  <c r="R6"/>
  <c r="R10"/>
  <c r="R14"/>
  <c r="R4"/>
  <c r="R12"/>
  <c r="R16"/>
  <c r="R8"/>
  <c r="E17"/>
  <c r="B18"/>
  <c r="D17"/>
  <c r="R37" i="31"/>
  <c r="R41"/>
  <c r="R45"/>
  <c r="R49"/>
  <c r="R54"/>
  <c r="R39"/>
  <c r="R47"/>
  <c r="R56"/>
  <c r="R53"/>
  <c r="R36"/>
  <c r="R40"/>
  <c r="R44"/>
  <c r="R48"/>
  <c r="R52"/>
  <c r="R3"/>
  <c r="S2"/>
  <c r="R43"/>
  <c r="R51"/>
  <c r="R42"/>
  <c r="R38"/>
  <c r="R55"/>
  <c r="R50"/>
  <c r="R46"/>
  <c r="R5"/>
  <c r="R4"/>
  <c r="R6"/>
  <c r="R7"/>
  <c r="R8"/>
  <c r="R9"/>
  <c r="R10"/>
  <c r="R11"/>
  <c r="R12"/>
  <c r="R13"/>
  <c r="R14"/>
  <c r="R15"/>
  <c r="G17"/>
  <c r="K17"/>
  <c r="O17"/>
  <c r="S17"/>
  <c r="F17"/>
  <c r="J17"/>
  <c r="N17"/>
  <c r="R17"/>
  <c r="I17"/>
  <c r="Q17"/>
  <c r="H17"/>
  <c r="P17"/>
  <c r="E17"/>
  <c r="M17"/>
  <c r="D17"/>
  <c r="L17"/>
  <c r="P18" i="33" l="1"/>
  <c r="L18"/>
  <c r="H18"/>
  <c r="D18"/>
  <c r="R18"/>
  <c r="N18"/>
  <c r="J18"/>
  <c r="F18"/>
  <c r="S18"/>
  <c r="K18"/>
  <c r="Q18"/>
  <c r="M18"/>
  <c r="E18"/>
  <c r="I18"/>
  <c r="O18"/>
  <c r="G18"/>
  <c r="S3"/>
  <c r="S4"/>
  <c r="S5"/>
  <c r="S6"/>
  <c r="S7"/>
  <c r="S8"/>
  <c r="S9"/>
  <c r="S10"/>
  <c r="S11"/>
  <c r="S12"/>
  <c r="S13"/>
  <c r="S14"/>
  <c r="S15"/>
  <c r="S16"/>
  <c r="F18" i="32"/>
  <c r="G18"/>
  <c r="H18"/>
  <c r="I18"/>
  <c r="J18"/>
  <c r="K18"/>
  <c r="L18"/>
  <c r="M18"/>
  <c r="N18"/>
  <c r="O18"/>
  <c r="P18"/>
  <c r="Q18"/>
  <c r="R18"/>
  <c r="S3"/>
  <c r="S5"/>
  <c r="S7"/>
  <c r="S9"/>
  <c r="S11"/>
  <c r="S13"/>
  <c r="S15"/>
  <c r="S17"/>
  <c r="S19"/>
  <c r="T2"/>
  <c r="S6"/>
  <c r="S10"/>
  <c r="S14"/>
  <c r="S18"/>
  <c r="S4"/>
  <c r="S12"/>
  <c r="S8"/>
  <c r="S16"/>
  <c r="D18"/>
  <c r="E18"/>
  <c r="B19"/>
  <c r="S36" i="31"/>
  <c r="S40"/>
  <c r="S44"/>
  <c r="S48"/>
  <c r="S52"/>
  <c r="S3"/>
  <c r="S53"/>
  <c r="S38"/>
  <c r="S46"/>
  <c r="S55"/>
  <c r="T2"/>
  <c r="S39"/>
  <c r="S43"/>
  <c r="S47"/>
  <c r="S51"/>
  <c r="S56"/>
  <c r="S42"/>
  <c r="S50"/>
  <c r="S49"/>
  <c r="S45"/>
  <c r="S41"/>
  <c r="S37"/>
  <c r="S54"/>
  <c r="S5"/>
  <c r="S4"/>
  <c r="S6"/>
  <c r="S7"/>
  <c r="S8"/>
  <c r="S9"/>
  <c r="S10"/>
  <c r="S11"/>
  <c r="S12"/>
  <c r="S13"/>
  <c r="S14"/>
  <c r="S15"/>
  <c r="S16"/>
  <c r="F18"/>
  <c r="J18"/>
  <c r="N18"/>
  <c r="R18"/>
  <c r="E18"/>
  <c r="I18"/>
  <c r="M18"/>
  <c r="Q18"/>
  <c r="D18"/>
  <c r="L18"/>
  <c r="T18"/>
  <c r="K18"/>
  <c r="S18"/>
  <c r="H18"/>
  <c r="P18"/>
  <c r="G18"/>
  <c r="O18"/>
  <c r="T3" i="33" l="1"/>
  <c r="U19"/>
  <c r="T4"/>
  <c r="T5"/>
  <c r="T6"/>
  <c r="T7"/>
  <c r="T8"/>
  <c r="T9"/>
  <c r="T10"/>
  <c r="T11"/>
  <c r="T12"/>
  <c r="T13"/>
  <c r="T14"/>
  <c r="T15"/>
  <c r="T16"/>
  <c r="T17"/>
  <c r="R19"/>
  <c r="N19"/>
  <c r="J19"/>
  <c r="F19"/>
  <c r="T19"/>
  <c r="P19"/>
  <c r="L19"/>
  <c r="H19"/>
  <c r="D19"/>
  <c r="O19"/>
  <c r="G19"/>
  <c r="M19"/>
  <c r="Q19"/>
  <c r="I19"/>
  <c r="E19"/>
  <c r="S19"/>
  <c r="K19"/>
  <c r="T18"/>
  <c r="F19" i="32"/>
  <c r="G19"/>
  <c r="H19"/>
  <c r="I19"/>
  <c r="J19"/>
  <c r="K19"/>
  <c r="L19"/>
  <c r="M19"/>
  <c r="N19"/>
  <c r="O19"/>
  <c r="P19"/>
  <c r="Q19"/>
  <c r="R19"/>
  <c r="U2"/>
  <c r="T4"/>
  <c r="T6"/>
  <c r="T8"/>
  <c r="T10"/>
  <c r="T12"/>
  <c r="T14"/>
  <c r="T16"/>
  <c r="T18"/>
  <c r="T3"/>
  <c r="T7"/>
  <c r="T11"/>
  <c r="T15"/>
  <c r="T19"/>
  <c r="T9"/>
  <c r="T17"/>
  <c r="T5"/>
  <c r="T13"/>
  <c r="E19"/>
  <c r="B20"/>
  <c r="T20" s="1"/>
  <c r="D19"/>
  <c r="U2" i="31"/>
  <c r="U19" s="1"/>
  <c r="T39"/>
  <c r="T43"/>
  <c r="T47"/>
  <c r="T51"/>
  <c r="T56"/>
  <c r="T37"/>
  <c r="T45"/>
  <c r="T54"/>
  <c r="T53"/>
  <c r="T38"/>
  <c r="T42"/>
  <c r="T46"/>
  <c r="T50"/>
  <c r="T55"/>
  <c r="T41"/>
  <c r="T49"/>
  <c r="T40"/>
  <c r="T3"/>
  <c r="T36"/>
  <c r="T52"/>
  <c r="T48"/>
  <c r="T44"/>
  <c r="T5"/>
  <c r="T4"/>
  <c r="T6"/>
  <c r="T7"/>
  <c r="T8"/>
  <c r="T9"/>
  <c r="T10"/>
  <c r="T11"/>
  <c r="T12"/>
  <c r="T13"/>
  <c r="T14"/>
  <c r="T15"/>
  <c r="T16"/>
  <c r="T17"/>
  <c r="E19"/>
  <c r="I19"/>
  <c r="M19"/>
  <c r="Q19"/>
  <c r="D19"/>
  <c r="H19"/>
  <c r="L19"/>
  <c r="P19"/>
  <c r="T19"/>
  <c r="G19"/>
  <c r="O19"/>
  <c r="F19"/>
  <c r="N19"/>
  <c r="K19"/>
  <c r="S19"/>
  <c r="J19"/>
  <c r="R19"/>
  <c r="U3" i="33" l="1"/>
  <c r="V20"/>
  <c r="U4"/>
  <c r="U5"/>
  <c r="U6"/>
  <c r="U7"/>
  <c r="U8"/>
  <c r="U9"/>
  <c r="U10"/>
  <c r="U11"/>
  <c r="U12"/>
  <c r="U13"/>
  <c r="U14"/>
  <c r="U15"/>
  <c r="U16"/>
  <c r="U17"/>
  <c r="U18"/>
  <c r="T20"/>
  <c r="P20"/>
  <c r="L20"/>
  <c r="H20"/>
  <c r="D20"/>
  <c r="R20"/>
  <c r="N20"/>
  <c r="J20"/>
  <c r="F20"/>
  <c r="S20"/>
  <c r="K20"/>
  <c r="Q20"/>
  <c r="U20"/>
  <c r="M20"/>
  <c r="E20"/>
  <c r="I20"/>
  <c r="O20"/>
  <c r="G20"/>
  <c r="F20" i="32"/>
  <c r="G20"/>
  <c r="H20"/>
  <c r="I20"/>
  <c r="J20"/>
  <c r="K20"/>
  <c r="L20"/>
  <c r="M20"/>
  <c r="N20"/>
  <c r="O20"/>
  <c r="P20"/>
  <c r="Q20"/>
  <c r="R20"/>
  <c r="S20"/>
  <c r="U4"/>
  <c r="U6"/>
  <c r="U8"/>
  <c r="U10"/>
  <c r="U12"/>
  <c r="U14"/>
  <c r="U16"/>
  <c r="U18"/>
  <c r="U20"/>
  <c r="U3"/>
  <c r="U7"/>
  <c r="U11"/>
  <c r="U15"/>
  <c r="U19"/>
  <c r="U9"/>
  <c r="U17"/>
  <c r="U5"/>
  <c r="U13"/>
  <c r="V2"/>
  <c r="D20"/>
  <c r="E20"/>
  <c r="B21"/>
  <c r="U53" i="31"/>
  <c r="U38"/>
  <c r="U42"/>
  <c r="U46"/>
  <c r="U50"/>
  <c r="U55"/>
  <c r="U36"/>
  <c r="U44"/>
  <c r="U52"/>
  <c r="V2"/>
  <c r="U37"/>
  <c r="U41"/>
  <c r="U45"/>
  <c r="U49"/>
  <c r="U54"/>
  <c r="U40"/>
  <c r="U48"/>
  <c r="U3"/>
  <c r="U47"/>
  <c r="U43"/>
  <c r="U39"/>
  <c r="U56"/>
  <c r="U51"/>
  <c r="U4"/>
  <c r="U5"/>
  <c r="U6"/>
  <c r="U7"/>
  <c r="U8"/>
  <c r="U9"/>
  <c r="U10"/>
  <c r="U11"/>
  <c r="U12"/>
  <c r="U13"/>
  <c r="U14"/>
  <c r="U15"/>
  <c r="U16"/>
  <c r="U17"/>
  <c r="U18"/>
  <c r="D20"/>
  <c r="H20"/>
  <c r="L20"/>
  <c r="P20"/>
  <c r="T20"/>
  <c r="G20"/>
  <c r="K20"/>
  <c r="O20"/>
  <c r="S20"/>
  <c r="J20"/>
  <c r="R20"/>
  <c r="I20"/>
  <c r="Q20"/>
  <c r="F20"/>
  <c r="N20"/>
  <c r="V20"/>
  <c r="E20"/>
  <c r="M20"/>
  <c r="U20"/>
  <c r="V3" i="33" l="1"/>
  <c r="V5"/>
  <c r="V4"/>
  <c r="V6"/>
  <c r="V7"/>
  <c r="V8"/>
  <c r="V9"/>
  <c r="V10"/>
  <c r="V11"/>
  <c r="V12"/>
  <c r="V13"/>
  <c r="V14"/>
  <c r="V15"/>
  <c r="V16"/>
  <c r="V17"/>
  <c r="V18"/>
  <c r="V19"/>
  <c r="V21"/>
  <c r="R21"/>
  <c r="N21"/>
  <c r="J21"/>
  <c r="F21"/>
  <c r="T21"/>
  <c r="P21"/>
  <c r="L21"/>
  <c r="H21"/>
  <c r="D21"/>
  <c r="O21"/>
  <c r="G21"/>
  <c r="U21"/>
  <c r="M21"/>
  <c r="E21"/>
  <c r="Q21"/>
  <c r="I21"/>
  <c r="S21"/>
  <c r="K21"/>
  <c r="F21" i="32"/>
  <c r="G21"/>
  <c r="H21"/>
  <c r="I21"/>
  <c r="J21"/>
  <c r="K21"/>
  <c r="L21"/>
  <c r="M21"/>
  <c r="N21"/>
  <c r="O21"/>
  <c r="P21"/>
  <c r="Q21"/>
  <c r="R21"/>
  <c r="S21"/>
  <c r="T21"/>
  <c r="U21"/>
  <c r="V3"/>
  <c r="V5"/>
  <c r="V7"/>
  <c r="V9"/>
  <c r="V11"/>
  <c r="V13"/>
  <c r="V15"/>
  <c r="V17"/>
  <c r="V19"/>
  <c r="V4"/>
  <c r="V8"/>
  <c r="V12"/>
  <c r="V16"/>
  <c r="V20"/>
  <c r="V21"/>
  <c r="V6"/>
  <c r="V14"/>
  <c r="W2"/>
  <c r="V10"/>
  <c r="V18"/>
  <c r="E21"/>
  <c r="B22"/>
  <c r="D21"/>
  <c r="V37" i="31"/>
  <c r="V41"/>
  <c r="V45"/>
  <c r="V49"/>
  <c r="V54"/>
  <c r="V43"/>
  <c r="V51"/>
  <c r="V5"/>
  <c r="V53"/>
  <c r="V36"/>
  <c r="V40"/>
  <c r="V44"/>
  <c r="V48"/>
  <c r="V52"/>
  <c r="V3"/>
  <c r="W2"/>
  <c r="V39"/>
  <c r="V47"/>
  <c r="V56"/>
  <c r="V38"/>
  <c r="V55"/>
  <c r="V50"/>
  <c r="V46"/>
  <c r="V42"/>
  <c r="V4"/>
  <c r="V6"/>
  <c r="V7"/>
  <c r="V8"/>
  <c r="V9"/>
  <c r="V10"/>
  <c r="V11"/>
  <c r="V12"/>
  <c r="V13"/>
  <c r="V14"/>
  <c r="V15"/>
  <c r="V16"/>
  <c r="V17"/>
  <c r="V18"/>
  <c r="V19"/>
  <c r="G21"/>
  <c r="K21"/>
  <c r="O21"/>
  <c r="S21"/>
  <c r="W21"/>
  <c r="F21"/>
  <c r="J21"/>
  <c r="N21"/>
  <c r="E21"/>
  <c r="M21"/>
  <c r="T21"/>
  <c r="D21"/>
  <c r="L21"/>
  <c r="R21"/>
  <c r="I21"/>
  <c r="Q21"/>
  <c r="V21"/>
  <c r="H21"/>
  <c r="P21"/>
  <c r="U21"/>
  <c r="F22" i="32" l="1"/>
  <c r="G22"/>
  <c r="H22"/>
  <c r="I22"/>
  <c r="J22"/>
  <c r="K22"/>
  <c r="L22"/>
  <c r="M22"/>
  <c r="N22"/>
  <c r="O22"/>
  <c r="P22"/>
  <c r="Q22"/>
  <c r="R22"/>
  <c r="S22"/>
  <c r="T22"/>
  <c r="U22"/>
  <c r="V22"/>
  <c r="W3"/>
  <c r="W5"/>
  <c r="W7"/>
  <c r="W9"/>
  <c r="W11"/>
  <c r="W13"/>
  <c r="W15"/>
  <c r="W17"/>
  <c r="W19"/>
  <c r="X2"/>
  <c r="W4"/>
  <c r="W8"/>
  <c r="W12"/>
  <c r="W16"/>
  <c r="W20"/>
  <c r="W21"/>
  <c r="W23"/>
  <c r="W6"/>
  <c r="W14"/>
  <c r="W18"/>
  <c r="W22"/>
  <c r="W10"/>
  <c r="D22"/>
  <c r="B23"/>
  <c r="E22"/>
  <c r="W36" i="31"/>
  <c r="W40"/>
  <c r="W44"/>
  <c r="W48"/>
  <c r="W52"/>
  <c r="W3"/>
  <c r="W42"/>
  <c r="W50"/>
  <c r="X2"/>
  <c r="W39"/>
  <c r="W43"/>
  <c r="W47"/>
  <c r="W51"/>
  <c r="W56"/>
  <c r="W53"/>
  <c r="W38"/>
  <c r="W46"/>
  <c r="W55"/>
  <c r="W45"/>
  <c r="W41"/>
  <c r="W37"/>
  <c r="W54"/>
  <c r="W49"/>
  <c r="W4"/>
  <c r="W5"/>
  <c r="W6"/>
  <c r="W7"/>
  <c r="W8"/>
  <c r="W9"/>
  <c r="W10"/>
  <c r="W11"/>
  <c r="W12"/>
  <c r="W13"/>
  <c r="W14"/>
  <c r="W15"/>
  <c r="W16"/>
  <c r="W17"/>
  <c r="W18"/>
  <c r="W19"/>
  <c r="W20"/>
  <c r="F22"/>
  <c r="J22"/>
  <c r="N22"/>
  <c r="R22"/>
  <c r="V22"/>
  <c r="G22"/>
  <c r="L22"/>
  <c r="Q22"/>
  <c r="W22"/>
  <c r="E22"/>
  <c r="K22"/>
  <c r="P22"/>
  <c r="U22"/>
  <c r="D22"/>
  <c r="I22"/>
  <c r="O22"/>
  <c r="T22"/>
  <c r="H22"/>
  <c r="M22"/>
  <c r="S22"/>
  <c r="F23" i="32" l="1"/>
  <c r="G23"/>
  <c r="H23"/>
  <c r="I23"/>
  <c r="J23"/>
  <c r="K23"/>
  <c r="L23"/>
  <c r="M23"/>
  <c r="N23"/>
  <c r="O23"/>
  <c r="P23"/>
  <c r="Q23"/>
  <c r="R23"/>
  <c r="S23"/>
  <c r="T23"/>
  <c r="U23"/>
  <c r="V23"/>
  <c r="Y2"/>
  <c r="X4"/>
  <c r="X6"/>
  <c r="X8"/>
  <c r="X10"/>
  <c r="X12"/>
  <c r="X14"/>
  <c r="X16"/>
  <c r="X18"/>
  <c r="X20"/>
  <c r="X5"/>
  <c r="X9"/>
  <c r="X13"/>
  <c r="X17"/>
  <c r="X22"/>
  <c r="X24"/>
  <c r="X3"/>
  <c r="X11"/>
  <c r="X19"/>
  <c r="X21"/>
  <c r="X7"/>
  <c r="X15"/>
  <c r="X23"/>
  <c r="E23"/>
  <c r="B24"/>
  <c r="D23"/>
  <c r="Y2" i="31"/>
  <c r="X39"/>
  <c r="X43"/>
  <c r="X47"/>
  <c r="X51"/>
  <c r="X56"/>
  <c r="X3"/>
  <c r="X41"/>
  <c r="X49"/>
  <c r="X53"/>
  <c r="X38"/>
  <c r="X42"/>
  <c r="X46"/>
  <c r="X50"/>
  <c r="X55"/>
  <c r="X37"/>
  <c r="X45"/>
  <c r="X54"/>
  <c r="X36"/>
  <c r="X52"/>
  <c r="X48"/>
  <c r="X44"/>
  <c r="X40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E23"/>
  <c r="I23"/>
  <c r="M23"/>
  <c r="Q23"/>
  <c r="U23"/>
  <c r="D23"/>
  <c r="J23"/>
  <c r="O23"/>
  <c r="T23"/>
  <c r="H23"/>
  <c r="N23"/>
  <c r="S23"/>
  <c r="X23"/>
  <c r="G23"/>
  <c r="L23"/>
  <c r="R23"/>
  <c r="W23"/>
  <c r="F23"/>
  <c r="K23"/>
  <c r="P23"/>
  <c r="V23"/>
  <c r="F24" i="32" l="1"/>
  <c r="G24"/>
  <c r="H24"/>
  <c r="I24"/>
  <c r="J24"/>
  <c r="K24"/>
  <c r="L24"/>
  <c r="M24"/>
  <c r="N24"/>
  <c r="O24"/>
  <c r="P24"/>
  <c r="Q24"/>
  <c r="R24"/>
  <c r="S24"/>
  <c r="T24"/>
  <c r="U24"/>
  <c r="V24"/>
  <c r="W24"/>
  <c r="Y4"/>
  <c r="Y6"/>
  <c r="Y8"/>
  <c r="Y10"/>
  <c r="Y12"/>
  <c r="Y14"/>
  <c r="Y16"/>
  <c r="Y18"/>
  <c r="Y20"/>
  <c r="Y5"/>
  <c r="Y9"/>
  <c r="Y13"/>
  <c r="Y17"/>
  <c r="Y22"/>
  <c r="Y24"/>
  <c r="Z2"/>
  <c r="Y3"/>
  <c r="Y11"/>
  <c r="Y19"/>
  <c r="Y21"/>
  <c r="Y15"/>
  <c r="Y7"/>
  <c r="Y23"/>
  <c r="D24"/>
  <c r="E24"/>
  <c r="B25"/>
  <c r="Y53" i="31"/>
  <c r="Y38"/>
  <c r="Y42"/>
  <c r="Y46"/>
  <c r="Y50"/>
  <c r="Y55"/>
  <c r="Y40"/>
  <c r="Y48"/>
  <c r="Z2"/>
  <c r="Y37"/>
  <c r="Y41"/>
  <c r="Y45"/>
  <c r="Y49"/>
  <c r="Y54"/>
  <c r="Y36"/>
  <c r="Y44"/>
  <c r="Y52"/>
  <c r="Y43"/>
  <c r="Y39"/>
  <c r="Y56"/>
  <c r="Y51"/>
  <c r="Y3"/>
  <c r="Y47"/>
  <c r="Y5"/>
  <c r="Y4"/>
  <c r="Y6"/>
  <c r="Y7"/>
  <c r="Y8"/>
  <c r="Y9"/>
  <c r="Y10"/>
  <c r="Y11"/>
  <c r="Y12"/>
  <c r="Y13"/>
  <c r="Y14"/>
  <c r="Y15"/>
  <c r="Y16"/>
  <c r="Y17"/>
  <c r="Y18"/>
  <c r="Y19"/>
  <c r="Y20"/>
  <c r="Y21"/>
  <c r="Y22"/>
  <c r="Y23"/>
  <c r="D24"/>
  <c r="H24"/>
  <c r="L24"/>
  <c r="P24"/>
  <c r="T24"/>
  <c r="X24"/>
  <c r="G24"/>
  <c r="M24"/>
  <c r="R24"/>
  <c r="W24"/>
  <c r="F24"/>
  <c r="K24"/>
  <c r="Q24"/>
  <c r="V24"/>
  <c r="E24"/>
  <c r="J24"/>
  <c r="O24"/>
  <c r="U24"/>
  <c r="I24"/>
  <c r="N24"/>
  <c r="S24"/>
  <c r="Y24"/>
  <c r="F25" i="32" l="1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3"/>
  <c r="Z5"/>
  <c r="Z7"/>
  <c r="Z9"/>
  <c r="Z11"/>
  <c r="Z13"/>
  <c r="Z15"/>
  <c r="Z17"/>
  <c r="Z19"/>
  <c r="AA2"/>
  <c r="Z6"/>
  <c r="Z10"/>
  <c r="Z14"/>
  <c r="Z18"/>
  <c r="Z21"/>
  <c r="Z23"/>
  <c r="Z25"/>
  <c r="Z8"/>
  <c r="Z16"/>
  <c r="Z22"/>
  <c r="Z4"/>
  <c r="Z12"/>
  <c r="Z24"/>
  <c r="Z20"/>
  <c r="E25"/>
  <c r="B26"/>
  <c r="D25"/>
  <c r="Z37" i="31"/>
  <c r="Z41"/>
  <c r="Z45"/>
  <c r="Z49"/>
  <c r="Z54"/>
  <c r="Z39"/>
  <c r="Z47"/>
  <c r="Z56"/>
  <c r="Z3"/>
  <c r="Z53"/>
  <c r="Z36"/>
  <c r="Z40"/>
  <c r="Z44"/>
  <c r="Z48"/>
  <c r="Z52"/>
  <c r="AA2"/>
  <c r="Z43"/>
  <c r="Z51"/>
  <c r="Z50"/>
  <c r="Z46"/>
  <c r="Z42"/>
  <c r="Z38"/>
  <c r="Z55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G25"/>
  <c r="K25"/>
  <c r="O25"/>
  <c r="S25"/>
  <c r="W25"/>
  <c r="AA25"/>
  <c r="E25"/>
  <c r="J25"/>
  <c r="P25"/>
  <c r="U25"/>
  <c r="Z25"/>
  <c r="D25"/>
  <c r="I25"/>
  <c r="N25"/>
  <c r="T25"/>
  <c r="Y25"/>
  <c r="H25"/>
  <c r="M25"/>
  <c r="R25"/>
  <c r="X25"/>
  <c r="F25"/>
  <c r="L25"/>
  <c r="Q25"/>
  <c r="V25"/>
  <c r="F26" i="32" l="1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3"/>
  <c r="AA5"/>
  <c r="AA7"/>
  <c r="AA9"/>
  <c r="AA11"/>
  <c r="AA13"/>
  <c r="AA15"/>
  <c r="AA17"/>
  <c r="AA19"/>
  <c r="AB2"/>
  <c r="AA6"/>
  <c r="AA10"/>
  <c r="AA14"/>
  <c r="AA18"/>
  <c r="AA21"/>
  <c r="AA23"/>
  <c r="AA25"/>
  <c r="AA27"/>
  <c r="AA8"/>
  <c r="AA16"/>
  <c r="AA22"/>
  <c r="AA26"/>
  <c r="AA12"/>
  <c r="AA24"/>
  <c r="AA4"/>
  <c r="AA20"/>
  <c r="D26"/>
  <c r="E26"/>
  <c r="B27"/>
  <c r="AA36" i="31"/>
  <c r="AA38"/>
  <c r="AA40"/>
  <c r="AA42"/>
  <c r="AA44"/>
  <c r="AA46"/>
  <c r="AA48"/>
  <c r="AA50"/>
  <c r="AA52"/>
  <c r="AA55"/>
  <c r="AA3"/>
  <c r="AA37"/>
  <c r="AA41"/>
  <c r="AA45"/>
  <c r="AA51"/>
  <c r="AA56"/>
  <c r="AB2"/>
  <c r="AB26" s="1"/>
  <c r="AA53"/>
  <c r="AA39"/>
  <c r="AA43"/>
  <c r="AA47"/>
  <c r="AA49"/>
  <c r="AA54"/>
  <c r="AA5"/>
  <c r="AA4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F26"/>
  <c r="J26"/>
  <c r="N26"/>
  <c r="R26"/>
  <c r="V26"/>
  <c r="Z26"/>
  <c r="H26"/>
  <c r="M26"/>
  <c r="S26"/>
  <c r="X26"/>
  <c r="G26"/>
  <c r="L26"/>
  <c r="Q26"/>
  <c r="W26"/>
  <c r="E26"/>
  <c r="K26"/>
  <c r="P26"/>
  <c r="U26"/>
  <c r="AA26"/>
  <c r="D26"/>
  <c r="I26"/>
  <c r="O26"/>
  <c r="T26"/>
  <c r="Y26"/>
  <c r="F27" i="32" l="1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C2"/>
  <c r="AB4"/>
  <c r="AB6"/>
  <c r="AB8"/>
  <c r="AB10"/>
  <c r="AB12"/>
  <c r="AB14"/>
  <c r="AB16"/>
  <c r="AB18"/>
  <c r="AB20"/>
  <c r="AB3"/>
  <c r="AB7"/>
  <c r="AB11"/>
  <c r="AB15"/>
  <c r="AB19"/>
  <c r="AB22"/>
  <c r="AB24"/>
  <c r="AB26"/>
  <c r="AB5"/>
  <c r="AB13"/>
  <c r="AB23"/>
  <c r="AB27"/>
  <c r="AB17"/>
  <c r="AB25"/>
  <c r="AB9"/>
  <c r="AB21"/>
  <c r="E27"/>
  <c r="B28"/>
  <c r="D27"/>
  <c r="AC2" i="31"/>
  <c r="AB36"/>
  <c r="AB38"/>
  <c r="AB40"/>
  <c r="AB42"/>
  <c r="AB53"/>
  <c r="AB37"/>
  <c r="AB39"/>
  <c r="AB41"/>
  <c r="AB43"/>
  <c r="AB45"/>
  <c r="AB47"/>
  <c r="AB49"/>
  <c r="AB51"/>
  <c r="AB54"/>
  <c r="AB56"/>
  <c r="AB50"/>
  <c r="AB44"/>
  <c r="AB52"/>
  <c r="AB46"/>
  <c r="AB55"/>
  <c r="AB48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E27"/>
  <c r="I27"/>
  <c r="M27"/>
  <c r="Q27"/>
  <c r="U27"/>
  <c r="Y27"/>
  <c r="F27"/>
  <c r="K27"/>
  <c r="P27"/>
  <c r="V27"/>
  <c r="AA27"/>
  <c r="D27"/>
  <c r="J27"/>
  <c r="O27"/>
  <c r="T27"/>
  <c r="Z27"/>
  <c r="H27"/>
  <c r="N27"/>
  <c r="S27"/>
  <c r="X27"/>
  <c r="G27"/>
  <c r="L27"/>
  <c r="R27"/>
  <c r="W27"/>
  <c r="AB27"/>
  <c r="F28" i="32" l="1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4"/>
  <c r="AC6"/>
  <c r="AC8"/>
  <c r="AC10"/>
  <c r="AC12"/>
  <c r="AC14"/>
  <c r="AC16"/>
  <c r="AC18"/>
  <c r="AC20"/>
  <c r="AC3"/>
  <c r="AC7"/>
  <c r="AC11"/>
  <c r="AC15"/>
  <c r="AC19"/>
  <c r="AC22"/>
  <c r="AC24"/>
  <c r="AC26"/>
  <c r="AC28"/>
  <c r="AC5"/>
  <c r="AC13"/>
  <c r="AC23"/>
  <c r="AC27"/>
  <c r="AD2"/>
  <c r="AC9"/>
  <c r="AC21"/>
  <c r="AC17"/>
  <c r="AC25"/>
  <c r="D28"/>
  <c r="E28"/>
  <c r="B29"/>
  <c r="AC53" i="31"/>
  <c r="AC37"/>
  <c r="AC39"/>
  <c r="AC41"/>
  <c r="AC43"/>
  <c r="AC45"/>
  <c r="AC47"/>
  <c r="AC49"/>
  <c r="AC51"/>
  <c r="AC54"/>
  <c r="AC56"/>
  <c r="AC38"/>
  <c r="AC42"/>
  <c r="AC46"/>
  <c r="AC48"/>
  <c r="AC52"/>
  <c r="AC3"/>
  <c r="AD2"/>
  <c r="AD28" s="1"/>
  <c r="AC4"/>
  <c r="AC36"/>
  <c r="AC40"/>
  <c r="AC44"/>
  <c r="AC50"/>
  <c r="AC55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D28"/>
  <c r="H28"/>
  <c r="L28"/>
  <c r="P28"/>
  <c r="T28"/>
  <c r="X28"/>
  <c r="AB28"/>
  <c r="I28"/>
  <c r="N28"/>
  <c r="S28"/>
  <c r="Y28"/>
  <c r="G28"/>
  <c r="M28"/>
  <c r="R28"/>
  <c r="W28"/>
  <c r="AC28"/>
  <c r="F28"/>
  <c r="K28"/>
  <c r="Q28"/>
  <c r="V28"/>
  <c r="AA28"/>
  <c r="E28"/>
  <c r="J28"/>
  <c r="O28"/>
  <c r="U28"/>
  <c r="Z28"/>
  <c r="F29" i="32" l="1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3"/>
  <c r="AD5"/>
  <c r="AD7"/>
  <c r="AD9"/>
  <c r="AD11"/>
  <c r="AD13"/>
  <c r="AD15"/>
  <c r="AD17"/>
  <c r="AD19"/>
  <c r="AD4"/>
  <c r="AD8"/>
  <c r="AD12"/>
  <c r="AD16"/>
  <c r="AD20"/>
  <c r="AD21"/>
  <c r="AD23"/>
  <c r="AD25"/>
  <c r="AD27"/>
  <c r="AD29"/>
  <c r="AE2"/>
  <c r="AD10"/>
  <c r="AD18"/>
  <c r="AD24"/>
  <c r="AD28"/>
  <c r="AD22"/>
  <c r="AD6"/>
  <c r="AD26"/>
  <c r="AD14"/>
  <c r="E29"/>
  <c r="D29"/>
  <c r="B30"/>
  <c r="AD53" i="31"/>
  <c r="AD37"/>
  <c r="AD39"/>
  <c r="AD41"/>
  <c r="AD43"/>
  <c r="AD36"/>
  <c r="AD38"/>
  <c r="AD40"/>
  <c r="AD42"/>
  <c r="AD44"/>
  <c r="AD46"/>
  <c r="AD48"/>
  <c r="AD50"/>
  <c r="AD52"/>
  <c r="AD55"/>
  <c r="AD3"/>
  <c r="AE2"/>
  <c r="AD4"/>
  <c r="AD47"/>
  <c r="AD56"/>
  <c r="AD49"/>
  <c r="AD51"/>
  <c r="AD45"/>
  <c r="AD5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G29"/>
  <c r="K29"/>
  <c r="O29"/>
  <c r="S29"/>
  <c r="W29"/>
  <c r="AA29"/>
  <c r="F29"/>
  <c r="L29"/>
  <c r="Q29"/>
  <c r="V29"/>
  <c r="AB29"/>
  <c r="E29"/>
  <c r="J29"/>
  <c r="P29"/>
  <c r="U29"/>
  <c r="Z29"/>
  <c r="D29"/>
  <c r="I29"/>
  <c r="N29"/>
  <c r="T29"/>
  <c r="Y29"/>
  <c r="AD29"/>
  <c r="H29"/>
  <c r="M29"/>
  <c r="R29"/>
  <c r="X29"/>
  <c r="AC29"/>
  <c r="F30" i="32" l="1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"/>
  <c r="AE5"/>
  <c r="AE7"/>
  <c r="AE9"/>
  <c r="AE11"/>
  <c r="AE13"/>
  <c r="AE15"/>
  <c r="AE17"/>
  <c r="AE19"/>
  <c r="AF2"/>
  <c r="AE4"/>
  <c r="AE8"/>
  <c r="AE12"/>
  <c r="AE16"/>
  <c r="AE20"/>
  <c r="AE21"/>
  <c r="AE23"/>
  <c r="AE25"/>
  <c r="AE27"/>
  <c r="AE29"/>
  <c r="AE31"/>
  <c r="AE10"/>
  <c r="AE18"/>
  <c r="AE24"/>
  <c r="AE28"/>
  <c r="AE6"/>
  <c r="AE26"/>
  <c r="AE30"/>
  <c r="AE14"/>
  <c r="AE22"/>
  <c r="E30"/>
  <c r="D30"/>
  <c r="B31"/>
  <c r="AE36" i="31"/>
  <c r="AE38"/>
  <c r="AE40"/>
  <c r="AE42"/>
  <c r="AE44"/>
  <c r="AE46"/>
  <c r="AE48"/>
  <c r="AE50"/>
  <c r="AE52"/>
  <c r="AE55"/>
  <c r="AE3"/>
  <c r="AE53"/>
  <c r="AE39"/>
  <c r="AE43"/>
  <c r="AE47"/>
  <c r="AE49"/>
  <c r="AE54"/>
  <c r="AE5"/>
  <c r="AF2"/>
  <c r="AE37"/>
  <c r="AE41"/>
  <c r="AE45"/>
  <c r="AE51"/>
  <c r="AE56"/>
  <c r="AE4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F30"/>
  <c r="J30"/>
  <c r="N30"/>
  <c r="R30"/>
  <c r="V30"/>
  <c r="Z30"/>
  <c r="AD30"/>
  <c r="D30"/>
  <c r="I30"/>
  <c r="O30"/>
  <c r="T30"/>
  <c r="Y30"/>
  <c r="AE30"/>
  <c r="H30"/>
  <c r="M30"/>
  <c r="S30"/>
  <c r="X30"/>
  <c r="AC30"/>
  <c r="G30"/>
  <c r="L30"/>
  <c r="Q30"/>
  <c r="W30"/>
  <c r="AB30"/>
  <c r="E30"/>
  <c r="K30"/>
  <c r="P30"/>
  <c r="U30"/>
  <c r="AA30"/>
  <c r="AF30"/>
  <c r="F31" i="32" l="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G2"/>
  <c r="AF4"/>
  <c r="AF6"/>
  <c r="AF8"/>
  <c r="AF10"/>
  <c r="AF12"/>
  <c r="AF14"/>
  <c r="AF16"/>
  <c r="AF18"/>
  <c r="AF20"/>
  <c r="AF5"/>
  <c r="AF9"/>
  <c r="AF13"/>
  <c r="AF17"/>
  <c r="AF22"/>
  <c r="AF24"/>
  <c r="AF26"/>
  <c r="AF28"/>
  <c r="AF30"/>
  <c r="AF32"/>
  <c r="AF7"/>
  <c r="AF15"/>
  <c r="AF21"/>
  <c r="AF25"/>
  <c r="AF29"/>
  <c r="AF11"/>
  <c r="AF27"/>
  <c r="AF3"/>
  <c r="AF19"/>
  <c r="AF23"/>
  <c r="AF31"/>
  <c r="D31"/>
  <c r="B32"/>
  <c r="E31"/>
  <c r="AF36" i="31"/>
  <c r="AF38"/>
  <c r="AF40"/>
  <c r="AF42"/>
  <c r="AF53"/>
  <c r="AF37"/>
  <c r="AF39"/>
  <c r="AF41"/>
  <c r="AF43"/>
  <c r="AF45"/>
  <c r="AF47"/>
  <c r="AF49"/>
  <c r="AF51"/>
  <c r="AF54"/>
  <c r="AF56"/>
  <c r="AF44"/>
  <c r="AF52"/>
  <c r="AF46"/>
  <c r="AF55"/>
  <c r="AF48"/>
  <c r="AF3"/>
  <c r="AF50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E31"/>
  <c r="I31"/>
  <c r="M31"/>
  <c r="Q31"/>
  <c r="U31"/>
  <c r="Y31"/>
  <c r="AC31"/>
  <c r="G31"/>
  <c r="L31"/>
  <c r="R31"/>
  <c r="W31"/>
  <c r="AB31"/>
  <c r="F31"/>
  <c r="K31"/>
  <c r="P31"/>
  <c r="V31"/>
  <c r="AA31"/>
  <c r="AF31"/>
  <c r="D31"/>
  <c r="J31"/>
  <c r="O31"/>
  <c r="T31"/>
  <c r="Z31"/>
  <c r="AE31"/>
  <c r="H31"/>
  <c r="N31"/>
  <c r="S31"/>
  <c r="X31"/>
  <c r="AD31"/>
  <c r="F32" i="32" l="1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G4"/>
  <c r="AG6"/>
  <c r="AG8"/>
  <c r="AG10"/>
  <c r="AG12"/>
  <c r="AG14"/>
  <c r="AG16"/>
  <c r="AG18"/>
  <c r="AG20"/>
  <c r="AG5"/>
  <c r="AG9"/>
  <c r="AG13"/>
  <c r="AG17"/>
  <c r="AG22"/>
  <c r="AG24"/>
  <c r="AG26"/>
  <c r="AG28"/>
  <c r="AG30"/>
  <c r="AG32"/>
  <c r="AH2"/>
  <c r="AG7"/>
  <c r="AG15"/>
  <c r="AG21"/>
  <c r="AG25"/>
  <c r="AG29"/>
  <c r="AG33"/>
  <c r="AG3"/>
  <c r="AG19"/>
  <c r="AG23"/>
  <c r="AG31"/>
  <c r="AG27"/>
  <c r="AG11"/>
  <c r="D32"/>
  <c r="B33"/>
  <c r="E32"/>
  <c r="F33" l="1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H3"/>
  <c r="AH5"/>
  <c r="AH7"/>
  <c r="AH9"/>
  <c r="AH11"/>
  <c r="AH13"/>
  <c r="AH15"/>
  <c r="AH17"/>
  <c r="AH19"/>
  <c r="AI2"/>
  <c r="AH6"/>
  <c r="AH10"/>
  <c r="AH14"/>
  <c r="AH18"/>
  <c r="AH21"/>
  <c r="AH23"/>
  <c r="AH25"/>
  <c r="AH27"/>
  <c r="AH29"/>
  <c r="AH31"/>
  <c r="AH33"/>
  <c r="AH4"/>
  <c r="AH12"/>
  <c r="AH20"/>
  <c r="AH22"/>
  <c r="AH26"/>
  <c r="AH30"/>
  <c r="AH34"/>
  <c r="AH16"/>
  <c r="AH28"/>
  <c r="AH8"/>
  <c r="AH24"/>
  <c r="AH32"/>
  <c r="D33"/>
  <c r="B34"/>
  <c r="E33"/>
  <c r="F34" l="1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I3"/>
  <c r="AI5"/>
  <c r="AI7"/>
  <c r="AI9"/>
  <c r="AI11"/>
  <c r="AI13"/>
  <c r="AI15"/>
  <c r="AI17"/>
  <c r="AI19"/>
  <c r="AJ2"/>
  <c r="AI6"/>
  <c r="AI10"/>
  <c r="AI14"/>
  <c r="AI18"/>
  <c r="AI21"/>
  <c r="AI23"/>
  <c r="AI25"/>
  <c r="AI27"/>
  <c r="AI29"/>
  <c r="AI31"/>
  <c r="AI33"/>
  <c r="AI4"/>
  <c r="AI12"/>
  <c r="AI20"/>
  <c r="AI22"/>
  <c r="AI26"/>
  <c r="AI30"/>
  <c r="AI34"/>
  <c r="AI16"/>
  <c r="AI28"/>
  <c r="AI8"/>
  <c r="AI24"/>
  <c r="AI32"/>
  <c r="B35"/>
  <c r="E34"/>
  <c r="D34"/>
  <c r="F35" l="1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K2"/>
  <c r="AJ4"/>
  <c r="AJ6"/>
  <c r="AJ8"/>
  <c r="AJ10"/>
  <c r="AJ12"/>
  <c r="AJ14"/>
  <c r="AJ16"/>
  <c r="AJ18"/>
  <c r="AJ20"/>
  <c r="AJ3"/>
  <c r="AJ7"/>
  <c r="AJ11"/>
  <c r="AJ15"/>
  <c r="AJ19"/>
  <c r="AJ22"/>
  <c r="AJ24"/>
  <c r="AJ26"/>
  <c r="AJ28"/>
  <c r="AJ30"/>
  <c r="AJ32"/>
  <c r="AJ34"/>
  <c r="AJ36"/>
  <c r="AJ9"/>
  <c r="AJ17"/>
  <c r="AJ23"/>
  <c r="AJ27"/>
  <c r="AJ31"/>
  <c r="AJ35"/>
  <c r="AJ5"/>
  <c r="AJ13"/>
  <c r="AJ25"/>
  <c r="AJ33"/>
  <c r="AJ21"/>
  <c r="AJ29"/>
  <c r="D35"/>
  <c r="E35"/>
  <c r="B36"/>
  <c r="F36" l="1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K4"/>
  <c r="AK6"/>
  <c r="AK8"/>
  <c r="AK10"/>
  <c r="AK12"/>
  <c r="AK14"/>
  <c r="AK16"/>
  <c r="AK18"/>
  <c r="AK20"/>
  <c r="AK3"/>
  <c r="AK7"/>
  <c r="AK11"/>
  <c r="AK15"/>
  <c r="AK19"/>
  <c r="AK22"/>
  <c r="AK24"/>
  <c r="AK26"/>
  <c r="AK28"/>
  <c r="AK30"/>
  <c r="AK32"/>
  <c r="AK34"/>
  <c r="AK36"/>
  <c r="AK9"/>
  <c r="AK17"/>
  <c r="AK23"/>
  <c r="AK27"/>
  <c r="AK31"/>
  <c r="AK35"/>
  <c r="AK13"/>
  <c r="AK25"/>
  <c r="AK33"/>
  <c r="AK21"/>
  <c r="AK5"/>
  <c r="AK29"/>
  <c r="AL2"/>
  <c r="B37"/>
  <c r="E36"/>
  <c r="D36"/>
  <c r="F37" l="1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"/>
  <c r="AL5"/>
  <c r="AL7"/>
  <c r="AL9"/>
  <c r="AL11"/>
  <c r="AL13"/>
  <c r="AL15"/>
  <c r="AL17"/>
  <c r="AL19"/>
  <c r="AL4"/>
  <c r="AL8"/>
  <c r="AL12"/>
  <c r="AL16"/>
  <c r="AL20"/>
  <c r="AL21"/>
  <c r="AL23"/>
  <c r="AL25"/>
  <c r="AL27"/>
  <c r="AL29"/>
  <c r="AL31"/>
  <c r="AL33"/>
  <c r="AL35"/>
  <c r="AL37"/>
  <c r="AL6"/>
  <c r="AL14"/>
  <c r="AL24"/>
  <c r="AL28"/>
  <c r="AL32"/>
  <c r="AL36"/>
  <c r="AM2"/>
  <c r="AL18"/>
  <c r="AL34"/>
  <c r="AL10"/>
  <c r="AL22"/>
  <c r="AL30"/>
  <c r="AL38"/>
  <c r="AL26"/>
  <c r="D37"/>
  <c r="B38"/>
  <c r="E37"/>
  <c r="F38" l="1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M3"/>
  <c r="AM5"/>
  <c r="AM7"/>
  <c r="AM9"/>
  <c r="AM11"/>
  <c r="AM13"/>
  <c r="AM15"/>
  <c r="AM17"/>
  <c r="AM19"/>
  <c r="AN2"/>
  <c r="AM4"/>
  <c r="AM8"/>
  <c r="AM12"/>
  <c r="AM16"/>
  <c r="AM20"/>
  <c r="AM21"/>
  <c r="AM23"/>
  <c r="AM25"/>
  <c r="AM27"/>
  <c r="AM29"/>
  <c r="AM31"/>
  <c r="AM33"/>
  <c r="AM35"/>
  <c r="AM37"/>
  <c r="AM6"/>
  <c r="AM14"/>
  <c r="AM24"/>
  <c r="AM28"/>
  <c r="AM32"/>
  <c r="AM36"/>
  <c r="AM10"/>
  <c r="AM22"/>
  <c r="AM30"/>
  <c r="AM38"/>
  <c r="AM18"/>
  <c r="AM34"/>
  <c r="AM26"/>
  <c r="E38"/>
  <c r="D38"/>
  <c r="B39"/>
  <c r="F39" l="1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O2"/>
  <c r="AN4"/>
  <c r="AN6"/>
  <c r="AN8"/>
  <c r="AN10"/>
  <c r="AN12"/>
  <c r="AN14"/>
  <c r="AN16"/>
  <c r="AN18"/>
  <c r="AN20"/>
  <c r="AN5"/>
  <c r="AN9"/>
  <c r="AN13"/>
  <c r="AN17"/>
  <c r="AN22"/>
  <c r="AN24"/>
  <c r="AN26"/>
  <c r="AN28"/>
  <c r="AN30"/>
  <c r="AN32"/>
  <c r="AN34"/>
  <c r="AN36"/>
  <c r="AN38"/>
  <c r="AN3"/>
  <c r="AN11"/>
  <c r="AN19"/>
  <c r="AN21"/>
  <c r="AN25"/>
  <c r="AN29"/>
  <c r="AN33"/>
  <c r="AN37"/>
  <c r="AN23"/>
  <c r="AN31"/>
  <c r="AN7"/>
  <c r="AN27"/>
  <c r="AN35"/>
  <c r="AN15"/>
  <c r="AN39"/>
  <c r="D39"/>
  <c r="E39"/>
  <c r="B40"/>
  <c r="F40" l="1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"/>
  <c r="AO6"/>
  <c r="AO8"/>
  <c r="AO10"/>
  <c r="AO12"/>
  <c r="AO14"/>
  <c r="AO16"/>
  <c r="AO18"/>
  <c r="AO20"/>
  <c r="AO5"/>
  <c r="AO9"/>
  <c r="AO13"/>
  <c r="AO17"/>
  <c r="AO22"/>
  <c r="AO24"/>
  <c r="AO26"/>
  <c r="AO28"/>
  <c r="AO30"/>
  <c r="AO32"/>
  <c r="AO34"/>
  <c r="AO36"/>
  <c r="AO38"/>
  <c r="AO40"/>
  <c r="AP2"/>
  <c r="AQ2" s="1"/>
  <c r="AO3"/>
  <c r="AO11"/>
  <c r="AO19"/>
  <c r="AO21"/>
  <c r="AO25"/>
  <c r="AO29"/>
  <c r="AO33"/>
  <c r="AO37"/>
  <c r="AO41"/>
  <c r="AO7"/>
  <c r="AO27"/>
  <c r="AO35"/>
  <c r="AO31"/>
  <c r="AO15"/>
  <c r="AO23"/>
  <c r="AO39"/>
  <c r="E40"/>
  <c r="B41"/>
  <c r="D40"/>
  <c r="AR2" l="1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1"/>
  <c r="F41"/>
  <c r="AR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Q40"/>
  <c r="AP3"/>
  <c r="AP5"/>
  <c r="AP7"/>
  <c r="AP9"/>
  <c r="AP11"/>
  <c r="AP13"/>
  <c r="AP15"/>
  <c r="AP17"/>
  <c r="AP19"/>
  <c r="AP6"/>
  <c r="AP10"/>
  <c r="AP14"/>
  <c r="AP18"/>
  <c r="AP21"/>
  <c r="AP23"/>
  <c r="AP25"/>
  <c r="AP27"/>
  <c r="AP29"/>
  <c r="AP31"/>
  <c r="AP33"/>
  <c r="AP35"/>
  <c r="AP37"/>
  <c r="AP39"/>
  <c r="AP41"/>
  <c r="AP8"/>
  <c r="AP16"/>
  <c r="AP22"/>
  <c r="AP26"/>
  <c r="AP30"/>
  <c r="AP34"/>
  <c r="AP38"/>
  <c r="AP12"/>
  <c r="AP28"/>
  <c r="AP4"/>
  <c r="AP20"/>
  <c r="AP24"/>
  <c r="AP32"/>
  <c r="AP40"/>
  <c r="AP36"/>
  <c r="E41"/>
  <c r="B42"/>
  <c r="D41"/>
  <c r="AR8" l="1"/>
  <c r="AS2"/>
  <c r="AR3"/>
  <c r="AR4"/>
  <c r="AR5"/>
  <c r="AR7"/>
  <c r="AR6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F42"/>
  <c r="AQ42"/>
  <c r="AR42"/>
  <c r="AS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E42"/>
  <c r="B43"/>
  <c r="D42"/>
  <c r="AT2" l="1"/>
  <c r="AS5"/>
  <c r="AS4"/>
  <c r="AS3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Q43"/>
  <c r="F43"/>
  <c r="AR43"/>
  <c r="AS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E43"/>
  <c r="B44"/>
  <c r="D43"/>
  <c r="AQ44" l="1"/>
  <c r="AR44"/>
  <c r="F44"/>
  <c r="AS44"/>
  <c r="G44"/>
  <c r="AT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T4"/>
  <c r="AT3"/>
  <c r="AT6"/>
  <c r="AU2"/>
  <c r="AT7"/>
  <c r="AT5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E44"/>
  <c r="B45"/>
  <c r="D44"/>
  <c r="AQ45" l="1"/>
  <c r="AR45"/>
  <c r="F45"/>
  <c r="G45"/>
  <c r="AS45"/>
  <c r="H45"/>
  <c r="AT45"/>
  <c r="AU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U6"/>
  <c r="AU8"/>
  <c r="AV2"/>
  <c r="AU4"/>
  <c r="AU7"/>
  <c r="AU5"/>
  <c r="AU3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E45"/>
  <c r="B46"/>
  <c r="D45"/>
  <c r="AQ46" l="1"/>
  <c r="AR46"/>
  <c r="F46"/>
  <c r="AS46"/>
  <c r="G46"/>
  <c r="H46"/>
  <c r="AT46"/>
  <c r="AU46"/>
  <c r="I46"/>
  <c r="AV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V3"/>
  <c r="AV4"/>
  <c r="AV5"/>
  <c r="AV9"/>
  <c r="AV8"/>
  <c r="AV7"/>
  <c r="AW2"/>
  <c r="AW46" s="1"/>
  <c r="AV6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E46"/>
  <c r="B47"/>
  <c r="D46"/>
  <c r="AQ47" l="1"/>
  <c r="AR47"/>
  <c r="F47"/>
  <c r="AS47"/>
  <c r="G47"/>
  <c r="H47"/>
  <c r="AT47"/>
  <c r="I47"/>
  <c r="AU47"/>
  <c r="J47"/>
  <c r="AV47"/>
  <c r="K47"/>
  <c r="AW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X2"/>
  <c r="AX47" s="1"/>
  <c r="AW9"/>
  <c r="AW4"/>
  <c r="AW10"/>
  <c r="AW3"/>
  <c r="AW7"/>
  <c r="AW6"/>
  <c r="AW5"/>
  <c r="AW8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E47"/>
  <c r="B48"/>
  <c r="D47"/>
  <c r="AQ48" l="1"/>
  <c r="AR48"/>
  <c r="F48"/>
  <c r="G48"/>
  <c r="AS48"/>
  <c r="H48"/>
  <c r="AT48"/>
  <c r="AU48"/>
  <c r="I48"/>
  <c r="J48"/>
  <c r="AV48"/>
  <c r="AW48"/>
  <c r="K48"/>
  <c r="AX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X4"/>
  <c r="AX5"/>
  <c r="AX3"/>
  <c r="AX6"/>
  <c r="AX9"/>
  <c r="AX10"/>
  <c r="AX7"/>
  <c r="AX8"/>
  <c r="AY2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E48"/>
  <c r="B49"/>
  <c r="D48"/>
  <c r="AQ49" l="1"/>
  <c r="F49"/>
  <c r="AR49"/>
  <c r="AS49"/>
  <c r="G49"/>
  <c r="H49"/>
  <c r="AT49"/>
  <c r="AU49"/>
  <c r="I49"/>
  <c r="AV49"/>
  <c r="J49"/>
  <c r="AW49"/>
  <c r="K49"/>
  <c r="AX49"/>
  <c r="L49"/>
  <c r="AY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Y6"/>
  <c r="AY7"/>
  <c r="AY5"/>
  <c r="AY8"/>
  <c r="AZ2"/>
  <c r="AZ49" s="1"/>
  <c r="AY4"/>
  <c r="AY12"/>
  <c r="AY9"/>
  <c r="AY10"/>
  <c r="AY3"/>
  <c r="AY11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E49"/>
  <c r="B50"/>
  <c r="D49"/>
  <c r="AQ50" l="1"/>
  <c r="F50"/>
  <c r="AR50"/>
  <c r="AS50"/>
  <c r="G50"/>
  <c r="AT50"/>
  <c r="H50"/>
  <c r="AU50"/>
  <c r="I50"/>
  <c r="AV50"/>
  <c r="J50"/>
  <c r="K50"/>
  <c r="AW50"/>
  <c r="AX50"/>
  <c r="L50"/>
  <c r="AY50"/>
  <c r="M50"/>
  <c r="N50"/>
  <c r="AZ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Z9"/>
  <c r="AZ6"/>
  <c r="AZ4"/>
  <c r="AZ3"/>
  <c r="AZ14"/>
  <c r="AZ10"/>
  <c r="AZ7"/>
  <c r="AZ11"/>
  <c r="AZ12"/>
  <c r="AZ5"/>
  <c r="AZ13"/>
  <c r="AZ8"/>
  <c r="BA2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E50"/>
  <c r="B51"/>
  <c r="D50"/>
  <c r="AQ51" l="1"/>
  <c r="AR51"/>
  <c r="F51"/>
  <c r="AS51"/>
  <c r="G51"/>
  <c r="AT51"/>
  <c r="H51"/>
  <c r="I51"/>
  <c r="AU51"/>
  <c r="J51"/>
  <c r="AV51"/>
  <c r="AW51"/>
  <c r="K51"/>
  <c r="AX51"/>
  <c r="L51"/>
  <c r="AY51"/>
  <c r="M51"/>
  <c r="N51"/>
  <c r="AZ51"/>
  <c r="BA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BA5"/>
  <c r="BA13"/>
  <c r="BA10"/>
  <c r="BA7"/>
  <c r="BA6"/>
  <c r="BA3"/>
  <c r="BA11"/>
  <c r="BA4"/>
  <c r="BA12"/>
  <c r="BB2"/>
  <c r="BB51" s="1"/>
  <c r="BA9"/>
  <c r="BA8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E51"/>
  <c r="B52"/>
  <c r="D51"/>
  <c r="AQ52" l="1"/>
  <c r="AR52"/>
  <c r="F52"/>
  <c r="AS52"/>
  <c r="G52"/>
  <c r="AT52"/>
  <c r="H52"/>
  <c r="AU52"/>
  <c r="I52"/>
  <c r="AV52"/>
  <c r="J52"/>
  <c r="K52"/>
  <c r="AW52"/>
  <c r="L52"/>
  <c r="AX52"/>
  <c r="AY52"/>
  <c r="M52"/>
  <c r="AZ52"/>
  <c r="N52"/>
  <c r="O52"/>
  <c r="BA52"/>
  <c r="BB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BB8"/>
  <c r="BC2"/>
  <c r="BB10"/>
  <c r="BB3"/>
  <c r="BB5"/>
  <c r="BB6"/>
  <c r="BB14"/>
  <c r="BB7"/>
  <c r="BB13"/>
  <c r="BB4"/>
  <c r="BB12"/>
  <c r="BB11"/>
  <c r="BB9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E52"/>
  <c r="B53"/>
  <c r="D52"/>
  <c r="AQ53" l="1"/>
  <c r="AR53"/>
  <c r="F53"/>
  <c r="AS53"/>
  <c r="G53"/>
  <c r="AT53"/>
  <c r="H53"/>
  <c r="AU53"/>
  <c r="I53"/>
  <c r="AV53"/>
  <c r="J53"/>
  <c r="AW53"/>
  <c r="K53"/>
  <c r="AX53"/>
  <c r="L53"/>
  <c r="M53"/>
  <c r="AY53"/>
  <c r="AZ53"/>
  <c r="N53"/>
  <c r="BA53"/>
  <c r="O53"/>
  <c r="P53"/>
  <c r="BB53"/>
  <c r="BC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BC6"/>
  <c r="BC14"/>
  <c r="BC9"/>
  <c r="BC15"/>
  <c r="BC4"/>
  <c r="BC12"/>
  <c r="BC13"/>
  <c r="BC11"/>
  <c r="BC7"/>
  <c r="BC10"/>
  <c r="BC5"/>
  <c r="BC3"/>
  <c r="BC8"/>
  <c r="BC16"/>
  <c r="BD2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E53"/>
  <c r="B54"/>
  <c r="D53"/>
  <c r="BD7" l="1"/>
  <c r="BD15"/>
  <c r="BE2"/>
  <c r="BD4"/>
  <c r="BD14"/>
  <c r="BD12"/>
  <c r="BD13"/>
  <c r="BD3"/>
  <c r="BD11"/>
  <c r="BD16"/>
  <c r="BD9"/>
  <c r="BD17"/>
  <c r="BD10"/>
  <c r="BD8"/>
  <c r="BD5"/>
  <c r="BD6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AQ54"/>
  <c r="AR54"/>
  <c r="F54"/>
  <c r="AS54"/>
  <c r="G54"/>
  <c r="AT54"/>
  <c r="H54"/>
  <c r="AU54"/>
  <c r="I54"/>
  <c r="J54"/>
  <c r="AV54"/>
  <c r="AW54"/>
  <c r="K54"/>
  <c r="AX54"/>
  <c r="L54"/>
  <c r="AY54"/>
  <c r="M54"/>
  <c r="N54"/>
  <c r="AZ54"/>
  <c r="BA54"/>
  <c r="O54"/>
  <c r="BB54"/>
  <c r="P54"/>
  <c r="BC54"/>
  <c r="Q54"/>
  <c r="R54"/>
  <c r="BD54"/>
  <c r="BE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E54"/>
  <c r="B55"/>
  <c r="D54"/>
  <c r="AQ55" l="1"/>
  <c r="AR55"/>
  <c r="F55"/>
  <c r="AS55"/>
  <c r="G55"/>
  <c r="AT55"/>
  <c r="H55"/>
  <c r="AU55"/>
  <c r="I55"/>
  <c r="AV55"/>
  <c r="J55"/>
  <c r="K55"/>
  <c r="AW55"/>
  <c r="L55"/>
  <c r="AX55"/>
  <c r="AY55"/>
  <c r="M55"/>
  <c r="N55"/>
  <c r="AZ55"/>
  <c r="O55"/>
  <c r="BA55"/>
  <c r="P55"/>
  <c r="BB55"/>
  <c r="BC55"/>
  <c r="Q55"/>
  <c r="BD55"/>
  <c r="R55"/>
  <c r="S55"/>
  <c r="BE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BF2"/>
  <c r="BF55" s="1"/>
  <c r="BE9"/>
  <c r="BE17"/>
  <c r="BE4"/>
  <c r="BE10"/>
  <c r="BE14"/>
  <c r="BE19"/>
  <c r="BE7"/>
  <c r="BE15"/>
  <c r="BE8"/>
  <c r="BE6"/>
  <c r="BE16"/>
  <c r="BE12"/>
  <c r="BE5"/>
  <c r="BE13"/>
  <c r="BE3"/>
  <c r="BE11"/>
  <c r="BE18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E55"/>
  <c r="B56"/>
  <c r="D55"/>
  <c r="AQ56" l="1"/>
  <c r="AR56"/>
  <c r="F56"/>
  <c r="AS56"/>
  <c r="G56"/>
  <c r="H56"/>
  <c r="AT56"/>
  <c r="AU56"/>
  <c r="I56"/>
  <c r="AV56"/>
  <c r="J56"/>
  <c r="K56"/>
  <c r="AW56"/>
  <c r="AX56"/>
  <c r="L56"/>
  <c r="AY56"/>
  <c r="M56"/>
  <c r="N56"/>
  <c r="AZ56"/>
  <c r="BA56"/>
  <c r="O56"/>
  <c r="P56"/>
  <c r="BB56"/>
  <c r="Q56"/>
  <c r="BC56"/>
  <c r="BD56"/>
  <c r="R56"/>
  <c r="BE56"/>
  <c r="S56"/>
  <c r="BF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BF4"/>
  <c r="BF12"/>
  <c r="BF15"/>
  <c r="BF5"/>
  <c r="BF11"/>
  <c r="BF14"/>
  <c r="BF10"/>
  <c r="BF18"/>
  <c r="BF7"/>
  <c r="BF9"/>
  <c r="BF19"/>
  <c r="BF17"/>
  <c r="BF3"/>
  <c r="BF8"/>
  <c r="BF16"/>
  <c r="BG2"/>
  <c r="BF6"/>
  <c r="BF13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E56"/>
  <c r="B57"/>
  <c r="D56"/>
  <c r="AQ57" l="1"/>
  <c r="AR57"/>
  <c r="F57"/>
  <c r="AS57"/>
  <c r="G57"/>
  <c r="H57"/>
  <c r="AT57"/>
  <c r="I57"/>
  <c r="AU57"/>
  <c r="J57"/>
  <c r="AV57"/>
  <c r="AW57"/>
  <c r="K57"/>
  <c r="L57"/>
  <c r="AX57"/>
  <c r="M57"/>
  <c r="AY57"/>
  <c r="AZ57"/>
  <c r="N57"/>
  <c r="O57"/>
  <c r="BA57"/>
  <c r="BB57"/>
  <c r="P57"/>
  <c r="BC57"/>
  <c r="Q57"/>
  <c r="BD57"/>
  <c r="R57"/>
  <c r="BE57"/>
  <c r="S57"/>
  <c r="BF57"/>
  <c r="T57"/>
  <c r="U57"/>
  <c r="BG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BG6"/>
  <c r="BG14"/>
  <c r="BG7"/>
  <c r="BG13"/>
  <c r="BH2"/>
  <c r="BH57" s="1"/>
  <c r="BG4"/>
  <c r="BG12"/>
  <c r="BG20"/>
  <c r="BG3"/>
  <c r="BG5"/>
  <c r="BG10"/>
  <c r="BG18"/>
  <c r="BG17"/>
  <c r="BG8"/>
  <c r="BG16"/>
  <c r="BG9"/>
  <c r="BG15"/>
  <c r="BG19"/>
  <c r="BG11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E57"/>
  <c r="B58"/>
  <c r="D57"/>
  <c r="AQ58" l="1"/>
  <c r="F58"/>
  <c r="AR58"/>
  <c r="G58"/>
  <c r="AS58"/>
  <c r="AT58"/>
  <c r="H58"/>
  <c r="AU58"/>
  <c r="I58"/>
  <c r="AV58"/>
  <c r="J58"/>
  <c r="AW58"/>
  <c r="K58"/>
  <c r="AX58"/>
  <c r="L58"/>
  <c r="AY58"/>
  <c r="M58"/>
  <c r="N58"/>
  <c r="AZ58"/>
  <c r="BA58"/>
  <c r="O58"/>
  <c r="P58"/>
  <c r="BB58"/>
  <c r="BC58"/>
  <c r="Q58"/>
  <c r="R58"/>
  <c r="BD58"/>
  <c r="S58"/>
  <c r="BE58"/>
  <c r="T58"/>
  <c r="BF58"/>
  <c r="U58"/>
  <c r="BG58"/>
  <c r="V58"/>
  <c r="BH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BH7"/>
  <c r="BH15"/>
  <c r="BI2"/>
  <c r="BI58" s="1"/>
  <c r="BH18"/>
  <c r="BH9"/>
  <c r="BH10"/>
  <c r="BH5"/>
  <c r="BH13"/>
  <c r="BH21"/>
  <c r="BH20"/>
  <c r="BH8"/>
  <c r="BH17"/>
  <c r="BH4"/>
  <c r="BH3"/>
  <c r="BH11"/>
  <c r="BH19"/>
  <c r="BH14"/>
  <c r="BH12"/>
  <c r="BH6"/>
  <c r="BH16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E58"/>
  <c r="B59"/>
  <c r="D58"/>
  <c r="BJ2" l="1"/>
  <c r="BI9"/>
  <c r="BI17"/>
  <c r="BI8"/>
  <c r="BI14"/>
  <c r="BI19"/>
  <c r="BI16"/>
  <c r="BI10"/>
  <c r="BI7"/>
  <c r="BI15"/>
  <c r="BI6"/>
  <c r="BI20"/>
  <c r="BI3"/>
  <c r="BI22"/>
  <c r="BI5"/>
  <c r="BI13"/>
  <c r="BI21"/>
  <c r="BI18"/>
  <c r="BI4"/>
  <c r="BI11"/>
  <c r="BI1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AR59"/>
  <c r="AQ59"/>
  <c r="F59"/>
  <c r="AS59"/>
  <c r="G59"/>
  <c r="H59"/>
  <c r="AT59"/>
  <c r="AU59"/>
  <c r="I59"/>
  <c r="J59"/>
  <c r="AV59"/>
  <c r="AW59"/>
  <c r="K59"/>
  <c r="AX59"/>
  <c r="L59"/>
  <c r="AY59"/>
  <c r="M59"/>
  <c r="AZ59"/>
  <c r="N59"/>
  <c r="BA59"/>
  <c r="O59"/>
  <c r="BB59"/>
  <c r="P59"/>
  <c r="BC59"/>
  <c r="Q59"/>
  <c r="BD59"/>
  <c r="R59"/>
  <c r="BE59"/>
  <c r="S59"/>
  <c r="BF59"/>
  <c r="T59"/>
  <c r="BG59"/>
  <c r="U59"/>
  <c r="V59"/>
  <c r="BH59"/>
  <c r="BI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E59"/>
  <c r="B60"/>
  <c r="D59"/>
  <c r="BJ10" l="1"/>
  <c r="BJ18"/>
  <c r="BJ3"/>
  <c r="BJ7"/>
  <c r="BJ21"/>
  <c r="BJ12"/>
  <c r="BJ9"/>
  <c r="BJ8"/>
  <c r="BJ16"/>
  <c r="BK2"/>
  <c r="BJ5"/>
  <c r="BJ4"/>
  <c r="BJ20"/>
  <c r="BJ13"/>
  <c r="BJ6"/>
  <c r="BJ14"/>
  <c r="BJ22"/>
  <c r="BJ19"/>
  <c r="BJ17"/>
  <c r="BJ23"/>
  <c r="BJ11"/>
  <c r="BJ15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AQ60"/>
  <c r="AR60"/>
  <c r="F60"/>
  <c r="G60"/>
  <c r="AS60"/>
  <c r="AT60"/>
  <c r="H60"/>
  <c r="AU60"/>
  <c r="I60"/>
  <c r="AV60"/>
  <c r="J60"/>
  <c r="AW60"/>
  <c r="K60"/>
  <c r="AX60"/>
  <c r="L60"/>
  <c r="AY60"/>
  <c r="M60"/>
  <c r="AZ60"/>
  <c r="N60"/>
  <c r="BA60"/>
  <c r="O60"/>
  <c r="BB60"/>
  <c r="P60"/>
  <c r="BC60"/>
  <c r="Q60"/>
  <c r="BD60"/>
  <c r="R60"/>
  <c r="S60"/>
  <c r="BE60"/>
  <c r="BF60"/>
  <c r="T60"/>
  <c r="U60"/>
  <c r="BG60"/>
  <c r="V60"/>
  <c r="BH60"/>
  <c r="W60"/>
  <c r="BI60"/>
  <c r="X60"/>
  <c r="BJ60"/>
  <c r="BK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D60"/>
  <c r="E60"/>
  <c r="B61"/>
  <c r="BK6" l="1"/>
  <c r="BK14"/>
  <c r="BK22"/>
  <c r="BK21"/>
  <c r="BK19"/>
  <c r="BK17"/>
  <c r="BK24"/>
  <c r="BK4"/>
  <c r="BK12"/>
  <c r="BK20"/>
  <c r="BK13"/>
  <c r="BK11"/>
  <c r="BK7"/>
  <c r="BK16"/>
  <c r="BK9"/>
  <c r="BK10"/>
  <c r="BK18"/>
  <c r="BK5"/>
  <c r="BK3"/>
  <c r="BK15"/>
  <c r="BK23"/>
  <c r="BK8"/>
  <c r="BL2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AQ61"/>
  <c r="AR61"/>
  <c r="F61"/>
  <c r="AS61"/>
  <c r="G61"/>
  <c r="AT61"/>
  <c r="H61"/>
  <c r="I61"/>
  <c r="AU61"/>
  <c r="AV61"/>
  <c r="J61"/>
  <c r="AW61"/>
  <c r="K61"/>
  <c r="AX61"/>
  <c r="L61"/>
  <c r="AY61"/>
  <c r="M61"/>
  <c r="N61"/>
  <c r="AZ61"/>
  <c r="BA61"/>
  <c r="O61"/>
  <c r="P61"/>
  <c r="BB61"/>
  <c r="Q61"/>
  <c r="BC61"/>
  <c r="R61"/>
  <c r="BD61"/>
  <c r="S61"/>
  <c r="BE61"/>
  <c r="BF61"/>
  <c r="T61"/>
  <c r="BG61"/>
  <c r="U61"/>
  <c r="BH61"/>
  <c r="V61"/>
  <c r="W61"/>
  <c r="BI61"/>
  <c r="BJ61"/>
  <c r="X61"/>
  <c r="BK61"/>
  <c r="Y61"/>
  <c r="Z61"/>
  <c r="BL61"/>
  <c r="AA61"/>
  <c r="AB61"/>
  <c r="AC61"/>
  <c r="AD61"/>
  <c r="AE61"/>
  <c r="AF61"/>
  <c r="AG61"/>
  <c r="AH61"/>
  <c r="AI61"/>
  <c r="AJ61"/>
  <c r="AK61"/>
  <c r="AL61"/>
  <c r="AM61"/>
  <c r="AN61"/>
  <c r="AO61"/>
  <c r="AP61"/>
  <c r="E61"/>
  <c r="B62"/>
  <c r="D61"/>
  <c r="AQ62" l="1"/>
  <c r="AR62"/>
  <c r="F62"/>
  <c r="G62"/>
  <c r="AS62"/>
  <c r="H62"/>
  <c r="AT62"/>
  <c r="AU62"/>
  <c r="I62"/>
  <c r="J62"/>
  <c r="AV62"/>
  <c r="K62"/>
  <c r="AW62"/>
  <c r="AX62"/>
  <c r="L62"/>
  <c r="AY62"/>
  <c r="M62"/>
  <c r="N62"/>
  <c r="AZ62"/>
  <c r="BA62"/>
  <c r="O62"/>
  <c r="BB62"/>
  <c r="P62"/>
  <c r="BC62"/>
  <c r="Q62"/>
  <c r="R62"/>
  <c r="BD62"/>
  <c r="BE62"/>
  <c r="S62"/>
  <c r="BF62"/>
  <c r="T62"/>
  <c r="U62"/>
  <c r="BG62"/>
  <c r="BH62"/>
  <c r="V62"/>
  <c r="BI62"/>
  <c r="W62"/>
  <c r="X62"/>
  <c r="BJ62"/>
  <c r="Y62"/>
  <c r="BK62"/>
  <c r="BL62"/>
  <c r="Z62"/>
  <c r="AA62"/>
  <c r="BM62"/>
  <c r="AB62"/>
  <c r="AC62"/>
  <c r="AD62"/>
  <c r="AE62"/>
  <c r="AF62"/>
  <c r="AG62"/>
  <c r="AH62"/>
  <c r="AI62"/>
  <c r="AJ62"/>
  <c r="AK62"/>
  <c r="AL62"/>
  <c r="AM62"/>
  <c r="AN62"/>
  <c r="AO62"/>
  <c r="AP62"/>
  <c r="BL7"/>
  <c r="BL15"/>
  <c r="BL23"/>
  <c r="BM2"/>
  <c r="BL12"/>
  <c r="BL22"/>
  <c r="BL14"/>
  <c r="BL20"/>
  <c r="BL9"/>
  <c r="BL17"/>
  <c r="BL10"/>
  <c r="BL5"/>
  <c r="BL13"/>
  <c r="BL21"/>
  <c r="BL24"/>
  <c r="BL6"/>
  <c r="BL4"/>
  <c r="BL8"/>
  <c r="BL3"/>
  <c r="BL11"/>
  <c r="BL19"/>
  <c r="BL18"/>
  <c r="BL16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63"/>
  <c r="D62"/>
  <c r="E62"/>
  <c r="AQ63" l="1"/>
  <c r="F63"/>
  <c r="AR63"/>
  <c r="AS63"/>
  <c r="G63"/>
  <c r="AT63"/>
  <c r="H63"/>
  <c r="I63"/>
  <c r="AU63"/>
  <c r="J63"/>
  <c r="AV63"/>
  <c r="K63"/>
  <c r="AW63"/>
  <c r="L63"/>
  <c r="AX63"/>
  <c r="AY63"/>
  <c r="M63"/>
  <c r="AZ63"/>
  <c r="N63"/>
  <c r="O63"/>
  <c r="BA63"/>
  <c r="BB63"/>
  <c r="P63"/>
  <c r="BC63"/>
  <c r="Q63"/>
  <c r="R63"/>
  <c r="BD63"/>
  <c r="BE63"/>
  <c r="S63"/>
  <c r="BF63"/>
  <c r="T63"/>
  <c r="U63"/>
  <c r="BG63"/>
  <c r="V63"/>
  <c r="BH63"/>
  <c r="BI63"/>
  <c r="W63"/>
  <c r="BJ63"/>
  <c r="X63"/>
  <c r="Y63"/>
  <c r="BK63"/>
  <c r="Z63"/>
  <c r="BL63"/>
  <c r="BM63"/>
  <c r="AA63"/>
  <c r="AB63"/>
  <c r="AC63"/>
  <c r="AD63"/>
  <c r="AE63"/>
  <c r="AF63"/>
  <c r="AG63"/>
  <c r="AH63"/>
  <c r="AI63"/>
  <c r="AJ63"/>
  <c r="AK63"/>
  <c r="AL63"/>
  <c r="AM63"/>
  <c r="AN63"/>
  <c r="AO63"/>
  <c r="AP63"/>
  <c r="BN2"/>
  <c r="BN63" s="1"/>
  <c r="BM9"/>
  <c r="BM17"/>
  <c r="BM25"/>
  <c r="BM4"/>
  <c r="BM10"/>
  <c r="BM16"/>
  <c r="BM3"/>
  <c r="BM27"/>
  <c r="BM18"/>
  <c r="BM22"/>
  <c r="BM7"/>
  <c r="BM15"/>
  <c r="BM23"/>
  <c r="BM6"/>
  <c r="BM19"/>
  <c r="BM5"/>
  <c r="BM13"/>
  <c r="BM21"/>
  <c r="BM20"/>
  <c r="BM26"/>
  <c r="BM8"/>
  <c r="BM14"/>
  <c r="BM24"/>
  <c r="BM11"/>
  <c r="BM12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E63"/>
  <c r="B64"/>
  <c r="D63"/>
  <c r="AR64" l="1"/>
  <c r="AQ64"/>
  <c r="F64"/>
  <c r="G64"/>
  <c r="AS64"/>
  <c r="AT64"/>
  <c r="H64"/>
  <c r="AU64"/>
  <c r="I64"/>
  <c r="J64"/>
  <c r="AV64"/>
  <c r="AW64"/>
  <c r="K64"/>
  <c r="AX64"/>
  <c r="L64"/>
  <c r="AY64"/>
  <c r="M64"/>
  <c r="N64"/>
  <c r="AZ64"/>
  <c r="O64"/>
  <c r="BA64"/>
  <c r="BB64"/>
  <c r="P64"/>
  <c r="BC64"/>
  <c r="Q64"/>
  <c r="BD64"/>
  <c r="R64"/>
  <c r="S64"/>
  <c r="BE64"/>
  <c r="T64"/>
  <c r="BF64"/>
  <c r="BG64"/>
  <c r="U64"/>
  <c r="V64"/>
  <c r="BH64"/>
  <c r="W64"/>
  <c r="BI64"/>
  <c r="BJ64"/>
  <c r="X64"/>
  <c r="Y64"/>
  <c r="BK64"/>
  <c r="BL64"/>
  <c r="Z64"/>
  <c r="AA64"/>
  <c r="BM64"/>
  <c r="AB64"/>
  <c r="BN64"/>
  <c r="AC64"/>
  <c r="AD64"/>
  <c r="AE64"/>
  <c r="AF64"/>
  <c r="AG64"/>
  <c r="AH64"/>
  <c r="AI64"/>
  <c r="AJ64"/>
  <c r="AK64"/>
  <c r="AL64"/>
  <c r="AM64"/>
  <c r="AN64"/>
  <c r="AO64"/>
  <c r="AP64"/>
  <c r="BN4"/>
  <c r="BN12"/>
  <c r="BN20"/>
  <c r="BN15"/>
  <c r="BN5"/>
  <c r="BN3"/>
  <c r="BN22"/>
  <c r="BN9"/>
  <c r="BN17"/>
  <c r="BN10"/>
  <c r="BN18"/>
  <c r="BN26"/>
  <c r="BN7"/>
  <c r="BN25"/>
  <c r="BN27"/>
  <c r="BN6"/>
  <c r="BN23"/>
  <c r="BN8"/>
  <c r="BN16"/>
  <c r="BN24"/>
  <c r="BO2"/>
  <c r="BO64" s="1"/>
  <c r="BN21"/>
  <c r="BN19"/>
  <c r="BN14"/>
  <c r="BN13"/>
  <c r="BN11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65"/>
  <c r="E64"/>
  <c r="D64"/>
  <c r="AQ65" l="1"/>
  <c r="AR65"/>
  <c r="F65"/>
  <c r="AS65"/>
  <c r="G65"/>
  <c r="AT65"/>
  <c r="H65"/>
  <c r="I65"/>
  <c r="AU65"/>
  <c r="AV65"/>
  <c r="J65"/>
  <c r="AW65"/>
  <c r="K65"/>
  <c r="AX65"/>
  <c r="L65"/>
  <c r="AY65"/>
  <c r="M65"/>
  <c r="N65"/>
  <c r="AZ65"/>
  <c r="BA65"/>
  <c r="O65"/>
  <c r="BB65"/>
  <c r="P65"/>
  <c r="Q65"/>
  <c r="BC65"/>
  <c r="BD65"/>
  <c r="R65"/>
  <c r="BE65"/>
  <c r="S65"/>
  <c r="T65"/>
  <c r="BF65"/>
  <c r="BG65"/>
  <c r="U65"/>
  <c r="BH65"/>
  <c r="V65"/>
  <c r="W65"/>
  <c r="BI65"/>
  <c r="BJ65"/>
  <c r="X65"/>
  <c r="Y65"/>
  <c r="BK65"/>
  <c r="BL65"/>
  <c r="Z65"/>
  <c r="BM65"/>
  <c r="AA65"/>
  <c r="BN65"/>
  <c r="AB65"/>
  <c r="AC65"/>
  <c r="BO65"/>
  <c r="AD65"/>
  <c r="AE65"/>
  <c r="AF65"/>
  <c r="AG65"/>
  <c r="AH65"/>
  <c r="AI65"/>
  <c r="AJ65"/>
  <c r="AK65"/>
  <c r="AL65"/>
  <c r="AM65"/>
  <c r="AN65"/>
  <c r="AO65"/>
  <c r="AP65"/>
  <c r="BO4"/>
  <c r="BO12"/>
  <c r="BO20"/>
  <c r="BO28"/>
  <c r="BO25"/>
  <c r="BO5"/>
  <c r="BO3"/>
  <c r="BO6"/>
  <c r="BO22"/>
  <c r="BO7"/>
  <c r="BO10"/>
  <c r="BO18"/>
  <c r="BO26"/>
  <c r="BO17"/>
  <c r="BO23"/>
  <c r="BO27"/>
  <c r="BO14"/>
  <c r="BP2"/>
  <c r="BP65" s="1"/>
  <c r="BO13"/>
  <c r="BO8"/>
  <c r="BO16"/>
  <c r="BO24"/>
  <c r="BO9"/>
  <c r="BO15"/>
  <c r="BO21"/>
  <c r="BO19"/>
  <c r="BO11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E65"/>
  <c r="B66"/>
  <c r="D65"/>
  <c r="BP7" l="1"/>
  <c r="BP15"/>
  <c r="BP23"/>
  <c r="BP28"/>
  <c r="BP8"/>
  <c r="BP16"/>
  <c r="BP9"/>
  <c r="BP25"/>
  <c r="BP18"/>
  <c r="BP24"/>
  <c r="BP5"/>
  <c r="BP13"/>
  <c r="BP21"/>
  <c r="BP29"/>
  <c r="BP22"/>
  <c r="BP20"/>
  <c r="BP10"/>
  <c r="BP26"/>
  <c r="BP6"/>
  <c r="BP3"/>
  <c r="BP11"/>
  <c r="BP19"/>
  <c r="BP27"/>
  <c r="BP14"/>
  <c r="BP12"/>
  <c r="BQ2"/>
  <c r="BP17"/>
  <c r="BP4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AQ66"/>
  <c r="F66"/>
  <c r="AR66"/>
  <c r="G66"/>
  <c r="AS66"/>
  <c r="AT66"/>
  <c r="H66"/>
  <c r="I66"/>
  <c r="AU66"/>
  <c r="AV66"/>
  <c r="J66"/>
  <c r="AW66"/>
  <c r="K66"/>
  <c r="AX66"/>
  <c r="L66"/>
  <c r="AY66"/>
  <c r="M66"/>
  <c r="N66"/>
  <c r="AZ66"/>
  <c r="O66"/>
  <c r="BA66"/>
  <c r="P66"/>
  <c r="BB66"/>
  <c r="BC66"/>
  <c r="Q66"/>
  <c r="R66"/>
  <c r="BD66"/>
  <c r="BE66"/>
  <c r="S66"/>
  <c r="BF66"/>
  <c r="T66"/>
  <c r="U66"/>
  <c r="BG66"/>
  <c r="BH66"/>
  <c r="V66"/>
  <c r="W66"/>
  <c r="BI66"/>
  <c r="X66"/>
  <c r="BJ66"/>
  <c r="BK66"/>
  <c r="Y66"/>
  <c r="BL66"/>
  <c r="Z66"/>
  <c r="AA66"/>
  <c r="BM66"/>
  <c r="AB66"/>
  <c r="BN66"/>
  <c r="AC66"/>
  <c r="BO66"/>
  <c r="BP66"/>
  <c r="AD66"/>
  <c r="BQ66"/>
  <c r="AE66"/>
  <c r="AF66"/>
  <c r="AG66"/>
  <c r="AH66"/>
  <c r="AI66"/>
  <c r="AJ66"/>
  <c r="AK66"/>
  <c r="AL66"/>
  <c r="AM66"/>
  <c r="AN66"/>
  <c r="AO66"/>
  <c r="AP66"/>
  <c r="E66"/>
  <c r="D66"/>
  <c r="B67"/>
  <c r="AQ67" l="1"/>
  <c r="F67"/>
  <c r="AR67"/>
  <c r="G67"/>
  <c r="AS67"/>
  <c r="H67"/>
  <c r="AT67"/>
  <c r="AU67"/>
  <c r="I67"/>
  <c r="AV67"/>
  <c r="J67"/>
  <c r="AW67"/>
  <c r="K67"/>
  <c r="AX67"/>
  <c r="L67"/>
  <c r="M67"/>
  <c r="AY67"/>
  <c r="N67"/>
  <c r="AZ67"/>
  <c r="BA67"/>
  <c r="O67"/>
  <c r="P67"/>
  <c r="BB67"/>
  <c r="Q67"/>
  <c r="BC67"/>
  <c r="R67"/>
  <c r="BD67"/>
  <c r="BE67"/>
  <c r="S67"/>
  <c r="T67"/>
  <c r="BF67"/>
  <c r="U67"/>
  <c r="BG67"/>
  <c r="BH67"/>
  <c r="V67"/>
  <c r="W67"/>
  <c r="BI67"/>
  <c r="BJ67"/>
  <c r="X67"/>
  <c r="Y67"/>
  <c r="BK67"/>
  <c r="Z67"/>
  <c r="BL67"/>
  <c r="AA67"/>
  <c r="BM67"/>
  <c r="AB67"/>
  <c r="BN67"/>
  <c r="AC67"/>
  <c r="BO67"/>
  <c r="BP67"/>
  <c r="AD67"/>
  <c r="AE67"/>
  <c r="BQ67"/>
  <c r="AF67"/>
  <c r="AG67"/>
  <c r="AH67"/>
  <c r="AI67"/>
  <c r="AJ67"/>
  <c r="AK67"/>
  <c r="AL67"/>
  <c r="AM67"/>
  <c r="AN67"/>
  <c r="AO67"/>
  <c r="AP67"/>
  <c r="BR2"/>
  <c r="BR67" s="1"/>
  <c r="BQ9"/>
  <c r="BQ17"/>
  <c r="BQ25"/>
  <c r="BQ8"/>
  <c r="BQ14"/>
  <c r="BQ26"/>
  <c r="BQ3"/>
  <c r="BQ11"/>
  <c r="BQ16"/>
  <c r="BQ4"/>
  <c r="BQ7"/>
  <c r="BQ15"/>
  <c r="BQ23"/>
  <c r="BQ6"/>
  <c r="BQ20"/>
  <c r="BQ12"/>
  <c r="BQ27"/>
  <c r="BQ5"/>
  <c r="BQ13"/>
  <c r="BQ21"/>
  <c r="BQ29"/>
  <c r="BQ24"/>
  <c r="BQ30"/>
  <c r="BQ10"/>
  <c r="BQ18"/>
  <c r="BQ28"/>
  <c r="BQ19"/>
  <c r="BQ22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E67"/>
  <c r="B68"/>
  <c r="D67"/>
  <c r="AQ68" l="1"/>
  <c r="AR68"/>
  <c r="F68"/>
  <c r="G68"/>
  <c r="AS68"/>
  <c r="AT68"/>
  <c r="H68"/>
  <c r="I68"/>
  <c r="AU68"/>
  <c r="J68"/>
  <c r="AV68"/>
  <c r="AW68"/>
  <c r="K68"/>
  <c r="L68"/>
  <c r="AX68"/>
  <c r="M68"/>
  <c r="AY68"/>
  <c r="AZ68"/>
  <c r="N68"/>
  <c r="O68"/>
  <c r="BA68"/>
  <c r="BB68"/>
  <c r="P68"/>
  <c r="Q68"/>
  <c r="BC68"/>
  <c r="BD68"/>
  <c r="R68"/>
  <c r="BE68"/>
  <c r="S68"/>
  <c r="BF68"/>
  <c r="T68"/>
  <c r="U68"/>
  <c r="BG68"/>
  <c r="BH68"/>
  <c r="V68"/>
  <c r="BI68"/>
  <c r="W68"/>
  <c r="X68"/>
  <c r="BJ68"/>
  <c r="Y68"/>
  <c r="BK68"/>
  <c r="BL68"/>
  <c r="Z68"/>
  <c r="BM68"/>
  <c r="AA68"/>
  <c r="AB68"/>
  <c r="BN68"/>
  <c r="AC68"/>
  <c r="BO68"/>
  <c r="AD68"/>
  <c r="BP68"/>
  <c r="BQ68"/>
  <c r="AE68"/>
  <c r="BR68"/>
  <c r="AF68"/>
  <c r="AG68"/>
  <c r="AH68"/>
  <c r="AI68"/>
  <c r="AJ68"/>
  <c r="AK68"/>
  <c r="AL68"/>
  <c r="AM68"/>
  <c r="AN68"/>
  <c r="AO68"/>
  <c r="AP68"/>
  <c r="BR10"/>
  <c r="BR18"/>
  <c r="BR26"/>
  <c r="BR3"/>
  <c r="BR9"/>
  <c r="BR15"/>
  <c r="BR4"/>
  <c r="BR20"/>
  <c r="BR11"/>
  <c r="BR21"/>
  <c r="BR8"/>
  <c r="BR16"/>
  <c r="BR24"/>
  <c r="BS2"/>
  <c r="BR27"/>
  <c r="BR5"/>
  <c r="BR7"/>
  <c r="BR13"/>
  <c r="BR28"/>
  <c r="BR23"/>
  <c r="BR6"/>
  <c r="BR14"/>
  <c r="BR22"/>
  <c r="BR30"/>
  <c r="BR19"/>
  <c r="BR25"/>
  <c r="BR31"/>
  <c r="BR29"/>
  <c r="BR12"/>
  <c r="BR17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D68"/>
  <c r="E68"/>
  <c r="B69"/>
  <c r="BS6" l="1"/>
  <c r="BS14"/>
  <c r="BS22"/>
  <c r="BS30"/>
  <c r="BS21"/>
  <c r="BS19"/>
  <c r="BS7"/>
  <c r="BS25"/>
  <c r="BS31"/>
  <c r="BS12"/>
  <c r="BS20"/>
  <c r="BS28"/>
  <c r="BS13"/>
  <c r="BS11"/>
  <c r="BS23"/>
  <c r="BS9"/>
  <c r="BS8"/>
  <c r="BS16"/>
  <c r="BS27"/>
  <c r="BS17"/>
  <c r="BS4"/>
  <c r="BS24"/>
  <c r="BS15"/>
  <c r="BS10"/>
  <c r="BS18"/>
  <c r="BS26"/>
  <c r="BS5"/>
  <c r="BS3"/>
  <c r="BS32"/>
  <c r="BT2"/>
  <c r="BT69" s="1"/>
  <c r="BS29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AQ69"/>
  <c r="AR69"/>
  <c r="F69"/>
  <c r="AS69"/>
  <c r="G69"/>
  <c r="H69"/>
  <c r="AT69"/>
  <c r="AU69"/>
  <c r="I69"/>
  <c r="AV69"/>
  <c r="J69"/>
  <c r="AW69"/>
  <c r="K69"/>
  <c r="L69"/>
  <c r="AX69"/>
  <c r="M69"/>
  <c r="AY69"/>
  <c r="AZ69"/>
  <c r="N69"/>
  <c r="BA69"/>
  <c r="O69"/>
  <c r="BB69"/>
  <c r="P69"/>
  <c r="BC69"/>
  <c r="Q69"/>
  <c r="R69"/>
  <c r="BD69"/>
  <c r="S69"/>
  <c r="BE69"/>
  <c r="BF69"/>
  <c r="T69"/>
  <c r="U69"/>
  <c r="BG69"/>
  <c r="V69"/>
  <c r="BH69"/>
  <c r="W69"/>
  <c r="BI69"/>
  <c r="X69"/>
  <c r="BJ69"/>
  <c r="BK69"/>
  <c r="Y69"/>
  <c r="Z69"/>
  <c r="BL69"/>
  <c r="AA69"/>
  <c r="BM69"/>
  <c r="AB69"/>
  <c r="BN69"/>
  <c r="AC69"/>
  <c r="BO69"/>
  <c r="AD69"/>
  <c r="BP69"/>
  <c r="AE69"/>
  <c r="BQ69"/>
  <c r="BR69"/>
  <c r="AF69"/>
  <c r="AG69"/>
  <c r="BS69"/>
  <c r="AH69"/>
  <c r="AI69"/>
  <c r="AJ69"/>
  <c r="AK69"/>
  <c r="AL69"/>
  <c r="AM69"/>
  <c r="AN69"/>
  <c r="AO69"/>
  <c r="AP69"/>
  <c r="BS68"/>
  <c r="E69"/>
  <c r="B70"/>
  <c r="D69"/>
  <c r="BT9" l="1"/>
  <c r="BT17"/>
  <c r="BT25"/>
  <c r="BT10"/>
  <c r="BT8"/>
  <c r="BT20"/>
  <c r="BT30"/>
  <c r="BT11"/>
  <c r="BT18"/>
  <c r="BT34"/>
  <c r="BT7"/>
  <c r="BT15"/>
  <c r="BT23"/>
  <c r="BT31"/>
  <c r="BT33"/>
  <c r="BT4"/>
  <c r="BT14"/>
  <c r="BT12"/>
  <c r="BT28"/>
  <c r="BT3"/>
  <c r="BT27"/>
  <c r="BT32"/>
  <c r="BT5"/>
  <c r="BT13"/>
  <c r="BT21"/>
  <c r="BT29"/>
  <c r="BT26"/>
  <c r="BT24"/>
  <c r="BT22"/>
  <c r="BT6"/>
  <c r="BT19"/>
  <c r="BT16"/>
  <c r="BT35"/>
  <c r="BT36"/>
  <c r="BT37"/>
  <c r="BT38"/>
  <c r="BT39"/>
  <c r="BT40"/>
  <c r="BT41"/>
  <c r="BT42"/>
  <c r="BT43"/>
  <c r="BT44"/>
  <c r="BT45"/>
  <c r="BT46"/>
  <c r="BT47"/>
  <c r="BT48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T68"/>
  <c r="AQ70"/>
  <c r="F70"/>
  <c r="AR70"/>
  <c r="AS70"/>
  <c r="G70"/>
  <c r="AT70"/>
  <c r="H70"/>
  <c r="AU70"/>
  <c r="I70"/>
  <c r="AV70"/>
  <c r="J70"/>
  <c r="AW70"/>
  <c r="K70"/>
  <c r="L70"/>
  <c r="AX70"/>
  <c r="M70"/>
  <c r="AY70"/>
  <c r="N70"/>
  <c r="AZ70"/>
  <c r="O70"/>
  <c r="BA70"/>
  <c r="BB70"/>
  <c r="P70"/>
  <c r="Q70"/>
  <c r="BC70"/>
  <c r="BD70"/>
  <c r="R70"/>
  <c r="BE70"/>
  <c r="S70"/>
  <c r="BF70"/>
  <c r="T70"/>
  <c r="U70"/>
  <c r="BG70"/>
  <c r="BH70"/>
  <c r="V70"/>
  <c r="W70"/>
  <c r="BI70"/>
  <c r="BJ70"/>
  <c r="X70"/>
  <c r="Y70"/>
  <c r="BK70"/>
  <c r="Z70"/>
  <c r="BL70"/>
  <c r="BM70"/>
  <c r="AA70"/>
  <c r="BN70"/>
  <c r="AB70"/>
  <c r="AC70"/>
  <c r="BO70"/>
  <c r="AD70"/>
  <c r="BP70"/>
  <c r="AE70"/>
  <c r="BQ70"/>
  <c r="BR70"/>
  <c r="AF70"/>
  <c r="AG70"/>
  <c r="BS70"/>
  <c r="AH70"/>
  <c r="BT70"/>
  <c r="AI70"/>
  <c r="AJ70"/>
  <c r="AK70"/>
  <c r="AL70"/>
  <c r="AM70"/>
  <c r="AN70"/>
  <c r="AO70"/>
  <c r="AP70"/>
  <c r="B71"/>
  <c r="E70"/>
  <c r="D70"/>
  <c r="AQ71" l="1"/>
  <c r="AR71"/>
  <c r="F71"/>
  <c r="AS71"/>
  <c r="G71"/>
  <c r="AT71"/>
  <c r="H71"/>
  <c r="AU71"/>
  <c r="I71"/>
  <c r="AV71"/>
  <c r="J71"/>
  <c r="AW71"/>
  <c r="K71"/>
  <c r="AX71"/>
  <c r="L71"/>
  <c r="AY71"/>
  <c r="M71"/>
  <c r="N71"/>
  <c r="AZ71"/>
  <c r="O71"/>
  <c r="BA71"/>
  <c r="BB71"/>
  <c r="P71"/>
  <c r="BC71"/>
  <c r="Q71"/>
  <c r="BD71"/>
  <c r="R71"/>
  <c r="BE71"/>
  <c r="S71"/>
  <c r="BF71"/>
  <c r="T71"/>
  <c r="BG71"/>
  <c r="U71"/>
  <c r="V71"/>
  <c r="BH71"/>
  <c r="BI71"/>
  <c r="W71"/>
  <c r="BJ71"/>
  <c r="X71"/>
  <c r="BK71"/>
  <c r="Y71"/>
  <c r="BL71"/>
  <c r="Z71"/>
  <c r="AA71"/>
  <c r="BM71"/>
  <c r="BN71"/>
  <c r="AB71"/>
  <c r="BO71"/>
  <c r="AC71"/>
  <c r="AD71"/>
  <c r="BP71"/>
  <c r="BQ71"/>
  <c r="AE71"/>
  <c r="AF71"/>
  <c r="BR71"/>
  <c r="BS71"/>
  <c r="AG71"/>
  <c r="BT71"/>
  <c r="AH71"/>
  <c r="AI71"/>
  <c r="AJ71"/>
  <c r="AK71"/>
  <c r="AL71"/>
  <c r="AM71"/>
  <c r="AN71"/>
  <c r="AO71"/>
  <c r="AP71"/>
  <c r="E71"/>
  <c r="B72"/>
  <c r="D71"/>
  <c r="AQ72" l="1"/>
  <c r="AR72"/>
  <c r="F72"/>
  <c r="AS72"/>
  <c r="G72"/>
  <c r="AT72"/>
  <c r="H72"/>
  <c r="I72"/>
  <c r="AU72"/>
  <c r="J72"/>
  <c r="AV72"/>
  <c r="K72"/>
  <c r="AW72"/>
  <c r="L72"/>
  <c r="AX72"/>
  <c r="M72"/>
  <c r="AY72"/>
  <c r="N72"/>
  <c r="AZ72"/>
  <c r="BA72"/>
  <c r="O72"/>
  <c r="P72"/>
  <c r="BB72"/>
  <c r="BC72"/>
  <c r="Q72"/>
  <c r="BD72"/>
  <c r="R72"/>
  <c r="BE72"/>
  <c r="S72"/>
  <c r="T72"/>
  <c r="BF72"/>
  <c r="U72"/>
  <c r="BG72"/>
  <c r="BH72"/>
  <c r="V72"/>
  <c r="W72"/>
  <c r="BI72"/>
  <c r="BJ72"/>
  <c r="X72"/>
  <c r="Y72"/>
  <c r="BK72"/>
  <c r="Z72"/>
  <c r="BL72"/>
  <c r="AA72"/>
  <c r="BM72"/>
  <c r="AB72"/>
  <c r="BN72"/>
  <c r="BO72"/>
  <c r="AC72"/>
  <c r="AD72"/>
  <c r="BP72"/>
  <c r="AE72"/>
  <c r="BQ72"/>
  <c r="BR72"/>
  <c r="AF72"/>
  <c r="AG72"/>
  <c r="BS72"/>
  <c r="AH72"/>
  <c r="BT72"/>
  <c r="AI72"/>
  <c r="AJ72"/>
  <c r="AK72"/>
  <c r="AL72"/>
  <c r="AM72"/>
  <c r="AN72"/>
  <c r="AO72"/>
  <c r="AP72"/>
  <c r="B73"/>
  <c r="E72"/>
  <c r="D72"/>
  <c r="AQ73" l="1"/>
  <c r="F73"/>
  <c r="AR73"/>
  <c r="AS73"/>
  <c r="G73"/>
  <c r="AT73"/>
  <c r="H73"/>
  <c r="I73"/>
  <c r="AU73"/>
  <c r="AV73"/>
  <c r="J73"/>
  <c r="K73"/>
  <c r="AW73"/>
  <c r="L73"/>
  <c r="AX73"/>
  <c r="AY73"/>
  <c r="M73"/>
  <c r="AZ73"/>
  <c r="N73"/>
  <c r="O73"/>
  <c r="BA73"/>
  <c r="BB73"/>
  <c r="P73"/>
  <c r="BC73"/>
  <c r="Q73"/>
  <c r="R73"/>
  <c r="BD73"/>
  <c r="S73"/>
  <c r="BE73"/>
  <c r="T73"/>
  <c r="BF73"/>
  <c r="BG73"/>
  <c r="U73"/>
  <c r="BH73"/>
  <c r="V73"/>
  <c r="BI73"/>
  <c r="W73"/>
  <c r="BJ73"/>
  <c r="X73"/>
  <c r="BK73"/>
  <c r="Y73"/>
  <c r="BL73"/>
  <c r="Z73"/>
  <c r="BM73"/>
  <c r="AA73"/>
  <c r="BN73"/>
  <c r="AB73"/>
  <c r="AC73"/>
  <c r="BO73"/>
  <c r="BP73"/>
  <c r="AD73"/>
  <c r="AE73"/>
  <c r="BQ73"/>
  <c r="AF73"/>
  <c r="BR73"/>
  <c r="AG73"/>
  <c r="BS73"/>
  <c r="BT73"/>
  <c r="AH73"/>
  <c r="AI73"/>
  <c r="AJ73"/>
  <c r="AK73"/>
  <c r="AL73"/>
  <c r="AM73"/>
  <c r="AN73"/>
  <c r="AO73"/>
  <c r="AP73"/>
  <c r="E73"/>
  <c r="B74"/>
  <c r="D73"/>
  <c r="AQ74" l="1"/>
  <c r="AR74"/>
  <c r="F74"/>
  <c r="G74"/>
  <c r="AS74"/>
  <c r="H74"/>
  <c r="AT74"/>
  <c r="AU74"/>
  <c r="I74"/>
  <c r="J74"/>
  <c r="AV74"/>
  <c r="K74"/>
  <c r="AW74"/>
  <c r="AX74"/>
  <c r="L74"/>
  <c r="M74"/>
  <c r="AY74"/>
  <c r="AZ74"/>
  <c r="N74"/>
  <c r="BA74"/>
  <c r="O74"/>
  <c r="P74"/>
  <c r="BB74"/>
  <c r="Q74"/>
  <c r="BC74"/>
  <c r="BD74"/>
  <c r="R74"/>
  <c r="BE74"/>
  <c r="S74"/>
  <c r="BF74"/>
  <c r="T74"/>
  <c r="U74"/>
  <c r="BG74"/>
  <c r="V74"/>
  <c r="BH74"/>
  <c r="W74"/>
  <c r="BI74"/>
  <c r="BJ74"/>
  <c r="X74"/>
  <c r="BK74"/>
  <c r="Y74"/>
  <c r="BL74"/>
  <c r="Z74"/>
  <c r="AA74"/>
  <c r="BM74"/>
  <c r="BN74"/>
  <c r="AB74"/>
  <c r="BO74"/>
  <c r="AC74"/>
  <c r="AD74"/>
  <c r="BP74"/>
  <c r="AE74"/>
  <c r="BQ74"/>
  <c r="BR74"/>
  <c r="AF74"/>
  <c r="AG74"/>
  <c r="BS74"/>
  <c r="AH74"/>
  <c r="BT74"/>
  <c r="AI74"/>
  <c r="AJ74"/>
  <c r="AK74"/>
  <c r="AL74"/>
  <c r="AM74"/>
  <c r="AN74"/>
  <c r="AO74"/>
  <c r="AP74"/>
  <c r="E74"/>
  <c r="D74"/>
  <c r="B75"/>
  <c r="AQ75" l="1"/>
  <c r="F75"/>
  <c r="AR75"/>
  <c r="AS75"/>
  <c r="G75"/>
  <c r="H75"/>
  <c r="AT75"/>
  <c r="I75"/>
  <c r="AU75"/>
  <c r="AV75"/>
  <c r="J75"/>
  <c r="AW75"/>
  <c r="K75"/>
  <c r="L75"/>
  <c r="AX75"/>
  <c r="M75"/>
  <c r="AY75"/>
  <c r="N75"/>
  <c r="AZ75"/>
  <c r="O75"/>
  <c r="BA75"/>
  <c r="P75"/>
  <c r="BB75"/>
  <c r="Q75"/>
  <c r="BC75"/>
  <c r="R75"/>
  <c r="BD75"/>
  <c r="BE75"/>
  <c r="S75"/>
  <c r="BF75"/>
  <c r="T75"/>
  <c r="U75"/>
  <c r="BG75"/>
  <c r="V75"/>
  <c r="BH75"/>
  <c r="BI75"/>
  <c r="W75"/>
  <c r="BJ75"/>
  <c r="X75"/>
  <c r="Y75"/>
  <c r="BK75"/>
  <c r="Z75"/>
  <c r="BL75"/>
  <c r="BM75"/>
  <c r="AA75"/>
  <c r="BN75"/>
  <c r="AB75"/>
  <c r="AC75"/>
  <c r="BO75"/>
  <c r="BP75"/>
  <c r="AD75"/>
  <c r="AE75"/>
  <c r="BQ75"/>
  <c r="AF75"/>
  <c r="BR75"/>
  <c r="AG75"/>
  <c r="BS75"/>
  <c r="AH75"/>
  <c r="BT75"/>
  <c r="AI75"/>
  <c r="AJ75"/>
  <c r="AK75"/>
  <c r="AL75"/>
  <c r="AM75"/>
  <c r="AN75"/>
  <c r="AO75"/>
  <c r="AP75"/>
  <c r="E75"/>
  <c r="B76"/>
  <c r="D75"/>
  <c r="AQ76" l="1"/>
  <c r="F76"/>
  <c r="AR76"/>
  <c r="AS76"/>
  <c r="G76"/>
  <c r="AT76"/>
  <c r="H76"/>
  <c r="AU76"/>
  <c r="I76"/>
  <c r="AV76"/>
  <c r="J76"/>
  <c r="AW76"/>
  <c r="K76"/>
  <c r="AX76"/>
  <c r="L76"/>
  <c r="AY76"/>
  <c r="M76"/>
  <c r="AZ76"/>
  <c r="N76"/>
  <c r="O76"/>
  <c r="BA76"/>
  <c r="BB76"/>
  <c r="P76"/>
  <c r="BC76"/>
  <c r="Q76"/>
  <c r="R76"/>
  <c r="BD76"/>
  <c r="S76"/>
  <c r="BE76"/>
  <c r="BF76"/>
  <c r="T76"/>
  <c r="BG76"/>
  <c r="U76"/>
  <c r="BH76"/>
  <c r="V76"/>
  <c r="BI76"/>
  <c r="W76"/>
  <c r="X76"/>
  <c r="BJ76"/>
  <c r="Y76"/>
  <c r="BK76"/>
  <c r="Z76"/>
  <c r="BL76"/>
  <c r="BM76"/>
  <c r="AA76"/>
  <c r="BN76"/>
  <c r="AB76"/>
  <c r="AC76"/>
  <c r="BO76"/>
  <c r="BP76"/>
  <c r="AD76"/>
  <c r="BQ76"/>
  <c r="AE76"/>
  <c r="AF76"/>
  <c r="BR76"/>
  <c r="BS76"/>
  <c r="AG76"/>
  <c r="BT76"/>
  <c r="AH76"/>
  <c r="AI76"/>
  <c r="AJ76"/>
  <c r="AK76"/>
  <c r="AL76"/>
  <c r="AM76"/>
  <c r="AN76"/>
  <c r="AO76"/>
  <c r="AP76"/>
  <c r="D76"/>
  <c r="E76"/>
  <c r="B77"/>
  <c r="F77" l="1"/>
  <c r="AQ77"/>
  <c r="AR77"/>
  <c r="AS77"/>
  <c r="G77"/>
  <c r="H77"/>
  <c r="AT77"/>
  <c r="AU77"/>
  <c r="I77"/>
  <c r="AV77"/>
  <c r="J77"/>
  <c r="AW77"/>
  <c r="K77"/>
  <c r="L77"/>
  <c r="AX77"/>
  <c r="AY77"/>
  <c r="M77"/>
  <c r="AZ77"/>
  <c r="N77"/>
  <c r="O77"/>
  <c r="BA77"/>
  <c r="P77"/>
  <c r="BB77"/>
  <c r="BC77"/>
  <c r="Q77"/>
  <c r="R77"/>
  <c r="BD77"/>
  <c r="BE77"/>
  <c r="S77"/>
  <c r="BF77"/>
  <c r="T77"/>
  <c r="BG77"/>
  <c r="U77"/>
  <c r="V77"/>
  <c r="BH77"/>
  <c r="W77"/>
  <c r="BI77"/>
  <c r="X77"/>
  <c r="BJ77"/>
  <c r="Y77"/>
  <c r="BK77"/>
  <c r="Z77"/>
  <c r="BL77"/>
  <c r="AA77"/>
  <c r="BM77"/>
  <c r="AB77"/>
  <c r="BN77"/>
  <c r="AC77"/>
  <c r="BO77"/>
  <c r="AD77"/>
  <c r="BP77"/>
  <c r="BQ77"/>
  <c r="AE77"/>
  <c r="AF77"/>
  <c r="BR77"/>
  <c r="AG77"/>
  <c r="BS77"/>
  <c r="AH77"/>
  <c r="BT77"/>
  <c r="AI77"/>
  <c r="AJ77"/>
  <c r="AK77"/>
  <c r="AL77"/>
  <c r="AM77"/>
  <c r="AN77"/>
  <c r="AO77"/>
  <c r="AP77"/>
  <c r="E77"/>
  <c r="B78"/>
  <c r="D77"/>
  <c r="AQ78" l="1"/>
  <c r="F78"/>
  <c r="AR78"/>
  <c r="AS78"/>
  <c r="G78"/>
  <c r="AT78"/>
  <c r="H78"/>
  <c r="AU78"/>
  <c r="I78"/>
  <c r="AV78"/>
  <c r="J78"/>
  <c r="K78"/>
  <c r="AW78"/>
  <c r="L78"/>
  <c r="AX78"/>
  <c r="AY78"/>
  <c r="M78"/>
  <c r="N78"/>
  <c r="AZ78"/>
  <c r="O78"/>
  <c r="BA78"/>
  <c r="BB78"/>
  <c r="P78"/>
  <c r="Q78"/>
  <c r="BC78"/>
  <c r="BD78"/>
  <c r="R78"/>
  <c r="S78"/>
  <c r="BE78"/>
  <c r="T78"/>
  <c r="BF78"/>
  <c r="BG78"/>
  <c r="U78"/>
  <c r="V78"/>
  <c r="BH78"/>
  <c r="W78"/>
  <c r="BI78"/>
  <c r="BJ78"/>
  <c r="X78"/>
  <c r="BK78"/>
  <c r="Y78"/>
  <c r="Z78"/>
  <c r="BL78"/>
  <c r="AA78"/>
  <c r="BM78"/>
  <c r="BN78"/>
  <c r="AB78"/>
  <c r="BO78"/>
  <c r="AC78"/>
  <c r="BP78"/>
  <c r="AD78"/>
  <c r="AE78"/>
  <c r="BQ78"/>
  <c r="BR78"/>
  <c r="AF78"/>
  <c r="AG78"/>
  <c r="BS78"/>
  <c r="BT78"/>
  <c r="AH78"/>
  <c r="AI78"/>
  <c r="AJ78"/>
  <c r="AK78"/>
  <c r="AL78"/>
  <c r="AM78"/>
  <c r="AN78"/>
  <c r="AO78"/>
  <c r="AP78"/>
  <c r="E78"/>
  <c r="D78"/>
</calcChain>
</file>

<file path=xl/sharedStrings.xml><?xml version="1.0" encoding="utf-8"?>
<sst xmlns="http://schemas.openxmlformats.org/spreadsheetml/2006/main" count="2050" uniqueCount="608">
  <si>
    <t>Förmåga</t>
  </si>
  <si>
    <t>Form</t>
  </si>
  <si>
    <t>Scoring probability</t>
  </si>
  <si>
    <t>Prob.</t>
  </si>
  <si>
    <t>Prob 2</t>
  </si>
  <si>
    <t>Prob 3</t>
  </si>
  <si>
    <t>AIM</t>
  </si>
  <si>
    <t>APK</t>
  </si>
  <si>
    <t>AIM 20</t>
  </si>
  <si>
    <t>AIM 40</t>
  </si>
  <si>
    <t>AIM 30</t>
  </si>
  <si>
    <t>APK 20</t>
  </si>
  <si>
    <t>APK 30</t>
  </si>
  <si>
    <t>APK 40</t>
  </si>
  <si>
    <t>Central</t>
  </si>
  <si>
    <t>Left</t>
  </si>
  <si>
    <t>Right</t>
  </si>
  <si>
    <t>Low</t>
  </si>
  <si>
    <t>Medium</t>
  </si>
  <si>
    <t>High</t>
  </si>
  <si>
    <t>Attack Ref</t>
  </si>
  <si>
    <t>Defence Opp</t>
  </si>
  <si>
    <t>Defense Ref</t>
  </si>
  <si>
    <t>Attack Opp</t>
  </si>
  <si>
    <t>P=1/[ 1+D^x/A^y ]</t>
  </si>
  <si>
    <t>x=3.5[0.2], y=3.5[0.2]</t>
  </si>
  <si>
    <t>P=1/[ 1+(D/A)^x ]</t>
  </si>
  <si>
    <t>x=3.5[0.2]</t>
  </si>
  <si>
    <t>P=1/[ 1+k*D^x/A^y ]</t>
  </si>
  <si>
    <t>x</t>
  </si>
  <si>
    <t>y</t>
  </si>
  <si>
    <t>k</t>
  </si>
  <si>
    <t>-</t>
  </si>
  <si>
    <t>Revision history</t>
  </si>
  <si>
    <t>Revision</t>
  </si>
  <si>
    <t>Date</t>
  </si>
  <si>
    <t>Change</t>
  </si>
  <si>
    <t>Notes</t>
  </si>
  <si>
    <t>New file</t>
  </si>
  <si>
    <t>Chance disribution</t>
  </si>
  <si>
    <t>Added</t>
  </si>
  <si>
    <t>Chance distribution</t>
  </si>
  <si>
    <t>Attack distribution</t>
  </si>
  <si>
    <t>Antal chanser i medel = 5 + 3.95*arctan((x-50)/15)</t>
  </si>
  <si>
    <t>Bollinnehav (x) nödvändigt för y antal chanser = 50 + 15 * tan( (y-5) / 15 )</t>
  </si>
  <si>
    <t>Possession required</t>
  </si>
  <si>
    <t>Prestation = förmåga * sqrt(form-1) / sqrt (7)</t>
  </si>
  <si>
    <t>Left = 0.26*chances, Central = 0.38*chances, Right=0.26*chances, SP=0.1*chances</t>
  </si>
  <si>
    <t>Midfield required</t>
  </si>
  <si>
    <t>Chances, input</t>
  </si>
  <si>
    <t>Performance</t>
  </si>
  <si>
    <t>Ability</t>
  </si>
  <si>
    <t>Midfield Ref</t>
  </si>
  <si>
    <t>Midfield Opp</t>
  </si>
  <si>
    <t>Possession</t>
  </si>
  <si>
    <t>Chances</t>
  </si>
  <si>
    <t>Distribution</t>
  </si>
  <si>
    <t>SP</t>
  </si>
  <si>
    <t>Input:</t>
  </si>
  <si>
    <t>Required midfield analyzer</t>
  </si>
  <si>
    <t>Added, dsitribution for this also added</t>
  </si>
  <si>
    <t>fenomenal</t>
  </si>
  <si>
    <t>legendarisk</t>
  </si>
  <si>
    <t>katastrofal</t>
  </si>
  <si>
    <t>ypperlig</t>
  </si>
  <si>
    <t>bra</t>
  </si>
  <si>
    <t>gudabenådad</t>
  </si>
  <si>
    <t>hyfsad</t>
  </si>
  <si>
    <t>dålig</t>
  </si>
  <si>
    <t>usel</t>
  </si>
  <si>
    <t>enastående</t>
  </si>
  <si>
    <t>unik</t>
  </si>
  <si>
    <t>övernaturlig</t>
  </si>
  <si>
    <t>oförglömlig</t>
  </si>
  <si>
    <t>himmelsk</t>
  </si>
  <si>
    <t>titanisk</t>
  </si>
  <si>
    <t>utomjordisk</t>
  </si>
  <si>
    <t>mytomspunnen</t>
  </si>
  <si>
    <t>magisk</t>
  </si>
  <si>
    <t>utopisk</t>
  </si>
  <si>
    <t>gudomlig</t>
  </si>
  <si>
    <t>Lookup table</t>
  </si>
  <si>
    <t>Värde</t>
  </si>
  <si>
    <t>Beräkningsvärde</t>
  </si>
  <si>
    <t>Kondition</t>
  </si>
  <si>
    <t>SU</t>
  </si>
  <si>
    <t>Ytter</t>
  </si>
  <si>
    <t>Målgörare</t>
  </si>
  <si>
    <t>Fasta</t>
  </si>
  <si>
    <t>Målvakt</t>
  </si>
  <si>
    <t>Passningar</t>
  </si>
  <si>
    <t>Försvar</t>
  </si>
  <si>
    <t>Prestation:</t>
  </si>
  <si>
    <t>Spelare:</t>
  </si>
  <si>
    <t>Parsad spelare:</t>
  </si>
  <si>
    <t>hög</t>
  </si>
  <si>
    <t>Formtendens</t>
  </si>
  <si>
    <t>medel</t>
  </si>
  <si>
    <t>låg</t>
  </si>
  <si>
    <t>Tendens</t>
  </si>
  <si>
    <t>Player parser</t>
  </si>
  <si>
    <t>Player performance depending on form</t>
  </si>
  <si>
    <t>Added; player abilities parsed to numeric values then converted to actual performance, depending on form and form tendancy</t>
  </si>
  <si>
    <t>Total</t>
  </si>
  <si>
    <t>Input</t>
  </si>
  <si>
    <t>Distribution opp</t>
  </si>
  <si>
    <t>Goals opponent</t>
  </si>
  <si>
    <t>Goal ref</t>
  </si>
  <si>
    <t>Green areas represent areas where user can input data</t>
  </si>
  <si>
    <t>Prediction tool</t>
  </si>
  <si>
    <t>Added tool for probability of how many goals for each attack, probabilities on final score</t>
  </si>
  <si>
    <t>Layout</t>
  </si>
  <si>
    <t>Split tools into team tools and player tools</t>
  </si>
  <si>
    <t>0.2</t>
  </si>
  <si>
    <t>0.1</t>
  </si>
  <si>
    <t>Den här säsongen [s31] är veckoräntan 0,15% gånger roten ur antalet ekonomer. Nästa säsong är den 0,075% gånger roten ur antalet ekonomer.</t>
  </si>
  <si>
    <t>1. köp av populära och försäljning av otrevlig***</t>
  </si>
  <si>
    <t>Risk*: 0%</t>
  </si>
  <si>
    <t>Konsekvens**: 0</t>
  </si>
  <si>
    <t>2. köp av genomsympatiska och försäljning av kontroversiella</t>
  </si>
  <si>
    <t>Risk: 10%</t>
  </si>
  <si>
    <t>Konsekvens: -0.1</t>
  </si>
  <si>
    <t>3. köp och försäljning av sympatiska</t>
  </si>
  <si>
    <t>Risk: 25%</t>
  </si>
  <si>
    <t>Konsekvens: -0,25</t>
  </si>
  <si>
    <t>4. köp av kontroversiella och försäljning av genomsympatisk</t>
  </si>
  <si>
    <t>Risk: 33%</t>
  </si>
  <si>
    <t>Konsekvens: -0,50</t>
  </si>
  <si>
    <t>5. köp av otrevliga och försäljning av populära***</t>
  </si>
  <si>
    <t>Risk: 50%</t>
  </si>
  <si>
    <t>Konsekvens: -1,00</t>
  </si>
  <si>
    <t>Player 1</t>
  </si>
  <si>
    <t>Player 2</t>
  </si>
  <si>
    <t>Player 3</t>
  </si>
  <si>
    <t>Player 4</t>
  </si>
  <si>
    <t>Player 5</t>
  </si>
  <si>
    <t>Player 6</t>
  </si>
  <si>
    <t>Player 7</t>
  </si>
  <si>
    <t>Eget mittfältsbetyg</t>
  </si>
  <si>
    <t>Motståndarens mittfältbetyg</t>
  </si>
  <si>
    <t>Önskat antal chanser</t>
  </si>
  <si>
    <t>Mittfält behövt för angett antal chanser, jämfört med motståndarens mittfält ovan</t>
  </si>
  <si>
    <t>Bollinnehav</t>
  </si>
  <si>
    <t>katastofal = 1, usel = 2, etc. bra(mkt låg)=5, bra(låg)=5,25, bra(hög)=5,50, bra(mkt hög)=5,75</t>
  </si>
  <si>
    <t>Motsvarande beräkning för inmatat antal chanser</t>
  </si>
  <si>
    <t>Beräkningar för inmatade mittfältsbetyg</t>
  </si>
  <si>
    <t>Beräkningar för inmatade antal chanser</t>
  </si>
  <si>
    <t>Eget antal mål</t>
  </si>
  <si>
    <t>Motståndarens antal mål</t>
  </si>
  <si>
    <t>Vid AIM (30% omfördelning)</t>
  </si>
  <si>
    <t>Vid APK (30% omfördelning)</t>
  </si>
  <si>
    <t>Green areas represent areas where user can input data. Blue indicated cells where results are presented</t>
  </si>
  <si>
    <t>Kontringar (0=nej, ja=1)?</t>
  </si>
  <si>
    <t>Midfield Ref Input</t>
  </si>
  <si>
    <t>mkt låg</t>
  </si>
  <si>
    <t>mkt hög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</si>
  <si>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</si>
  <si>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</si>
  <si>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</si>
  <si>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</si>
  <si>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</si>
  <si>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</si>
  <si>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</si>
  <si>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</si>
  <si>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</si>
  <si>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</si>
  <si>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</si>
  <si>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</si>
  <si>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</si>
  <si>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</si>
  <si>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</si>
  <si>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</si>
  <si>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</si>
  <si>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</si>
  <si>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</si>
  <si>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</si>
  <si>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=</t>
  </si>
  <si>
    <t>Motståndarens antal mål, vid AIM 30%</t>
  </si>
  <si>
    <t>Motståndarens antal mål, vid APK 30%</t>
  </si>
  <si>
    <t>.</t>
  </si>
  <si>
    <t>Rutin</t>
  </si>
  <si>
    <t>Kondition:</t>
  </si>
  <si>
    <t>Målvakt:</t>
  </si>
  <si>
    <t>Spelupplägg:</t>
  </si>
  <si>
    <t>Framspel:</t>
  </si>
  <si>
    <t>Ytter:</t>
  </si>
  <si>
    <t>Försvar:</t>
  </si>
  <si>
    <t>Målgörare:</t>
  </si>
  <si>
    <t>Fasta sit.:</t>
  </si>
  <si>
    <t>X kondis</t>
  </si>
  <si>
    <t>Extra</t>
  </si>
  <si>
    <t>Faktor</t>
  </si>
  <si>
    <t>Copy-paste:</t>
  </si>
  <si>
    <r>
      <t>11. Ville Kärppä </t>
    </r>
    <r>
      <rPr>
        <sz val="6"/>
        <color indexed="55"/>
        <rFont val="Verdana"/>
        <family val="2"/>
      </rPr>
      <t>(ANF)</t>
    </r>
    <r>
      <rPr>
        <b/>
        <sz val="20"/>
        <color indexed="23"/>
        <rFont val="Verdana"/>
        <family val="2"/>
      </rPr>
      <t> </t>
    </r>
    <r>
      <rPr>
        <sz val="6"/>
        <color indexed="55"/>
        <rFont val="Verdana"/>
        <family val="2"/>
      </rPr>
      <t>(121126119)</t>
    </r>
  </si>
  <si>
    <t> 28 år och 13 dagar, Nästa födelsedag: 2010-01-28</t>
  </si>
  <si>
    <r>
      <t>Har </t>
    </r>
    <r>
      <rPr>
        <sz val="8"/>
        <color indexed="63"/>
        <rFont val="Verdana"/>
        <family val="2"/>
      </rPr>
      <t>bra</t>
    </r>
    <r>
      <rPr>
        <sz val="8"/>
        <color indexed="8"/>
        <rFont val="Verdana"/>
        <family val="2"/>
      </rPr>
      <t> form och </t>
    </r>
    <r>
      <rPr>
        <sz val="8"/>
        <color indexed="63"/>
        <rFont val="Verdana"/>
        <family val="2"/>
      </rPr>
      <t>enastående</t>
    </r>
    <r>
      <rPr>
        <sz val="8"/>
        <color indexed="8"/>
        <rFont val="Verdana"/>
        <family val="2"/>
      </rPr>
      <t> kondition</t>
    </r>
  </si>
  <si>
    <r>
      <t>En </t>
    </r>
    <r>
      <rPr>
        <sz val="8"/>
        <color indexed="63"/>
        <rFont val="Verdana"/>
        <family val="2"/>
      </rPr>
      <t>genomsympatisk kille</t>
    </r>
    <r>
      <rPr>
        <sz val="8"/>
        <color indexed="8"/>
        <rFont val="Verdana"/>
        <family val="2"/>
      </rPr>
      <t> som är </t>
    </r>
    <r>
      <rPr>
        <sz val="8"/>
        <color indexed="63"/>
        <rFont val="Verdana"/>
        <family val="2"/>
      </rPr>
      <t>stillsam</t>
    </r>
    <r>
      <rPr>
        <sz val="8"/>
        <color indexed="8"/>
        <rFont val="Verdana"/>
        <family val="2"/>
      </rPr>
      <t> och </t>
    </r>
    <r>
      <rPr>
        <sz val="8"/>
        <color indexed="63"/>
        <rFont val="Verdana"/>
        <family val="2"/>
      </rPr>
      <t>hederlig</t>
    </r>
    <r>
      <rPr>
        <sz val="8"/>
        <color indexed="8"/>
        <rFont val="Verdana"/>
        <family val="2"/>
      </rPr>
      <t>. </t>
    </r>
  </si>
  <si>
    <r>
      <t>Har </t>
    </r>
    <r>
      <rPr>
        <sz val="8"/>
        <color indexed="63"/>
        <rFont val="Verdana"/>
        <family val="2"/>
      </rPr>
      <t>ypperlig</t>
    </r>
    <r>
      <rPr>
        <sz val="8"/>
        <color indexed="8"/>
        <rFont val="Verdana"/>
        <family val="2"/>
      </rPr>
      <t> rutin och </t>
    </r>
    <r>
      <rPr>
        <sz val="8"/>
        <color indexed="63"/>
        <rFont val="Verdana"/>
        <family val="2"/>
      </rPr>
      <t>usel</t>
    </r>
    <r>
      <rPr>
        <sz val="8"/>
        <color indexed="8"/>
        <rFont val="Verdana"/>
        <family val="2"/>
      </rPr>
      <t> ledarförmåga. </t>
    </r>
  </si>
  <si>
    <t>Ägare:</t>
  </si>
  <si>
    <t>Granviks BK (sedan 2009-10-03)</t>
  </si>
  <si>
    <t>Total förmåga (TSI):</t>
  </si>
  <si>
    <t>51 790</t>
  </si>
  <si>
    <t>Lön:</t>
  </si>
  <si>
    <t>298 680 kr/vecka inklusive 20% bonus</t>
  </si>
  <si>
    <t>Varningar:</t>
  </si>
  <si>
    <t>Skador:</t>
  </si>
  <si>
    <t>Frisk</t>
  </si>
  <si>
    <t>Specialitet:</t>
  </si>
  <si>
    <t>Snabb</t>
  </si>
  <si>
    <t>Nuvarande förmågor</t>
  </si>
  <si>
    <t>Extra rutin</t>
  </si>
  <si>
    <t>Extra kondis</t>
  </si>
  <si>
    <t>Exakt prestation</t>
  </si>
  <si>
    <t>Parsad prestation</t>
  </si>
  <si>
    <t>SU bidrag:</t>
  </si>
  <si>
    <t>yiim</t>
  </si>
  <si>
    <t>nym</t>
  </si>
  <si>
    <t>oym/dym</t>
  </si>
  <si>
    <t>xim</t>
  </si>
  <si>
    <t>nim</t>
  </si>
  <si>
    <t>oim/dim</t>
  </si>
  <si>
    <t>tdf</t>
  </si>
  <si>
    <t>oib</t>
  </si>
  <si>
    <t>nyb</t>
  </si>
  <si>
    <t>oyb</t>
  </si>
  <si>
    <t>nib</t>
  </si>
  <si>
    <t>ibupk</t>
  </si>
  <si>
    <t>imupk</t>
  </si>
  <si>
    <t>dyb</t>
  </si>
  <si>
    <t>försvar</t>
  </si>
  <si>
    <t>framspel</t>
  </si>
  <si>
    <t>rutin</t>
  </si>
  <si>
    <t>form</t>
  </si>
  <si>
    <t>carlsson</t>
  </si>
  <si>
    <t>torssson</t>
  </si>
  <si>
    <t>josefsson</t>
  </si>
  <si>
    <t>Swärdén</t>
  </si>
  <si>
    <t>4xx</t>
  </si>
  <si>
    <t>5xx</t>
  </si>
  <si>
    <t>nilsson</t>
  </si>
  <si>
    <t>Gustafsson</t>
  </si>
  <si>
    <t>Prestation försvar</t>
  </si>
  <si>
    <t>Totalt</t>
  </si>
  <si>
    <t>Framspel</t>
  </si>
  <si>
    <t>Har ypperlig form och enastående kondition</t>
  </si>
  <si>
    <t xml:space="preserve">Hugo Svensson </t>
  </si>
  <si>
    <t>26 år och 75 dagar, TSI = 308 940</t>
  </si>
  <si>
    <t>Har legendarisk rutin och hyfsad ledarförmåga [Kraftfull]</t>
  </si>
  <si>
    <t>Tillhörande Hammenhoj IF</t>
  </si>
  <si>
    <t>Mittfält</t>
  </si>
  <si>
    <t>gudabenådad (mkt hög)</t>
  </si>
  <si>
    <t>ypperlig (hög)</t>
  </si>
  <si>
    <t>Högerförsvar</t>
  </si>
  <si>
    <t>ypperlig (mkt hög)</t>
  </si>
  <si>
    <t>Mittförsvar</t>
  </si>
  <si>
    <t>gudabenådad (låg)</t>
  </si>
  <si>
    <t>oförglömlig (låg)</t>
  </si>
  <si>
    <t>Vänsterförsvar</t>
  </si>
  <si>
    <t>unik (hög)</t>
  </si>
  <si>
    <t>övernaturlig (låg)</t>
  </si>
  <si>
    <t>Högeranfall</t>
  </si>
  <si>
    <t>hyfsad (mkt låg)</t>
  </si>
  <si>
    <t>Mittanfall</t>
  </si>
  <si>
    <t>ypperlig (låg)</t>
  </si>
  <si>
    <t>enastående (mkt låg)</t>
  </si>
  <si>
    <t>Vänsteranfall</t>
  </si>
  <si>
    <t xml:space="preserve"> </t>
  </si>
  <si>
    <t>Team name:</t>
  </si>
  <si>
    <t>Midfield Compensated</t>
  </si>
  <si>
    <t>Kontringar?</t>
  </si>
  <si>
    <t>Nej</t>
  </si>
  <si>
    <t>Mittfältsbetyg kompenserat för kontringar</t>
  </si>
  <si>
    <t>Parse:</t>
  </si>
  <si>
    <t>Convert:</t>
  </si>
  <si>
    <t>HatStats</t>
  </si>
  <si>
    <t>interest = 100 * FLOOR(0.000375 * SQRT([amount of accountants]) * [money on account] / 100)</t>
  </si>
  <si>
    <t>Midfield</t>
  </si>
  <si>
    <t>Defence vs opponent attack</t>
  </si>
  <si>
    <t>Attack vs opponent defence</t>
  </si>
  <si>
    <t>Head-to-head:</t>
  </si>
  <si>
    <t>Indirekta fasta situationer</t>
  </si>
  <si>
    <t>bra (mkt hög)</t>
  </si>
  <si>
    <t>enastående (hög)</t>
  </si>
  <si>
    <t>Anfall</t>
  </si>
  <si>
    <t>Inställning</t>
  </si>
  <si>
    <t>(Visas ej)</t>
  </si>
  <si>
    <t>Normal</t>
  </si>
  <si>
    <t>Taktik</t>
  </si>
  <si>
    <t>Kontringsspel</t>
  </si>
  <si>
    <t>Taktiknivå</t>
  </si>
  <si>
    <t>(ingen taktik)</t>
  </si>
  <si>
    <t>Posession:</t>
  </si>
  <si>
    <t>Team ratings</t>
  </si>
  <si>
    <t>katastofal (mkt låg)</t>
  </si>
  <si>
    <t>Sverige</t>
  </si>
  <si>
    <t>unik (låg)</t>
  </si>
  <si>
    <t>legendarisk (hög)</t>
  </si>
  <si>
    <t>fenomenal (låg)</t>
  </si>
  <si>
    <t>Anfall på kanterna</t>
  </si>
  <si>
    <t>Eqvivalent ability</t>
  </si>
  <si>
    <t>Current Salary</t>
  </si>
  <si>
    <t>Current TSI</t>
  </si>
  <si>
    <t>Age</t>
  </si>
  <si>
    <t>Salary @ 28</t>
  </si>
  <si>
    <t>Salary</t>
  </si>
  <si>
    <t>Factor</t>
  </si>
  <si>
    <t>TSI @ 28</t>
  </si>
  <si>
    <t>Nationality</t>
  </si>
  <si>
    <t>TSI</t>
  </si>
  <si>
    <t>PM level:</t>
  </si>
  <si>
    <t>PM-level:</t>
  </si>
  <si>
    <t>Salary (in €)</t>
  </si>
  <si>
    <t>PM level from Salary</t>
  </si>
  <si>
    <t>PM level from TSI</t>
  </si>
  <si>
    <t>Native</t>
  </si>
  <si>
    <t>1= native, 2=foreign</t>
  </si>
  <si>
    <t>PM level salary</t>
  </si>
  <si>
    <t>PM Level TSI</t>
  </si>
  <si>
    <t>Player</t>
  </si>
  <si>
    <t>Moloa</t>
  </si>
  <si>
    <t>Ngubane</t>
  </si>
  <si>
    <t>Sarenac</t>
  </si>
  <si>
    <t>Svensson</t>
  </si>
  <si>
    <t>Billblad</t>
  </si>
  <si>
    <t>Dawson</t>
  </si>
  <si>
    <t>Ånglund</t>
  </si>
  <si>
    <t>Carlsson</t>
  </si>
  <si>
    <t>Stigsten</t>
  </si>
  <si>
    <t>Hägerbom</t>
  </si>
  <si>
    <t>Known level</t>
  </si>
  <si>
    <t>De Pascalis</t>
  </si>
  <si>
    <t>Conny Pettersson</t>
  </si>
  <si>
    <t>Uģis Vusovskis (79770571)</t>
  </si>
  <si>
    <t>Sören Eklund (78253278)</t>
  </si>
  <si>
    <t>Per Klinttorp (143358270)</t>
  </si>
  <si>
    <t>Nikos Fantis (90180972)</t>
  </si>
  <si>
    <t>Nat</t>
  </si>
  <si>
    <t>Swe</t>
  </si>
  <si>
    <t>Cyp</t>
  </si>
  <si>
    <t>Diff</t>
  </si>
  <si>
    <t>Mükremin Bilal (93360016)</t>
  </si>
  <si>
    <t>Recep Nesim (66009202)</t>
  </si>
  <si>
    <t>Anders Nilsson (56687928)</t>
  </si>
  <si>
    <t>Skadad +1</t>
  </si>
  <si>
    <t>Thomas Gustavsson (76224976)</t>
  </si>
  <si>
    <t>Mårten Swärden (94432802)</t>
  </si>
  <si>
    <t>Antonakis Taxiarchou (144718813)</t>
  </si>
  <si>
    <t>Anders Lewholt (112800544)</t>
  </si>
  <si>
    <t>Fredrik Sörensson (70818463)</t>
  </si>
  <si>
    <t>Kjellhall</t>
  </si>
  <si>
    <t>Anders Gustavsson (142743644)</t>
  </si>
  <si>
    <t>Ungefärlig:</t>
  </si>
  <si>
    <t>Skil Keeper</t>
  </si>
  <si>
    <t>08-excellent 4.000 €</t>
  </si>
  <si>
    <t>09-formidable 5.800 €</t>
  </si>
  <si>
    <t>10-outstanding 7.200 €</t>
  </si>
  <si>
    <t>11-brilliant 10.000 €</t>
  </si>
  <si>
    <t>12-magnificent 13.500 €</t>
  </si>
  <si>
    <t>13-world class 17.000 €</t>
  </si>
  <si>
    <t>14-supernatural 22.500 €</t>
  </si>
  <si>
    <t>15-titanic 29.000 €</t>
  </si>
  <si>
    <t>16-extra-terrestrial 40.000 €</t>
  </si>
  <si>
    <t>17-mythical 55.000 €</t>
  </si>
  <si>
    <t>18-magical 70.000 €</t>
  </si>
  <si>
    <t>19-utopian 90.000 €</t>
  </si>
  <si>
    <t>20-divine 110.000 €</t>
  </si>
  <si>
    <t>Skil Defending</t>
  </si>
  <si>
    <t>08-excellent 1.100 €</t>
  </si>
  <si>
    <t>09-formidable 1.600 €</t>
  </si>
  <si>
    <t>10-outstanding 2.800 €</t>
  </si>
  <si>
    <t>11-brilliant 4.400 €</t>
  </si>
  <si>
    <t>12-magnificent 7.500 €</t>
  </si>
  <si>
    <t>13-world class 13.000 €</t>
  </si>
  <si>
    <t>15-titanic 35.000 €</t>
  </si>
  <si>
    <t>16-extra-terrestrial 50.000 €</t>
  </si>
  <si>
    <t>17-mythical 75.000 €</t>
  </si>
  <si>
    <t>18-magical 125.000 €</t>
  </si>
  <si>
    <t>19-utopian 170.000 €</t>
  </si>
  <si>
    <t>20-divine 250.000 €</t>
  </si>
  <si>
    <t>Skil Playmaking</t>
  </si>
  <si>
    <t>09-formidable 1.800 €</t>
  </si>
  <si>
    <t>10-outstanding 3.000 €</t>
  </si>
  <si>
    <t>11-brilliant 5.500 €</t>
  </si>
  <si>
    <t>12-magnificent 9.500 €</t>
  </si>
  <si>
    <t>14-supernatural 27.000 €</t>
  </si>
  <si>
    <t>15-titanic 43.000 €</t>
  </si>
  <si>
    <t>16-extra-terrestrial 70.000 €</t>
  </si>
  <si>
    <t>17-mythical 100.000 €</t>
  </si>
  <si>
    <t>18-magical 150.000 €</t>
  </si>
  <si>
    <t>19-utopian 250.000 €</t>
  </si>
  <si>
    <t>20-divine 350.000 €</t>
  </si>
  <si>
    <t>Skil Winger</t>
  </si>
  <si>
    <t>08-excellent 1.000 €</t>
  </si>
  <si>
    <t>09-formidable 1.400 €</t>
  </si>
  <si>
    <t>10-outstanding 1.800 €</t>
  </si>
  <si>
    <t>11-brilliant 3.200 €</t>
  </si>
  <si>
    <t>12-magnificent 5.000 €</t>
  </si>
  <si>
    <t>13-world class 8.000 €</t>
  </si>
  <si>
    <t>14-supernatural 14.000 €</t>
  </si>
  <si>
    <t>15-titanic 25.000 €</t>
  </si>
  <si>
    <t>16-extra-terrestrial 34.000 €</t>
  </si>
  <si>
    <t>17-mythical 50.000 €</t>
  </si>
  <si>
    <t>18-magical 75.000 €</t>
  </si>
  <si>
    <t>19-utopian 105.000 €</t>
  </si>
  <si>
    <t>20-divine 150.000 €</t>
  </si>
  <si>
    <t>Skil Scoring</t>
  </si>
  <si>
    <t>11-brilliant 5.200 €</t>
  </si>
  <si>
    <t>12-magnificent 8.000 €</t>
  </si>
  <si>
    <t>13-world class 15.000 €</t>
  </si>
  <si>
    <t>14-supernatural 23.000 €</t>
  </si>
  <si>
    <t>15-titanic 40.000 €</t>
  </si>
  <si>
    <t>16-extra-terrestrial 60.000 €</t>
  </si>
  <si>
    <t>17-mythical 90.000 €</t>
  </si>
  <si>
    <t>18-magical 130.000 €</t>
  </si>
  <si>
    <t>19-utopian 200.000 €</t>
  </si>
  <si>
    <t>Vana</t>
  </si>
  <si>
    <t>Prestation</t>
  </si>
  <si>
    <t>Kant</t>
  </si>
  <si>
    <t>Mitten</t>
  </si>
  <si>
    <t>Spelare</t>
  </si>
  <si>
    <t>MG</t>
  </si>
  <si>
    <t>Kondis</t>
  </si>
  <si>
    <t>Paulsson</t>
  </si>
  <si>
    <t>Höklind</t>
  </si>
  <si>
    <t>Grönstedt</t>
  </si>
  <si>
    <t>Ulfsson</t>
  </si>
  <si>
    <t>Knutsson</t>
  </si>
  <si>
    <t>Prestation anfallare:</t>
  </si>
  <si>
    <t>Totalt (mitt + 2*kant)</t>
  </si>
  <si>
    <t>&lt;dominikanska inner 1&gt;</t>
  </si>
  <si>
    <t>&lt;dominikanska inner 2&gt;</t>
  </si>
  <si>
    <t>S43 = new ratio</t>
  </si>
  <si>
    <t>Absint</t>
  </si>
  <si>
    <t>Nord</t>
  </si>
  <si>
    <t xml:space="preserve">Liam Sytsma </t>
  </si>
  <si>
    <t xml:space="preserve">Immanuel van der Maar </t>
  </si>
  <si>
    <t xml:space="preserve">Jacques Kingma </t>
  </si>
  <si>
    <t>Teodor Kosiorowski</t>
  </si>
  <si>
    <t>Exp</t>
  </si>
  <si>
    <t>Sta</t>
  </si>
  <si>
    <t>Ola Matsson</t>
  </si>
  <si>
    <t>HT Time</t>
  </si>
  <si>
    <t>HT time</t>
  </si>
  <si>
    <t>Base calc</t>
  </si>
  <si>
    <t>S</t>
  </si>
  <si>
    <t>W</t>
  </si>
  <si>
    <t>D</t>
  </si>
  <si>
    <t>Days</t>
  </si>
  <si>
    <t>TS</t>
  </si>
  <si>
    <t>Act TS</t>
  </si>
  <si>
    <t>Datum</t>
  </si>
  <si>
    <t>pic</t>
  </si>
  <si>
    <t>GBK</t>
  </si>
  <si>
    <t>Stämning</t>
  </si>
  <si>
    <t>Step</t>
  </si>
  <si>
    <t>Coefficient</t>
  </si>
  <si>
    <t>obefintlig</t>
  </si>
  <si>
    <t>Calc TS pre</t>
  </si>
  <si>
    <t>Calc TS post</t>
  </si>
  <si>
    <t>D71GHF</t>
  </si>
  <si>
    <t>Name</t>
  </si>
  <si>
    <t>Kond</t>
  </si>
  <si>
    <t>Rut</t>
  </si>
  <si>
    <t>Min</t>
  </si>
  <si>
    <t>Medel</t>
  </si>
  <si>
    <t>Max</t>
  </si>
  <si>
    <t>Innaty</t>
  </si>
  <si>
    <t>Kilskog</t>
  </si>
  <si>
    <t>Rosensjö</t>
  </si>
  <si>
    <t>Andreasson</t>
  </si>
  <si>
    <t>Oyen</t>
  </si>
  <si>
    <t>Jonasson</t>
  </si>
  <si>
    <t>Nivå</t>
  </si>
  <si>
    <t>Ytt</t>
  </si>
  <si>
    <t>För</t>
  </si>
  <si>
    <t>Förm</t>
  </si>
  <si>
    <t>Medel utan kond</t>
  </si>
  <si>
    <t>Mohd Faizal bin Mohd Zain</t>
  </si>
  <si>
    <t>Off</t>
  </si>
  <si>
    <t>Hö</t>
  </si>
  <si>
    <t>Mi</t>
  </si>
  <si>
    <t>Vä</t>
  </si>
  <si>
    <t>Bal</t>
  </si>
  <si>
    <t>Def</t>
  </si>
  <si>
    <t xml:space="preserve">Offensive coach: 
+ 15 % to attack ratings 
- 10 % to defense ratings 
Defensive coach: 
- 10 % to attack ratings 
+ 20 % to defense ratings 
Neutral coach: 
+ 5 % to attack ratings 
+ 5 % to defense ratings
</t>
  </si>
  <si>
    <t>Charlie Örjansson (156568185)</t>
  </si>
  <si>
    <t>"Selvtillid efter kampen = selvtillid før kampen + (mål for - mål imod) * (0,20 + 0,12 * kvadratroden af antallet af idrætspsykologer)</t>
  </si>
  <si>
    <t>Gjorda mål</t>
  </si>
  <si>
    <t>Insläppta mål</t>
  </si>
  <si>
    <t>Idrotts-psykologer</t>
  </si>
  <si>
    <t>Aktuellt Självförtroende</t>
  </si>
  <si>
    <t>semi</t>
  </si>
  <si>
    <t>final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</si>
  <si>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</si>
  <si>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</si>
  <si>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</si>
  <si>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</si>
  <si>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</si>
  <si>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</si>
  <si>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</si>
  <si>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</si>
  <si>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</si>
  <si>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</si>
  <si>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</si>
  <si>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</si>
  <si>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</si>
  <si>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</si>
  <si>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GS2-1</t>
  </si>
  <si>
    <t>GS2-2</t>
  </si>
  <si>
    <t>GS2-3</t>
  </si>
  <si>
    <t>GS3-1</t>
  </si>
  <si>
    <t>GS3-2</t>
  </si>
  <si>
    <t>GS3-3</t>
  </si>
  <si>
    <t>GS4-1</t>
  </si>
  <si>
    <t>GS4-2</t>
  </si>
  <si>
    <t>GS4-3</t>
  </si>
  <si>
    <t>LL</t>
  </si>
  <si>
    <t>Club</t>
  </si>
  <si>
    <t>c1</t>
  </si>
  <si>
    <t>s1</t>
  </si>
  <si>
    <t>c2</t>
  </si>
  <si>
    <t>s2</t>
  </si>
  <si>
    <t>c3</t>
  </si>
  <si>
    <t>s3</t>
  </si>
  <si>
    <t>c4</t>
  </si>
  <si>
    <t>s4</t>
  </si>
  <si>
    <t>c5</t>
  </si>
  <si>
    <t>s5</t>
  </si>
  <si>
    <t>c6</t>
  </si>
  <si>
    <t>s6</t>
  </si>
  <si>
    <t>c7</t>
  </si>
  <si>
    <t>s7</t>
  </si>
  <si>
    <t>c8</t>
  </si>
  <si>
    <t>s8</t>
  </si>
  <si>
    <t>c9</t>
  </si>
  <si>
    <t>s9</t>
  </si>
  <si>
    <t>c10</t>
  </si>
  <si>
    <t>s10</t>
  </si>
  <si>
    <t>c11</t>
  </si>
  <si>
    <t>s11</t>
  </si>
  <si>
    <t>c12</t>
  </si>
  <si>
    <t>s12</t>
  </si>
  <si>
    <t>c13</t>
  </si>
  <si>
    <t>s13</t>
  </si>
  <si>
    <t>c14</t>
  </si>
  <si>
    <t>s14</t>
  </si>
  <si>
    <t>c15</t>
  </si>
  <si>
    <t>Tomas Ånglund (115796585)</t>
  </si>
  <si>
    <t>Nilsson</t>
  </si>
  <si>
    <t>Wickling</t>
  </si>
  <si>
    <t>Isak</t>
  </si>
  <si>
    <t>Erskär</t>
  </si>
  <si>
    <t>Månsson</t>
  </si>
  <si>
    <t>marius</t>
  </si>
  <si>
    <t>tomas</t>
  </si>
  <si>
    <t>Må</t>
  </si>
  <si>
    <t>Sören Selholt (277705279)</t>
  </si>
  <si>
    <t>Ungern</t>
  </si>
  <si>
    <t>Numbers</t>
  </si>
  <si>
    <t>Förmågenivå</t>
  </si>
  <si>
    <t>Ratings vs numbers</t>
  </si>
  <si>
    <t>Ratings</t>
  </si>
  <si>
    <t>unik (mkt låg)</t>
  </si>
  <si>
    <t>fenomenal (mkt låg)</t>
  </si>
  <si>
    <t>legendarisk (låg)</t>
  </si>
  <si>
    <t>hyfsad (låg)</t>
  </si>
  <si>
    <t>enastående (låg)</t>
  </si>
  <si>
    <t>katastrofal (låg)</t>
  </si>
  <si>
    <t>Selected</t>
  </si>
  <si>
    <t>bra (mkt låg)</t>
  </si>
  <si>
    <t>Ivan</t>
  </si>
  <si>
    <t>Thorstensson</t>
  </si>
  <si>
    <t>Gerdmar</t>
  </si>
  <si>
    <t>de la Cruz</t>
  </si>
  <si>
    <t>min</t>
  </si>
  <si>
    <t>stamina</t>
  </si>
  <si>
    <t>[tr]</t>
  </si>
  <si>
    <t>[table]</t>
  </si>
  <si>
    <t>[/tr]</t>
  </si>
  <si>
    <t>[/table]</t>
  </si>
  <si>
    <t>((stamina+6.5)/14)^0.6 </t>
  </si>
  <si>
    <t>sqrt(X)/sqrt(max(x))</t>
  </si>
  <si>
    <t>Classic</t>
  </si>
  <si>
    <t>HO</t>
  </si>
  <si>
    <t>Table</t>
  </si>
  <si>
    <t>sum(minutes-step-2.5)/sum(step-2.5-at-100%)</t>
  </si>
  <si>
    <t>Stamina</t>
  </si>
  <si>
    <t>P (classic)</t>
  </si>
  <si>
    <t>P (HO)</t>
  </si>
  <si>
    <t>P (table)</t>
  </si>
  <si>
    <t>Enastående tränare</t>
  </si>
  <si>
    <t>Fenomenal tränare</t>
  </si>
  <si>
    <t>Form\Stamina</t>
  </si>
  <si>
    <t>Experience \ Form</t>
  </si>
  <si>
    <t>Ability:</t>
  </si>
  <si>
    <t>Magisk</t>
  </si>
  <si>
    <t>Experience \ Stamina</t>
  </si>
  <si>
    <t>GM-Sule</t>
  </si>
  <si>
    <t>Additiv</t>
  </si>
  <si>
    <t>Add @ 18</t>
  </si>
  <si>
    <t>Chance conversion</t>
  </si>
  <si>
    <t>Base</t>
  </si>
  <si>
    <t>Attack \ Defence</t>
  </si>
  <si>
    <t>Parameter:</t>
  </si>
  <si>
    <t>Parameters:</t>
  </si>
  <si>
    <t>Defence
Attack</t>
  </si>
  <si>
    <t>New</t>
  </si>
  <si>
    <t>Chance to score = attack^param1/ attack^param1+param2*defence^param1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</si>
</sst>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0_ ;[Red]\-0.00\ "/>
    <numFmt numFmtId="166" formatCode="0.000"/>
    <numFmt numFmtId="167" formatCode="0.0%"/>
    <numFmt numFmtId="168" formatCode="0.0"/>
  </numFmts>
  <fonts count="3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"/>
      <name val="Verdana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20"/>
      <color indexed="23"/>
      <name val="Verdana"/>
      <family val="2"/>
    </font>
    <font>
      <sz val="6"/>
      <color indexed="55"/>
      <name val="Verdana"/>
      <family val="2"/>
    </font>
    <font>
      <sz val="8"/>
      <color indexed="63"/>
      <name val="Verdana"/>
      <family val="2"/>
    </font>
    <font>
      <b/>
      <sz val="12"/>
      <color indexed="19"/>
      <name val="Verdana"/>
      <family val="2"/>
    </font>
    <font>
      <b/>
      <sz val="10"/>
      <name val="Verdana"/>
      <family val="2"/>
    </font>
    <font>
      <sz val="12"/>
      <name val="Times New Roman"/>
      <family val="1"/>
    </font>
    <font>
      <sz val="8.5"/>
      <color indexed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color indexed="22"/>
      <name val="Arial"/>
      <family val="2"/>
    </font>
    <font>
      <i/>
      <sz val="10"/>
      <color indexed="2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42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7" fillId="7" borderId="1" applyNumberFormat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1" fillId="23" borderId="7" applyNumberFormat="0" applyFont="0" applyAlignment="0" applyProtection="0"/>
    <xf numFmtId="0" fontId="30" fillId="20" borderId="8" applyNumberFormat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5" fillId="0" borderId="0" xfId="0" applyFont="1" applyAlignment="1">
      <alignment wrapText="1"/>
    </xf>
    <xf numFmtId="0" fontId="0" fillId="0" borderId="11" xfId="0" applyBorder="1"/>
    <xf numFmtId="0" fontId="6" fillId="0" borderId="0" xfId="0" applyFont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10" xfId="0" applyFont="1" applyBorder="1"/>
    <xf numFmtId="0" fontId="3" fillId="0" borderId="0" xfId="0" applyFont="1" applyBorder="1"/>
    <xf numFmtId="2" fontId="0" fillId="25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25" borderId="0" xfId="0" applyFill="1"/>
    <xf numFmtId="2" fontId="0" fillId="26" borderId="0" xfId="0" applyNumberFormat="1" applyFill="1"/>
    <xf numFmtId="0" fontId="1" fillId="26" borderId="0" xfId="0" applyFont="1" applyFill="1"/>
    <xf numFmtId="2" fontId="0" fillId="2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0" xfId="35" applyAlignment="1" applyProtection="1">
      <alignment horizontal="left" vertical="top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9" fillId="0" borderId="0" xfId="35" applyAlignment="1" applyProtection="1">
      <alignment wrapText="1"/>
    </xf>
    <xf numFmtId="0" fontId="8" fillId="0" borderId="0" xfId="0" applyFont="1" applyAlignment="1">
      <alignment horizontal="left" vertical="top" wrapText="1"/>
    </xf>
    <xf numFmtId="0" fontId="9" fillId="0" borderId="0" xfId="35" applyAlignment="1" applyProtection="1">
      <alignment horizontal="left" vertical="top" wrapText="1"/>
    </xf>
    <xf numFmtId="0" fontId="13" fillId="0" borderId="19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0" fillId="27" borderId="0" xfId="0" applyFill="1" applyAlignment="1">
      <alignment wrapText="1"/>
    </xf>
    <xf numFmtId="0" fontId="0" fillId="27" borderId="20" xfId="0" applyFill="1" applyBorder="1" applyAlignment="1">
      <alignment wrapText="1"/>
    </xf>
    <xf numFmtId="0" fontId="0" fillId="27" borderId="21" xfId="0" applyFill="1" applyBorder="1" applyAlignment="1">
      <alignment wrapText="1"/>
    </xf>
    <xf numFmtId="0" fontId="0" fillId="27" borderId="11" xfId="0" applyFill="1" applyBorder="1" applyAlignment="1">
      <alignment wrapText="1"/>
    </xf>
    <xf numFmtId="0" fontId="8" fillId="27" borderId="0" xfId="0" applyFont="1" applyFill="1" applyAlignment="1">
      <alignment horizontal="left" vertical="top" wrapText="1"/>
    </xf>
    <xf numFmtId="0" fontId="0" fillId="27" borderId="0" xfId="0" applyFill="1" applyAlignment="1">
      <alignment horizontal="left" wrapText="1"/>
    </xf>
    <xf numFmtId="0" fontId="0" fillId="27" borderId="11" xfId="0" applyFill="1" applyBorder="1" applyAlignment="1">
      <alignment horizontal="left" wrapText="1"/>
    </xf>
    <xf numFmtId="0" fontId="8" fillId="27" borderId="0" xfId="0" applyFont="1" applyFill="1" applyAlignment="1">
      <alignment horizontal="right" vertical="top" wrapText="1"/>
    </xf>
    <xf numFmtId="0" fontId="0" fillId="27" borderId="0" xfId="0" applyFill="1" applyAlignment="1">
      <alignment horizontal="right" wrapText="1"/>
    </xf>
    <xf numFmtId="0" fontId="14" fillId="27" borderId="0" xfId="0" applyFont="1" applyFill="1" applyAlignment="1">
      <alignment horizontal="right" vertical="top" wrapText="1"/>
    </xf>
    <xf numFmtId="0" fontId="0" fillId="27" borderId="11" xfId="0" applyFill="1" applyBorder="1" applyAlignment="1">
      <alignment horizontal="right" wrapText="1"/>
    </xf>
    <xf numFmtId="0" fontId="2" fillId="27" borderId="0" xfId="0" applyFont="1" applyFill="1" applyAlignment="1">
      <alignment horizontal="left"/>
    </xf>
    <xf numFmtId="165" fontId="0" fillId="27" borderId="0" xfId="0" applyNumberFormat="1" applyFill="1" applyAlignment="1">
      <alignment horizontal="left" wrapText="1"/>
    </xf>
    <xf numFmtId="0" fontId="2" fillId="27" borderId="0" xfId="0" applyFont="1" applyFill="1" applyAlignment="1">
      <alignment horizontal="right" wrapText="1"/>
    </xf>
    <xf numFmtId="2" fontId="0" fillId="27" borderId="20" xfId="0" applyNumberFormat="1" applyFill="1" applyBorder="1" applyAlignment="1">
      <alignment horizontal="left" wrapText="1"/>
    </xf>
    <xf numFmtId="0" fontId="0" fillId="27" borderId="0" xfId="0" applyFill="1" applyAlignment="1">
      <alignment horizontal="center" wrapText="1"/>
    </xf>
    <xf numFmtId="2" fontId="0" fillId="27" borderId="0" xfId="0" applyNumberFormat="1" applyFill="1" applyAlignment="1">
      <alignment horizontal="center" wrapText="1"/>
    </xf>
    <xf numFmtId="0" fontId="9" fillId="0" borderId="0" xfId="35" applyAlignment="1" applyProtection="1"/>
    <xf numFmtId="0" fontId="15" fillId="0" borderId="0" xfId="0" applyFont="1" applyAlignment="1">
      <alignment wrapText="1"/>
    </xf>
    <xf numFmtId="0" fontId="16" fillId="0" borderId="0" xfId="0" applyFont="1"/>
    <xf numFmtId="0" fontId="3" fillId="0" borderId="0" xfId="0" applyFont="1" applyAlignment="1">
      <alignment vertical="top" wrapText="1"/>
    </xf>
    <xf numFmtId="0" fontId="9" fillId="0" borderId="0" xfId="35" applyAlignment="1" applyProtection="1">
      <alignment vertical="top" wrapText="1"/>
    </xf>
    <xf numFmtId="0" fontId="0" fillId="0" borderId="0" xfId="0" applyFill="1"/>
    <xf numFmtId="0" fontId="0" fillId="24" borderId="0" xfId="0" applyFill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10" xfId="0" applyNumberFormat="1" applyBorder="1"/>
    <xf numFmtId="9" fontId="0" fillId="0" borderId="0" xfId="0" applyNumberFormat="1" applyAlignment="1">
      <alignment horizontal="center"/>
    </xf>
    <xf numFmtId="0" fontId="9" fillId="27" borderId="22" xfId="35" applyFill="1" applyBorder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0" borderId="0" xfId="35" applyFont="1" applyAlignment="1" applyProtection="1">
      <alignment horizontal="left" vertical="top" wrapText="1"/>
    </xf>
    <xf numFmtId="0" fontId="9" fillId="27" borderId="22" xfId="35" applyFont="1" applyFill="1" applyBorder="1" applyAlignment="1" applyProtection="1">
      <alignment horizontal="left" vertical="top" wrapText="1"/>
    </xf>
    <xf numFmtId="0" fontId="2" fillId="27" borderId="23" xfId="0" applyFont="1" applyFill="1" applyBorder="1" applyAlignment="1" applyProtection="1">
      <alignment horizontal="left"/>
    </xf>
    <xf numFmtId="0" fontId="0" fillId="27" borderId="24" xfId="0" applyFill="1" applyBorder="1" applyAlignment="1" applyProtection="1">
      <alignment horizontal="center"/>
    </xf>
    <xf numFmtId="0" fontId="2" fillId="27" borderId="0" xfId="0" applyFont="1" applyFill="1"/>
    <xf numFmtId="0" fontId="0" fillId="27" borderId="0" xfId="0" applyFill="1"/>
    <xf numFmtId="0" fontId="0" fillId="27" borderId="0" xfId="0" applyFill="1" applyAlignment="1">
      <alignment horizontal="center"/>
    </xf>
    <xf numFmtId="2" fontId="4" fillId="27" borderId="0" xfId="0" applyNumberFormat="1" applyFont="1" applyFill="1" applyBorder="1" applyAlignment="1" applyProtection="1">
      <alignment horizontal="center"/>
    </xf>
    <xf numFmtId="0" fontId="2" fillId="27" borderId="0" xfId="0" applyFont="1" applyFill="1" applyBorder="1" applyAlignment="1" applyProtection="1">
      <alignment horizontal="left"/>
    </xf>
    <xf numFmtId="0" fontId="0" fillId="27" borderId="0" xfId="0" applyFill="1" applyBorder="1" applyAlignment="1" applyProtection="1">
      <alignment horizontal="center"/>
    </xf>
    <xf numFmtId="0" fontId="0" fillId="27" borderId="25" xfId="0" applyFill="1" applyBorder="1" applyAlignment="1" applyProtection="1">
      <alignment horizontal="center"/>
    </xf>
    <xf numFmtId="0" fontId="2" fillId="27" borderId="26" xfId="0" applyFont="1" applyFill="1" applyBorder="1" applyAlignment="1" applyProtection="1">
      <alignment horizontal="center"/>
      <protection locked="0"/>
    </xf>
    <xf numFmtId="0" fontId="0" fillId="27" borderId="27" xfId="0" applyFill="1" applyBorder="1" applyAlignment="1" applyProtection="1">
      <alignment horizontal="center"/>
    </xf>
    <xf numFmtId="0" fontId="2" fillId="27" borderId="28" xfId="0" applyNumberFormat="1" applyFont="1" applyFill="1" applyBorder="1" applyAlignment="1" applyProtection="1">
      <alignment horizontal="center"/>
      <protection locked="0"/>
    </xf>
    <xf numFmtId="0" fontId="0" fillId="27" borderId="29" xfId="0" applyFill="1" applyBorder="1" applyAlignment="1" applyProtection="1">
      <alignment horizontal="center"/>
    </xf>
    <xf numFmtId="2" fontId="4" fillId="27" borderId="21" xfId="0" applyNumberFormat="1" applyFont="1" applyFill="1" applyBorder="1" applyAlignment="1" applyProtection="1">
      <alignment horizontal="center"/>
    </xf>
    <xf numFmtId="0" fontId="0" fillId="27" borderId="30" xfId="0" applyFill="1" applyBorder="1" applyAlignment="1" applyProtection="1">
      <alignment horizontal="center"/>
    </xf>
    <xf numFmtId="0" fontId="2" fillId="27" borderId="28" xfId="0" quotePrefix="1" applyFont="1" applyFill="1" applyBorder="1" applyAlignment="1" applyProtection="1">
      <alignment horizontal="center"/>
      <protection locked="0"/>
    </xf>
    <xf numFmtId="2" fontId="4" fillId="27" borderId="31" xfId="0" applyNumberFormat="1" applyFont="1" applyFill="1" applyBorder="1" applyAlignment="1" applyProtection="1">
      <alignment horizontal="center"/>
    </xf>
    <xf numFmtId="0" fontId="0" fillId="27" borderId="32" xfId="0" applyFill="1" applyBorder="1"/>
    <xf numFmtId="0" fontId="0" fillId="27" borderId="33" xfId="0" applyFill="1" applyBorder="1"/>
    <xf numFmtId="0" fontId="2" fillId="27" borderId="0" xfId="0" applyFont="1" applyFill="1" applyAlignment="1">
      <alignment horizontal="center"/>
    </xf>
    <xf numFmtId="1" fontId="2" fillId="27" borderId="0" xfId="0" applyNumberFormat="1" applyFont="1" applyFill="1" applyAlignment="1">
      <alignment horizontal="center"/>
    </xf>
    <xf numFmtId="1" fontId="0" fillId="27" borderId="0" xfId="0" applyNumberFormat="1" applyFill="1" applyAlignment="1">
      <alignment horizontal="center"/>
    </xf>
    <xf numFmtId="0" fontId="34" fillId="27" borderId="0" xfId="0" applyFont="1" applyFill="1"/>
    <xf numFmtId="0" fontId="35" fillId="27" borderId="0" xfId="0" applyFont="1" applyFill="1"/>
    <xf numFmtId="0" fontId="0" fillId="27" borderId="32" xfId="0" applyFill="1" applyBorder="1" applyAlignment="1" applyProtection="1">
      <alignment horizontal="center"/>
    </xf>
    <xf numFmtId="0" fontId="0" fillId="27" borderId="33" xfId="0" applyFill="1" applyBorder="1" applyAlignment="1" applyProtection="1">
      <alignment horizontal="center"/>
    </xf>
    <xf numFmtId="0" fontId="2" fillId="27" borderId="20" xfId="0" applyFont="1" applyFill="1" applyBorder="1" applyAlignment="1" applyProtection="1">
      <alignment horizontal="center"/>
      <protection locked="0"/>
    </xf>
    <xf numFmtId="0" fontId="0" fillId="27" borderId="34" xfId="0" applyFill="1" applyBorder="1"/>
    <xf numFmtId="0" fontId="0" fillId="27" borderId="34" xfId="0" applyFill="1" applyBorder="1" applyAlignment="1">
      <alignment horizontal="center"/>
    </xf>
    <xf numFmtId="3" fontId="0" fillId="27" borderId="34" xfId="0" applyNumberFormat="1" applyFill="1" applyBorder="1" applyAlignment="1">
      <alignment horizontal="center"/>
    </xf>
    <xf numFmtId="1" fontId="0" fillId="27" borderId="34" xfId="0" applyNumberFormat="1" applyFill="1" applyBorder="1" applyAlignment="1">
      <alignment horizontal="center"/>
    </xf>
    <xf numFmtId="2" fontId="4" fillId="27" borderId="34" xfId="0" applyNumberFormat="1" applyFont="1" applyFill="1" applyBorder="1" applyAlignment="1" applyProtection="1">
      <alignment horizontal="center"/>
    </xf>
    <xf numFmtId="2" fontId="35" fillId="27" borderId="34" xfId="0" applyNumberFormat="1" applyFont="1" applyFill="1" applyBorder="1" applyAlignment="1" applyProtection="1">
      <alignment horizontal="center"/>
    </xf>
    <xf numFmtId="2" fontId="0" fillId="27" borderId="34" xfId="0" applyNumberFormat="1" applyFill="1" applyBorder="1"/>
    <xf numFmtId="3" fontId="0" fillId="27" borderId="34" xfId="0" applyNumberFormat="1" applyFill="1" applyBorder="1"/>
    <xf numFmtId="0" fontId="0" fillId="27" borderId="34" xfId="0" applyFill="1" applyBorder="1" applyAlignment="1">
      <alignment wrapText="1"/>
    </xf>
    <xf numFmtId="0" fontId="5" fillId="0" borderId="0" xfId="0" applyFont="1"/>
    <xf numFmtId="0" fontId="0" fillId="27" borderId="0" xfId="0" applyFill="1" applyBorder="1"/>
    <xf numFmtId="0" fontId="0" fillId="27" borderId="0" xfId="0" applyFill="1" applyAlignment="1">
      <alignment horizontal="left"/>
    </xf>
    <xf numFmtId="0" fontId="2" fillId="27" borderId="0" xfId="0" applyFont="1" applyFill="1" applyAlignment="1">
      <alignment horizontal="right"/>
    </xf>
    <xf numFmtId="0" fontId="2" fillId="27" borderId="30" xfId="0" applyFont="1" applyFill="1" applyBorder="1" applyAlignment="1">
      <alignment horizontal="left"/>
    </xf>
    <xf numFmtId="0" fontId="2" fillId="27" borderId="30" xfId="0" applyFont="1" applyFill="1" applyBorder="1" applyAlignment="1">
      <alignment horizontal="center"/>
    </xf>
    <xf numFmtId="2" fontId="2" fillId="27" borderId="20" xfId="0" applyNumberFormat="1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1" fontId="2" fillId="27" borderId="20" xfId="0" applyNumberFormat="1" applyFont="1" applyFill="1" applyBorder="1" applyAlignment="1">
      <alignment horizontal="center"/>
    </xf>
    <xf numFmtId="0" fontId="0" fillId="27" borderId="0" xfId="0" applyFill="1" applyAlignment="1">
      <alignment horizontal="right"/>
    </xf>
    <xf numFmtId="0" fontId="0" fillId="27" borderId="30" xfId="0" applyFill="1" applyBorder="1" applyAlignment="1">
      <alignment horizontal="center"/>
    </xf>
    <xf numFmtId="2" fontId="0" fillId="27" borderId="20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20" xfId="0" applyNumberFormat="1" applyFill="1" applyBorder="1" applyAlignment="1">
      <alignment horizontal="center"/>
    </xf>
    <xf numFmtId="0" fontId="0" fillId="27" borderId="20" xfId="0" applyFill="1" applyBorder="1" applyAlignment="1">
      <alignment horizontal="center"/>
    </xf>
    <xf numFmtId="14" fontId="0" fillId="27" borderId="0" xfId="0" applyNumberFormat="1" applyFill="1" applyAlignment="1">
      <alignment horizontal="right"/>
    </xf>
    <xf numFmtId="166" fontId="0" fillId="0" borderId="0" xfId="0" applyNumberFormat="1" applyAlignment="1">
      <alignment horizontal="center"/>
    </xf>
    <xf numFmtId="0" fontId="0" fillId="27" borderId="0" xfId="0" applyFill="1" applyBorder="1" applyAlignment="1">
      <alignment horizontal="left"/>
    </xf>
    <xf numFmtId="1" fontId="0" fillId="27" borderId="20" xfId="0" applyNumberFormat="1" applyFill="1" applyBorder="1" applyAlignment="1">
      <alignment horizontal="left"/>
    </xf>
    <xf numFmtId="0" fontId="2" fillId="27" borderId="0" xfId="0" applyFont="1" applyFill="1" applyBorder="1" applyAlignment="1">
      <alignment horizontal="left"/>
    </xf>
    <xf numFmtId="1" fontId="2" fillId="27" borderId="20" xfId="0" applyNumberFormat="1" applyFont="1" applyFill="1" applyBorder="1" applyAlignment="1">
      <alignment horizontal="left"/>
    </xf>
    <xf numFmtId="2" fontId="2" fillId="27" borderId="0" xfId="0" applyNumberFormat="1" applyFont="1" applyFill="1" applyBorder="1" applyAlignment="1">
      <alignment horizontal="center"/>
    </xf>
    <xf numFmtId="0" fontId="4" fillId="27" borderId="0" xfId="0" applyFont="1" applyFill="1" applyBorder="1" applyAlignment="1">
      <alignment horizontal="left"/>
    </xf>
    <xf numFmtId="0" fontId="4" fillId="27" borderId="30" xfId="0" applyFont="1" applyFill="1" applyBorder="1" applyAlignment="1">
      <alignment horizontal="left"/>
    </xf>
    <xf numFmtId="2" fontId="0" fillId="27" borderId="20" xfId="0" applyNumberFormat="1" applyFill="1" applyBorder="1" applyAlignment="1">
      <alignment horizontal="left"/>
    </xf>
    <xf numFmtId="2" fontId="2" fillId="27" borderId="20" xfId="0" applyNumberFormat="1" applyFont="1" applyFill="1" applyBorder="1" applyAlignment="1">
      <alignment horizontal="left"/>
    </xf>
    <xf numFmtId="0" fontId="2" fillId="27" borderId="0" xfId="0" applyFont="1" applyFill="1" applyBorder="1" applyAlignment="1">
      <alignment horizontal="center" wrapText="1"/>
    </xf>
    <xf numFmtId="2" fontId="3" fillId="27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8" borderId="34" xfId="0" applyFill="1" applyBorder="1"/>
    <xf numFmtId="0" fontId="2" fillId="27" borderId="34" xfId="0" applyFont="1" applyFill="1" applyBorder="1" applyAlignment="1">
      <alignment horizontal="center" vertical="center" wrapText="1"/>
    </xf>
    <xf numFmtId="0" fontId="0" fillId="28" borderId="34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left" vertical="center"/>
    </xf>
    <xf numFmtId="0" fontId="2" fillId="27" borderId="34" xfId="0" applyFont="1" applyFill="1" applyBorder="1" applyAlignment="1">
      <alignment horizontal="center" vertical="center"/>
    </xf>
    <xf numFmtId="0" fontId="2" fillId="27" borderId="0" xfId="0" applyFont="1" applyFill="1" applyAlignment="1">
      <alignment vertical="center" wrapText="1"/>
    </xf>
    <xf numFmtId="0" fontId="2" fillId="27" borderId="0" xfId="0" applyFont="1" applyFill="1" applyAlignment="1">
      <alignment horizontal="center" vertical="center" wrapText="1"/>
    </xf>
    <xf numFmtId="3" fontId="0" fillId="27" borderId="0" xfId="0" applyNumberFormat="1" applyFill="1" applyBorder="1" applyAlignment="1">
      <alignment horizontal="center"/>
    </xf>
    <xf numFmtId="1" fontId="0" fillId="27" borderId="0" xfId="0" applyNumberFormat="1" applyFill="1" applyBorder="1" applyAlignment="1">
      <alignment horizontal="center"/>
    </xf>
    <xf numFmtId="2" fontId="35" fillId="27" borderId="0" xfId="0" applyNumberFormat="1" applyFont="1" applyFill="1" applyBorder="1" applyAlignment="1" applyProtection="1">
      <alignment horizontal="center"/>
    </xf>
    <xf numFmtId="2" fontId="0" fillId="27" borderId="0" xfId="0" applyNumberFormat="1" applyFill="1" applyBorder="1"/>
    <xf numFmtId="0" fontId="2" fillId="29" borderId="0" xfId="0" applyFont="1" applyFill="1" applyAlignment="1">
      <alignment horizontal="center"/>
    </xf>
    <xf numFmtId="0" fontId="2" fillId="29" borderId="0" xfId="0" applyFont="1" applyFill="1" applyAlignment="1">
      <alignment horizontal="center" vertical="center"/>
    </xf>
    <xf numFmtId="0" fontId="2" fillId="29" borderId="0" xfId="0" applyFont="1" applyFill="1"/>
    <xf numFmtId="0" fontId="0" fillId="29" borderId="16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12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0" xfId="0" applyFill="1"/>
    <xf numFmtId="0" fontId="0" fillId="29" borderId="17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0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0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9" borderId="0" xfId="0" applyFill="1" applyAlignment="1">
      <alignment horizontal="center"/>
    </xf>
    <xf numFmtId="0" fontId="0" fillId="29" borderId="0" xfId="0" applyFill="1" applyAlignment="1">
      <alignment horizontal="center" vertical="center"/>
    </xf>
    <xf numFmtId="2" fontId="0" fillId="29" borderId="0" xfId="0" applyNumberFormat="1" applyFill="1" applyAlignment="1">
      <alignment horizontal="center"/>
    </xf>
    <xf numFmtId="167" fontId="36" fillId="29" borderId="0" xfId="41" applyNumberFormat="1" applyFont="1" applyFill="1" applyAlignment="1">
      <alignment horizontal="center"/>
    </xf>
    <xf numFmtId="0" fontId="3" fillId="29" borderId="0" xfId="0" applyFont="1" applyFill="1"/>
    <xf numFmtId="0" fontId="3" fillId="29" borderId="0" xfId="0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0" fillId="29" borderId="0" xfId="0" applyFill="1" applyAlignment="1">
      <alignment horizontal="right"/>
    </xf>
    <xf numFmtId="0" fontId="2" fillId="29" borderId="0" xfId="0" applyFont="1" applyFill="1" applyAlignment="1">
      <alignment horizontal="left"/>
    </xf>
    <xf numFmtId="0" fontId="0" fillId="29" borderId="0" xfId="0" applyFill="1" applyAlignment="1">
      <alignment horizontal="left"/>
    </xf>
    <xf numFmtId="0" fontId="3" fillId="29" borderId="0" xfId="0" applyFont="1" applyFill="1" applyAlignment="1">
      <alignment horizontal="left"/>
    </xf>
    <xf numFmtId="0" fontId="37" fillId="29" borderId="0" xfId="0" applyFont="1" applyFill="1" applyAlignment="1">
      <alignment horizontal="center"/>
    </xf>
    <xf numFmtId="167" fontId="37" fillId="29" borderId="0" xfId="41" applyNumberFormat="1" applyFont="1" applyFill="1" applyAlignment="1">
      <alignment horizontal="center"/>
    </xf>
    <xf numFmtId="0" fontId="38" fillId="29" borderId="0" xfId="0" applyFont="1" applyFill="1"/>
    <xf numFmtId="0" fontId="38" fillId="29" borderId="0" xfId="0" applyFont="1" applyFill="1" applyAlignment="1">
      <alignment horizontal="center"/>
    </xf>
    <xf numFmtId="0" fontId="38" fillId="29" borderId="0" xfId="0" applyFont="1" applyFill="1" applyAlignment="1">
      <alignment horizontal="right"/>
    </xf>
    <xf numFmtId="0" fontId="38" fillId="29" borderId="0" xfId="0" applyFont="1" applyFill="1" applyAlignment="1">
      <alignment horizontal="left"/>
    </xf>
    <xf numFmtId="167" fontId="3" fillId="29" borderId="0" xfId="41" applyNumberFormat="1" applyFont="1" applyFill="1" applyAlignment="1">
      <alignment horizontal="center"/>
    </xf>
    <xf numFmtId="168" fontId="3" fillId="0" borderId="0" xfId="0" applyNumberFormat="1" applyFont="1" applyAlignment="1">
      <alignment horizontal="center"/>
    </xf>
    <xf numFmtId="0" fontId="2" fillId="29" borderId="16" xfId="0" applyFont="1" applyFill="1" applyBorder="1" applyAlignment="1">
      <alignment horizontal="center" vertical="center"/>
    </xf>
    <xf numFmtId="168" fontId="2" fillId="29" borderId="12" xfId="0" applyNumberFormat="1" applyFont="1" applyFill="1" applyBorder="1" applyAlignment="1">
      <alignment horizontal="center" vertical="center"/>
    </xf>
    <xf numFmtId="168" fontId="2" fillId="29" borderId="13" xfId="0" applyNumberFormat="1" applyFont="1" applyFill="1" applyBorder="1" applyAlignment="1">
      <alignment horizontal="center" vertical="center"/>
    </xf>
    <xf numFmtId="168" fontId="2" fillId="29" borderId="17" xfId="0" applyNumberFormat="1" applyFont="1" applyFill="1" applyBorder="1" applyAlignment="1">
      <alignment horizontal="center" vertical="center"/>
    </xf>
    <xf numFmtId="10" fontId="0" fillId="29" borderId="16" xfId="0" applyNumberFormat="1" applyFill="1" applyBorder="1"/>
    <xf numFmtId="10" fontId="0" fillId="29" borderId="12" xfId="0" applyNumberFormat="1" applyFill="1" applyBorder="1"/>
    <xf numFmtId="10" fontId="0" fillId="29" borderId="13" xfId="0" applyNumberFormat="1" applyFill="1" applyBorder="1"/>
    <xf numFmtId="10" fontId="0" fillId="29" borderId="17" xfId="0" applyNumberFormat="1" applyFill="1" applyBorder="1"/>
    <xf numFmtId="10" fontId="0" fillId="29" borderId="0" xfId="0" applyNumberFormat="1" applyFill="1" applyBorder="1"/>
    <xf numFmtId="10" fontId="0" fillId="29" borderId="14" xfId="0" applyNumberFormat="1" applyFill="1" applyBorder="1"/>
    <xf numFmtId="168" fontId="2" fillId="29" borderId="18" xfId="0" applyNumberFormat="1" applyFont="1" applyFill="1" applyBorder="1" applyAlignment="1">
      <alignment horizontal="center" vertical="center"/>
    </xf>
    <xf numFmtId="10" fontId="0" fillId="29" borderId="18" xfId="0" applyNumberFormat="1" applyFill="1" applyBorder="1"/>
    <xf numFmtId="10" fontId="0" fillId="29" borderId="10" xfId="0" applyNumberFormat="1" applyFill="1" applyBorder="1"/>
    <xf numFmtId="10" fontId="0" fillId="29" borderId="15" xfId="0" applyNumberFormat="1" applyFill="1" applyBorder="1"/>
    <xf numFmtId="0" fontId="2" fillId="29" borderId="16" xfId="0" applyFont="1" applyFill="1" applyBorder="1" applyAlignment="1">
      <alignment horizontal="right" vertical="center"/>
    </xf>
    <xf numFmtId="168" fontId="2" fillId="29" borderId="17" xfId="0" applyNumberFormat="1" applyFont="1" applyFill="1" applyBorder="1" applyAlignment="1">
      <alignment horizontal="right" vertical="center"/>
    </xf>
    <xf numFmtId="0" fontId="2" fillId="29" borderId="12" xfId="0" applyFont="1" applyFill="1" applyBorder="1" applyAlignment="1">
      <alignment horizontal="right" vertical="center"/>
    </xf>
    <xf numFmtId="168" fontId="2" fillId="29" borderId="0" xfId="0" applyNumberFormat="1" applyFont="1" applyFill="1" applyBorder="1" applyAlignment="1">
      <alignment horizontal="right" vertical="center"/>
    </xf>
    <xf numFmtId="0" fontId="0" fillId="29" borderId="0" xfId="0" applyFill="1" applyBorder="1" applyAlignment="1">
      <alignment horizontal="right"/>
    </xf>
    <xf numFmtId="0" fontId="0" fillId="29" borderId="0" xfId="0" applyFill="1" applyBorder="1"/>
    <xf numFmtId="0" fontId="3" fillId="29" borderId="0" xfId="0" applyFont="1" applyFill="1" applyBorder="1" applyAlignment="1">
      <alignment horizontal="right"/>
    </xf>
    <xf numFmtId="0" fontId="3" fillId="29" borderId="0" xfId="0" applyFont="1" applyFill="1" applyBorder="1"/>
    <xf numFmtId="0" fontId="3" fillId="29" borderId="0" xfId="0" applyFont="1" applyFill="1" applyBorder="1" applyAlignment="1">
      <alignment horizontal="center"/>
    </xf>
    <xf numFmtId="164" fontId="0" fillId="29" borderId="0" xfId="28" applyFont="1" applyFill="1" applyBorder="1"/>
    <xf numFmtId="0" fontId="0" fillId="29" borderId="13" xfId="0" applyFill="1" applyBorder="1"/>
    <xf numFmtId="0" fontId="0" fillId="29" borderId="14" xfId="0" applyFill="1" applyBorder="1"/>
    <xf numFmtId="0" fontId="0" fillId="29" borderId="17" xfId="0" applyFill="1" applyBorder="1" applyAlignment="1">
      <alignment horizontal="right"/>
    </xf>
    <xf numFmtId="0" fontId="2" fillId="29" borderId="17" xfId="0" applyFont="1" applyFill="1" applyBorder="1" applyAlignment="1">
      <alignment horizontal="right"/>
    </xf>
    <xf numFmtId="0" fontId="0" fillId="29" borderId="18" xfId="0" applyFill="1" applyBorder="1" applyAlignment="1">
      <alignment horizontal="right"/>
    </xf>
    <xf numFmtId="0" fontId="0" fillId="29" borderId="10" xfId="0" applyFill="1" applyBorder="1" applyAlignment="1">
      <alignment horizontal="right"/>
    </xf>
    <xf numFmtId="0" fontId="0" fillId="29" borderId="10" xfId="0" applyFill="1" applyBorder="1"/>
    <xf numFmtId="0" fontId="0" fillId="29" borderId="15" xfId="0" applyFill="1" applyBorder="1"/>
    <xf numFmtId="164" fontId="0" fillId="29" borderId="16" xfId="28" applyFont="1" applyFill="1" applyBorder="1"/>
    <xf numFmtId="164" fontId="0" fillId="29" borderId="12" xfId="28" applyFont="1" applyFill="1" applyBorder="1"/>
    <xf numFmtId="164" fontId="0" fillId="29" borderId="13" xfId="28" applyFont="1" applyFill="1" applyBorder="1"/>
    <xf numFmtId="164" fontId="0" fillId="29" borderId="17" xfId="28" applyFont="1" applyFill="1" applyBorder="1"/>
    <xf numFmtId="164" fontId="0" fillId="29" borderId="14" xfId="28" applyFont="1" applyFill="1" applyBorder="1"/>
    <xf numFmtId="164" fontId="0" fillId="29" borderId="18" xfId="28" applyFont="1" applyFill="1" applyBorder="1"/>
    <xf numFmtId="164" fontId="0" fillId="29" borderId="10" xfId="28" applyFont="1" applyFill="1" applyBorder="1"/>
    <xf numFmtId="164" fontId="0" fillId="29" borderId="15" xfId="28" applyFont="1" applyFill="1" applyBorder="1"/>
    <xf numFmtId="164" fontId="0" fillId="29" borderId="37" xfId="28" applyFont="1" applyFill="1" applyBorder="1"/>
    <xf numFmtId="164" fontId="0" fillId="29" borderId="38" xfId="28" applyFont="1" applyFill="1" applyBorder="1"/>
    <xf numFmtId="164" fontId="0" fillId="29" borderId="36" xfId="28" applyFont="1" applyFill="1" applyBorder="1"/>
    <xf numFmtId="164" fontId="0" fillId="29" borderId="35" xfId="28" applyFont="1" applyFill="1" applyBorder="1"/>
    <xf numFmtId="9" fontId="0" fillId="29" borderId="16" xfId="41" applyFont="1" applyFill="1" applyBorder="1"/>
    <xf numFmtId="9" fontId="0" fillId="29" borderId="37" xfId="41" applyFont="1" applyFill="1" applyBorder="1"/>
    <xf numFmtId="9" fontId="0" fillId="29" borderId="17" xfId="41" applyFont="1" applyFill="1" applyBorder="1"/>
    <xf numFmtId="9" fontId="0" fillId="29" borderId="38" xfId="41" applyFont="1" applyFill="1" applyBorder="1"/>
    <xf numFmtId="9" fontId="0" fillId="29" borderId="36" xfId="41" applyFont="1" applyFill="1" applyBorder="1"/>
    <xf numFmtId="9" fontId="0" fillId="29" borderId="35" xfId="41" applyFont="1" applyFill="1" applyBorder="1"/>
    <xf numFmtId="9" fontId="0" fillId="29" borderId="39" xfId="41" applyFont="1" applyFill="1" applyBorder="1"/>
    <xf numFmtId="9" fontId="0" fillId="29" borderId="0" xfId="41" applyFont="1" applyFill="1" applyBorder="1" applyAlignment="1">
      <alignment horizontal="center"/>
    </xf>
    <xf numFmtId="0" fontId="3" fillId="29" borderId="0" xfId="0" applyFont="1" applyFill="1" applyBorder="1" applyAlignment="1">
      <alignment horizontal="left"/>
    </xf>
    <xf numFmtId="2" fontId="2" fillId="29" borderId="12" xfId="0" applyNumberFormat="1" applyFont="1" applyFill="1" applyBorder="1" applyAlignment="1">
      <alignment horizontal="center" vertical="center"/>
    </xf>
    <xf numFmtId="167" fontId="0" fillId="29" borderId="16" xfId="41" applyNumberFormat="1" applyFont="1" applyFill="1" applyBorder="1" applyAlignment="1">
      <alignment horizontal="center" vertical="center"/>
    </xf>
    <xf numFmtId="167" fontId="0" fillId="29" borderId="17" xfId="41" applyNumberFormat="1" applyFont="1" applyFill="1" applyBorder="1" applyAlignment="1">
      <alignment horizontal="center" vertical="center"/>
    </xf>
    <xf numFmtId="167" fontId="0" fillId="29" borderId="18" xfId="41" applyNumberFormat="1" applyFont="1" applyFill="1" applyBorder="1" applyAlignment="1">
      <alignment horizontal="center" vertical="center"/>
    </xf>
    <xf numFmtId="2" fontId="2" fillId="29" borderId="17" xfId="0" applyNumberFormat="1" applyFont="1" applyFill="1" applyBorder="1" applyAlignment="1">
      <alignment horizontal="right" vertical="center"/>
    </xf>
    <xf numFmtId="0" fontId="2" fillId="29" borderId="16" xfId="0" applyFont="1" applyFill="1" applyBorder="1" applyAlignment="1">
      <alignment horizontal="right" vertical="center" wrapText="1"/>
    </xf>
    <xf numFmtId="167" fontId="0" fillId="29" borderId="37" xfId="41" applyNumberFormat="1" applyFont="1" applyFill="1" applyBorder="1" applyAlignment="1">
      <alignment horizontal="center" vertical="center"/>
    </xf>
    <xf numFmtId="167" fontId="0" fillId="29" borderId="38" xfId="41" applyNumberFormat="1" applyFont="1" applyFill="1" applyBorder="1" applyAlignment="1">
      <alignment horizontal="center" vertical="center"/>
    </xf>
    <xf numFmtId="167" fontId="0" fillId="29" borderId="39" xfId="41" applyNumberFormat="1" applyFont="1" applyFill="1" applyBorder="1" applyAlignment="1">
      <alignment horizontal="center" vertical="center"/>
    </xf>
    <xf numFmtId="9" fontId="0" fillId="29" borderId="37" xfId="41" applyFont="1" applyFill="1" applyBorder="1" applyAlignment="1">
      <alignment horizontal="center" vertical="center"/>
    </xf>
    <xf numFmtId="9" fontId="0" fillId="29" borderId="38" xfId="41" applyFont="1" applyFill="1" applyBorder="1" applyAlignment="1">
      <alignment horizontal="center" vertical="center"/>
    </xf>
    <xf numFmtId="9" fontId="0" fillId="29" borderId="39" xfId="41" applyFont="1" applyFill="1" applyBorder="1" applyAlignment="1">
      <alignment horizontal="center" vertical="center"/>
    </xf>
    <xf numFmtId="2" fontId="2" fillId="29" borderId="36" xfId="0" applyNumberFormat="1" applyFont="1" applyFill="1" applyBorder="1" applyAlignment="1">
      <alignment horizontal="right" vertical="center"/>
    </xf>
    <xf numFmtId="168" fontId="2" fillId="29" borderId="40" xfId="0" applyNumberFormat="1" applyFont="1" applyFill="1" applyBorder="1" applyAlignment="1">
      <alignment horizontal="right" vertical="center"/>
    </xf>
    <xf numFmtId="167" fontId="0" fillId="29" borderId="36" xfId="41" applyNumberFormat="1" applyFont="1" applyFill="1" applyBorder="1" applyAlignment="1">
      <alignment horizontal="center" vertical="center"/>
    </xf>
    <xf numFmtId="167" fontId="0" fillId="29" borderId="35" xfId="41" applyNumberFormat="1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right"/>
    </xf>
    <xf numFmtId="167" fontId="0" fillId="29" borderId="12" xfId="41" applyNumberFormat="1" applyFont="1" applyFill="1" applyBorder="1" applyAlignment="1">
      <alignment horizontal="center" vertical="center"/>
    </xf>
    <xf numFmtId="167" fontId="0" fillId="29" borderId="0" xfId="41" applyNumberFormat="1" applyFont="1" applyFill="1" applyBorder="1" applyAlignment="1">
      <alignment horizontal="center" vertical="center"/>
    </xf>
    <xf numFmtId="167" fontId="0" fillId="29" borderId="13" xfId="41" applyNumberFormat="1" applyFont="1" applyFill="1" applyBorder="1" applyAlignment="1">
      <alignment horizontal="center" vertical="center"/>
    </xf>
    <xf numFmtId="167" fontId="0" fillId="29" borderId="14" xfId="41" applyNumberFormat="1" applyFont="1" applyFill="1" applyBorder="1" applyAlignment="1">
      <alignment horizontal="center" vertical="center"/>
    </xf>
    <xf numFmtId="167" fontId="0" fillId="29" borderId="10" xfId="41" applyNumberFormat="1" applyFont="1" applyFill="1" applyBorder="1" applyAlignment="1">
      <alignment horizontal="center" vertical="center"/>
    </xf>
    <xf numFmtId="167" fontId="0" fillId="29" borderId="15" xfId="41" applyNumberFormat="1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ttrick.org/Club/Matches/Live.aspx?actionType=addMatch&amp;matchID=268523106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ttrick.org/Club/Matches/Live.aspx?actionType=addMatch&amp;matchID=268523107" TargetMode="External"/><Relationship Id="rId6" Type="http://schemas.openxmlformats.org/officeDocument/2006/relationships/hyperlink" Target="http://www.hattrick.org/Club/Matches/Live.aspx?actionType=addMatch&amp;matchID=268523110" TargetMode="External"/><Relationship Id="rId5" Type="http://schemas.openxmlformats.org/officeDocument/2006/relationships/hyperlink" Target="http://www.hattrick.org/Club/Matches/Live.aspx?actionType=addMatch&amp;matchID=268523108" TargetMode="External"/><Relationship Id="rId4" Type="http://schemas.openxmlformats.org/officeDocument/2006/relationships/hyperlink" Target="http://www.hattrick.org/Club/Matches/Live.aspx?actionType=addMatch&amp;matchID=26852310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57</xdr:row>
      <xdr:rowOff>0</xdr:rowOff>
    </xdr:from>
    <xdr:to>
      <xdr:col>20</xdr:col>
      <xdr:colOff>7620</xdr:colOff>
      <xdr:row>57</xdr:row>
      <xdr:rowOff>7620</xdr:rowOff>
    </xdr:to>
    <xdr:pic>
      <xdr:nvPicPr>
        <xdr:cNvPr id="2364" name="Picture 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7620</xdr:colOff>
      <xdr:row>58</xdr:row>
      <xdr:rowOff>7620</xdr:rowOff>
    </xdr:to>
    <xdr:pic>
      <xdr:nvPicPr>
        <xdr:cNvPr id="2365" name="Picture 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62</xdr:row>
      <xdr:rowOff>0</xdr:rowOff>
    </xdr:from>
    <xdr:to>
      <xdr:col>20</xdr:col>
      <xdr:colOff>7620</xdr:colOff>
      <xdr:row>62</xdr:row>
      <xdr:rowOff>7620</xdr:rowOff>
    </xdr:to>
    <xdr:pic>
      <xdr:nvPicPr>
        <xdr:cNvPr id="2366" name="Picture 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63</xdr:row>
      <xdr:rowOff>0</xdr:rowOff>
    </xdr:from>
    <xdr:to>
      <xdr:col>20</xdr:col>
      <xdr:colOff>7620</xdr:colOff>
      <xdr:row>63</xdr:row>
      <xdr:rowOff>7620</xdr:rowOff>
    </xdr:to>
    <xdr:pic>
      <xdr:nvPicPr>
        <xdr:cNvPr id="2367" name="Picture 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20</xdr:col>
      <xdr:colOff>7620</xdr:colOff>
      <xdr:row>66</xdr:row>
      <xdr:rowOff>7620</xdr:rowOff>
    </xdr:to>
    <xdr:pic>
      <xdr:nvPicPr>
        <xdr:cNvPr id="2368" name="Picture 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69" name="Picture 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0" name="Picture 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1" name="Picture 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2" name="Picture 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3" name="Picture 1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57</xdr:row>
      <xdr:rowOff>0</xdr:rowOff>
    </xdr:from>
    <xdr:to>
      <xdr:col>24</xdr:col>
      <xdr:colOff>7620</xdr:colOff>
      <xdr:row>57</xdr:row>
      <xdr:rowOff>7620</xdr:rowOff>
    </xdr:to>
    <xdr:pic>
      <xdr:nvPicPr>
        <xdr:cNvPr id="2374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58</xdr:row>
      <xdr:rowOff>0</xdr:rowOff>
    </xdr:from>
    <xdr:to>
      <xdr:col>24</xdr:col>
      <xdr:colOff>7620</xdr:colOff>
      <xdr:row>58</xdr:row>
      <xdr:rowOff>7620</xdr:rowOff>
    </xdr:to>
    <xdr:pic>
      <xdr:nvPicPr>
        <xdr:cNvPr id="2375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62</xdr:row>
      <xdr:rowOff>0</xdr:rowOff>
    </xdr:from>
    <xdr:to>
      <xdr:col>24</xdr:col>
      <xdr:colOff>7620</xdr:colOff>
      <xdr:row>62</xdr:row>
      <xdr:rowOff>7620</xdr:rowOff>
    </xdr:to>
    <xdr:pic>
      <xdr:nvPicPr>
        <xdr:cNvPr id="2376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63</xdr:row>
      <xdr:rowOff>0</xdr:rowOff>
    </xdr:from>
    <xdr:to>
      <xdr:col>24</xdr:col>
      <xdr:colOff>7620</xdr:colOff>
      <xdr:row>63</xdr:row>
      <xdr:rowOff>7620</xdr:rowOff>
    </xdr:to>
    <xdr:pic>
      <xdr:nvPicPr>
        <xdr:cNvPr id="2377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66</xdr:row>
      <xdr:rowOff>0</xdr:rowOff>
    </xdr:from>
    <xdr:to>
      <xdr:col>24</xdr:col>
      <xdr:colOff>7620</xdr:colOff>
      <xdr:row>66</xdr:row>
      <xdr:rowOff>7620</xdr:rowOff>
    </xdr:to>
    <xdr:pic>
      <xdr:nvPicPr>
        <xdr:cNvPr id="2378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79" name="Picture 1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0" name="Picture 1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1" name="Picture 1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2" name="Picture 1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3" name="Picture 2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7620</xdr:colOff>
      <xdr:row>57</xdr:row>
      <xdr:rowOff>7620</xdr:rowOff>
    </xdr:to>
    <xdr:pic>
      <xdr:nvPicPr>
        <xdr:cNvPr id="2384" name="Picture 2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7620</xdr:colOff>
      <xdr:row>58</xdr:row>
      <xdr:rowOff>7620</xdr:rowOff>
    </xdr:to>
    <xdr:pic>
      <xdr:nvPicPr>
        <xdr:cNvPr id="2385" name="Picture 2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7620</xdr:colOff>
      <xdr:row>62</xdr:row>
      <xdr:rowOff>7620</xdr:rowOff>
    </xdr:to>
    <xdr:pic>
      <xdr:nvPicPr>
        <xdr:cNvPr id="2386" name="Picture 2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7620</xdr:colOff>
      <xdr:row>63</xdr:row>
      <xdr:rowOff>7620</xdr:rowOff>
    </xdr:to>
    <xdr:pic>
      <xdr:nvPicPr>
        <xdr:cNvPr id="2387" name="Picture 2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66</xdr:row>
      <xdr:rowOff>0</xdr:rowOff>
    </xdr:from>
    <xdr:to>
      <xdr:col>28</xdr:col>
      <xdr:colOff>7620</xdr:colOff>
      <xdr:row>66</xdr:row>
      <xdr:rowOff>7620</xdr:rowOff>
    </xdr:to>
    <xdr:pic>
      <xdr:nvPicPr>
        <xdr:cNvPr id="2388" name="Picture 2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89" name="Picture 2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0" name="Picture 2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1" name="Picture 2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2" name="Picture 2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3" name="Picture 3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76200</xdr:colOff>
      <xdr:row>1</xdr:row>
      <xdr:rowOff>121920</xdr:rowOff>
    </xdr:to>
    <xdr:pic>
      <xdr:nvPicPr>
        <xdr:cNvPr id="1081" name="Bild 130" descr="http://www84.hattrick.org/Img/Icons/yellow_card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7640"/>
          <a:ext cx="7620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76200</xdr:rowOff>
    </xdr:to>
    <xdr:pic>
      <xdr:nvPicPr>
        <xdr:cNvPr id="1082" name="Bild 131" descr="Lätt skadad, men kan spel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7640"/>
          <a:ext cx="18288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312420</xdr:colOff>
      <xdr:row>2</xdr:row>
      <xdr:rowOff>106680</xdr:rowOff>
    </xdr:to>
    <xdr:sp macro="" textlink="">
      <xdr:nvSpPr>
        <xdr:cNvPr id="1083" name="AutoShape 5"/>
        <xdr:cNvSpPr>
          <a:spLocks noChangeAspect="1" noChangeArrowheads="1"/>
        </xdr:cNvSpPr>
      </xdr:nvSpPr>
      <xdr:spPr bwMode="auto">
        <a:xfrm>
          <a:off x="803910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312420</xdr:colOff>
      <xdr:row>1</xdr:row>
      <xdr:rowOff>106680</xdr:rowOff>
    </xdr:to>
    <xdr:sp macro="" textlink="">
      <xdr:nvSpPr>
        <xdr:cNvPr id="1084" name="AutoShape 6"/>
        <xdr:cNvSpPr>
          <a:spLocks noChangeAspect="1" noChangeArrowheads="1"/>
        </xdr:cNvSpPr>
      </xdr:nvSpPr>
      <xdr:spPr bwMode="auto">
        <a:xfrm>
          <a:off x="803910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312420</xdr:colOff>
      <xdr:row>2</xdr:row>
      <xdr:rowOff>106680</xdr:rowOff>
    </xdr:to>
    <xdr:sp macro="" textlink="">
      <xdr:nvSpPr>
        <xdr:cNvPr id="1085" name="AutoShape 7"/>
        <xdr:cNvSpPr>
          <a:spLocks noChangeAspect="1" noChangeArrowheads="1"/>
        </xdr:cNvSpPr>
      </xdr:nvSpPr>
      <xdr:spPr bwMode="auto">
        <a:xfrm>
          <a:off x="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312420</xdr:colOff>
      <xdr:row>1</xdr:row>
      <xdr:rowOff>106680</xdr:rowOff>
    </xdr:to>
    <xdr:sp macro="" textlink="">
      <xdr:nvSpPr>
        <xdr:cNvPr id="1086" name="AutoShape 8"/>
        <xdr:cNvSpPr>
          <a:spLocks noChangeAspect="1" noChangeArrowheads="1"/>
        </xdr:cNvSpPr>
      </xdr:nvSpPr>
      <xdr:spPr bwMode="auto">
        <a:xfrm>
          <a:off x="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7" TargetMode="External"/><Relationship Id="rId7" Type="http://schemas.openxmlformats.org/officeDocument/2006/relationships/hyperlink" Target="http://www99.hattrick.org/Help/Rules/AppDenominations.aspx?lt=skill&amp;ll=4" TargetMode="External"/><Relationship Id="rId2" Type="http://schemas.openxmlformats.org/officeDocument/2006/relationships/hyperlink" Target="http://www99.hattrick.org/Club/?TeamID=46786" TargetMode="External"/><Relationship Id="rId1" Type="http://schemas.openxmlformats.org/officeDocument/2006/relationships/hyperlink" Target="http://www99.hattrick.org/World/Leagues/League.aspx?LeagueID=12" TargetMode="External"/><Relationship Id="rId6" Type="http://schemas.openxmlformats.org/officeDocument/2006/relationships/hyperlink" Target="http://www99.hattrick.org/Help/Rules/AppDenominations.aspx?lt=skill&amp;ll=9" TargetMode="External"/><Relationship Id="rId5" Type="http://schemas.openxmlformats.org/officeDocument/2006/relationships/hyperlink" Target="http://www99.hattrick.org/Help/Rules/AppDenominations.aspx?lt=skill&amp;ll=3" TargetMode="External"/><Relationship Id="rId10" Type="http://schemas.openxmlformats.org/officeDocument/2006/relationships/hyperlink" Target="http://www99.hattrick.org/Help/Rules/AppDenominations.aspx?lt=skill&amp;ll=19" TargetMode="External"/><Relationship Id="rId4" Type="http://schemas.openxmlformats.org/officeDocument/2006/relationships/hyperlink" Target="http://www99.hattrick.org/Help/Rules/AppDenominations.aspx?lt=skill&amp;ll=1" TargetMode="External"/><Relationship Id="rId9" Type="http://schemas.openxmlformats.org/officeDocument/2006/relationships/hyperlink" Target="http://www99.hattrick.org/Help/Rules/AppDenominations.aspx?lt=skill&amp;ll=1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6"/>
  <sheetViews>
    <sheetView workbookViewId="0">
      <selection activeCell="C17" sqref="C17"/>
    </sheetView>
  </sheetViews>
  <sheetFormatPr defaultColWidth="9.109375" defaultRowHeight="13.2"/>
  <cols>
    <col min="1" max="1" width="18.88671875" style="11" customWidth="1"/>
    <col min="2" max="2" width="14.6640625" style="11" customWidth="1"/>
    <col min="3" max="3" width="18.6640625" style="15" customWidth="1"/>
    <col min="4" max="4" width="22.5546875" style="15" customWidth="1"/>
    <col min="5" max="16384" width="9.109375" style="12"/>
  </cols>
  <sheetData>
    <row r="5" spans="1:4">
      <c r="A5" s="10" t="s">
        <v>33</v>
      </c>
    </row>
    <row r="7" spans="1:4">
      <c r="A7" s="13" t="s">
        <v>34</v>
      </c>
      <c r="B7" s="13" t="s">
        <v>35</v>
      </c>
      <c r="C7" s="16" t="s">
        <v>36</v>
      </c>
      <c r="D7" s="16" t="s">
        <v>37</v>
      </c>
    </row>
    <row r="8" spans="1:4" ht="26.4">
      <c r="A8" s="11" t="s">
        <v>114</v>
      </c>
      <c r="B8" s="14">
        <v>39146</v>
      </c>
      <c r="C8" s="15" t="s">
        <v>38</v>
      </c>
      <c r="D8" s="15" t="s">
        <v>101</v>
      </c>
    </row>
    <row r="9" spans="1:4">
      <c r="A9" s="11" t="s">
        <v>113</v>
      </c>
      <c r="B9" s="14">
        <v>39147</v>
      </c>
      <c r="C9" s="15" t="s">
        <v>39</v>
      </c>
      <c r="D9" s="15" t="s">
        <v>40</v>
      </c>
    </row>
    <row r="10" spans="1:4">
      <c r="C10" s="15" t="s">
        <v>2</v>
      </c>
      <c r="D10" s="15" t="s">
        <v>40</v>
      </c>
    </row>
    <row r="11" spans="1:4">
      <c r="C11" s="15" t="s">
        <v>41</v>
      </c>
      <c r="D11" s="15" t="s">
        <v>40</v>
      </c>
    </row>
    <row r="12" spans="1:4">
      <c r="C12" s="15" t="s">
        <v>42</v>
      </c>
      <c r="D12" s="15" t="s">
        <v>40</v>
      </c>
    </row>
    <row r="13" spans="1:4" ht="26.4">
      <c r="C13" s="15" t="s">
        <v>59</v>
      </c>
      <c r="D13" s="15" t="s">
        <v>60</v>
      </c>
    </row>
    <row r="14" spans="1:4" ht="79.2">
      <c r="C14" s="15" t="s">
        <v>100</v>
      </c>
      <c r="D14" s="15" t="s">
        <v>102</v>
      </c>
    </row>
    <row r="15" spans="1:4" ht="52.8">
      <c r="C15" s="15" t="s">
        <v>109</v>
      </c>
      <c r="D15" s="15" t="s">
        <v>110</v>
      </c>
    </row>
    <row r="16" spans="1:4" ht="26.4">
      <c r="C16" s="15" t="s">
        <v>111</v>
      </c>
      <c r="D16" s="15" t="s">
        <v>112</v>
      </c>
    </row>
  </sheetData>
  <phoneticPr fontId="7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4"/>
  <sheetViews>
    <sheetView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E57" sqref="E57"/>
    </sheetView>
  </sheetViews>
  <sheetFormatPr defaultColWidth="9.109375" defaultRowHeight="13.2"/>
  <cols>
    <col min="1" max="1" width="9.109375" style="102" customWidth="1"/>
    <col min="2" max="2" width="29" style="102" customWidth="1"/>
    <col min="3" max="3" width="11.33203125" style="103" bestFit="1" customWidth="1"/>
    <col min="4" max="4" width="14.33203125" style="103" bestFit="1" customWidth="1"/>
    <col min="5" max="5" width="9.109375" style="103" customWidth="1"/>
    <col min="6" max="8" width="8.109375" style="103" customWidth="1"/>
    <col min="9" max="9" width="9.109375" style="103" customWidth="1"/>
    <col min="10" max="10" width="14" style="120" customWidth="1"/>
    <col min="11" max="11" width="13.88671875" style="120" customWidth="1"/>
    <col min="12" max="12" width="16" style="102" customWidth="1"/>
    <col min="13" max="13" width="13.109375" style="122" bestFit="1" customWidth="1"/>
    <col min="14" max="14" width="12.6640625" style="102" customWidth="1"/>
    <col min="15" max="15" width="17.33203125" style="102" customWidth="1"/>
    <col min="16" max="16" width="20.33203125" style="102" bestFit="1" customWidth="1"/>
    <col min="17" max="17" width="8.6640625" style="102" customWidth="1"/>
    <col min="18" max="18" width="9.5546875" style="102" customWidth="1"/>
    <col min="19" max="19" width="7" style="102" bestFit="1" customWidth="1"/>
    <col min="20" max="20" width="13.5546875" style="102" customWidth="1"/>
    <col min="21" max="16384" width="9.109375" style="102"/>
  </cols>
  <sheetData>
    <row r="1" spans="1:20" s="101" customFormat="1">
      <c r="B1" s="76" t="s">
        <v>299</v>
      </c>
      <c r="C1" s="118"/>
      <c r="D1" s="118"/>
      <c r="E1" s="118"/>
      <c r="F1" s="118"/>
      <c r="G1" s="118"/>
      <c r="H1" s="118"/>
      <c r="I1" s="118"/>
      <c r="J1" s="119"/>
      <c r="K1" s="119"/>
      <c r="M1" s="121"/>
    </row>
    <row r="2" spans="1:20" s="101" customFormat="1">
      <c r="A2" s="101" t="s">
        <v>336</v>
      </c>
      <c r="B2" s="101" t="s">
        <v>318</v>
      </c>
      <c r="C2" s="118" t="s">
        <v>301</v>
      </c>
      <c r="D2" s="118" t="s">
        <v>300</v>
      </c>
      <c r="E2" s="118" t="s">
        <v>302</v>
      </c>
      <c r="F2" s="118" t="s">
        <v>1</v>
      </c>
      <c r="G2" s="118" t="s">
        <v>439</v>
      </c>
      <c r="H2" s="118" t="s">
        <v>438</v>
      </c>
      <c r="I2" s="118" t="s">
        <v>314</v>
      </c>
      <c r="J2" s="119" t="s">
        <v>303</v>
      </c>
      <c r="K2" s="119" t="s">
        <v>306</v>
      </c>
      <c r="L2" s="101" t="s">
        <v>316</v>
      </c>
      <c r="M2" s="121" t="s">
        <v>317</v>
      </c>
      <c r="N2" s="101" t="s">
        <v>329</v>
      </c>
      <c r="O2" s="101" t="s">
        <v>339</v>
      </c>
    </row>
    <row r="3" spans="1:20">
      <c r="A3" s="126"/>
      <c r="B3" s="126"/>
      <c r="C3" s="127">
        <v>33520</v>
      </c>
      <c r="D3" s="128">
        <v>455300</v>
      </c>
      <c r="E3" s="127">
        <v>34</v>
      </c>
      <c r="F3" s="127">
        <v>8</v>
      </c>
      <c r="G3" s="127"/>
      <c r="H3" s="127"/>
      <c r="I3" s="127">
        <v>1</v>
      </c>
      <c r="J3" s="129">
        <f>D3*VLOOKUP(E3,Parser!$Z$5:$AA$28,2,FALSE)</f>
        <v>1821200</v>
      </c>
      <c r="K3" s="129">
        <f>C3*VLOOKUP($E3,Parser!$Z$5:$AA$28,2,FALSE)</f>
        <v>134080</v>
      </c>
      <c r="L3" s="130">
        <f t="shared" ref="L3:L18" si="0">IF((J3/10)&lt;250*(0.8+0.200001*I3),0,(((J3/10)/(0.8+0.2*I3)-250)/0.0013)^(1/6.47)+1)</f>
        <v>19.155723375133704</v>
      </c>
      <c r="M3" s="131">
        <f t="shared" ref="M3:M44" si="1">((K3/((0.5768*(F3-1)^0.342)*0.0107))^(1/5.86))+1</f>
        <v>16.948457159735259</v>
      </c>
      <c r="N3" s="130"/>
      <c r="O3" s="132">
        <f>M3-L3</f>
        <v>-2.2072662153984446</v>
      </c>
      <c r="P3" s="126"/>
      <c r="Q3" s="136"/>
      <c r="R3" s="136"/>
      <c r="S3" s="105"/>
      <c r="T3" s="106"/>
    </row>
    <row r="4" spans="1:20">
      <c r="A4" s="126"/>
      <c r="B4" s="126"/>
      <c r="C4" s="127">
        <v>71970</v>
      </c>
      <c r="D4" s="127"/>
      <c r="E4" s="127">
        <v>33</v>
      </c>
      <c r="F4" s="127">
        <v>7</v>
      </c>
      <c r="G4" s="127"/>
      <c r="H4" s="127"/>
      <c r="I4" s="127">
        <v>1</v>
      </c>
      <c r="J4" s="129">
        <f>D4*VLOOKUP(E4,Parser!$Z$5:$AA$28,2,FALSE)</f>
        <v>0</v>
      </c>
      <c r="K4" s="129">
        <f>C4*VLOOKUP($E4,Parser!$Z$5:$AA$28,2,FALSE)</f>
        <v>191920</v>
      </c>
      <c r="L4" s="130">
        <f t="shared" si="0"/>
        <v>0</v>
      </c>
      <c r="M4" s="131">
        <f t="shared" si="1"/>
        <v>18.108241481493078</v>
      </c>
      <c r="N4" s="130"/>
      <c r="O4" s="132">
        <f t="shared" ref="O4:O22" si="2">M4-L4</f>
        <v>18.108241481493078</v>
      </c>
      <c r="P4" s="126"/>
      <c r="Q4" s="136"/>
      <c r="R4" s="136"/>
    </row>
    <row r="5" spans="1:20">
      <c r="A5" s="126"/>
      <c r="B5" s="126" t="s">
        <v>349</v>
      </c>
      <c r="C5" s="128">
        <v>138070</v>
      </c>
      <c r="D5" s="128">
        <v>1449000</v>
      </c>
      <c r="E5" s="127">
        <v>32</v>
      </c>
      <c r="F5" s="127">
        <v>7</v>
      </c>
      <c r="G5" s="127"/>
      <c r="H5" s="127"/>
      <c r="I5" s="127">
        <v>2</v>
      </c>
      <c r="J5" s="129">
        <f>D5*VLOOKUP(E5,Parser!$Z$5:$AA$28,2,FALSE)</f>
        <v>2898000</v>
      </c>
      <c r="K5" s="129">
        <f>C5*VLOOKUP($E5,Parser!$Z$5:$AA$28,2,FALSE)</f>
        <v>276140</v>
      </c>
      <c r="L5" s="130">
        <f>IF((J5/10)&lt;250*(0.8+0.200001*I5),0,(((J5/10)/(0.8+0.2*I5)-250)/0.0013)^(1/6.47)+1)</f>
        <v>19.96614101373013</v>
      </c>
      <c r="M5" s="131">
        <f t="shared" si="1"/>
        <v>19.204106995769155</v>
      </c>
      <c r="N5" s="130"/>
      <c r="O5" s="132">
        <f>M5-L5</f>
        <v>-0.76203401796097481</v>
      </c>
      <c r="P5" s="126"/>
      <c r="Q5" s="136"/>
      <c r="R5" s="136"/>
    </row>
    <row r="6" spans="1:20">
      <c r="A6" s="126" t="s">
        <v>337</v>
      </c>
      <c r="B6" s="126" t="s">
        <v>319</v>
      </c>
      <c r="C6" s="128">
        <v>322330</v>
      </c>
      <c r="D6" s="128">
        <v>1665900</v>
      </c>
      <c r="E6" s="127">
        <v>29</v>
      </c>
      <c r="F6" s="127">
        <v>7</v>
      </c>
      <c r="G6" s="127"/>
      <c r="H6" s="127"/>
      <c r="I6" s="127">
        <v>1</v>
      </c>
      <c r="J6" s="129">
        <f>D6*VLOOKUP(E6,Parser!$Z$5:$AA$28,2,FALSE)</f>
        <v>1903885.7142857141</v>
      </c>
      <c r="K6" s="129">
        <f>C6*VLOOKUP($E6,Parser!$Z$5:$AA$28,2,FALSE)</f>
        <v>368377.14285714284</v>
      </c>
      <c r="L6" s="130">
        <f t="shared" si="0"/>
        <v>19.280916766259992</v>
      </c>
      <c r="M6" s="131">
        <f t="shared" si="1"/>
        <v>20.121779843088998</v>
      </c>
      <c r="N6" s="130">
        <v>19</v>
      </c>
      <c r="O6" s="132">
        <f t="shared" si="2"/>
        <v>0.84086307682900596</v>
      </c>
      <c r="P6" s="126"/>
      <c r="Q6" s="136"/>
      <c r="R6" s="136"/>
    </row>
    <row r="7" spans="1:20">
      <c r="A7" s="126" t="s">
        <v>337</v>
      </c>
      <c r="B7" s="126" t="s">
        <v>320</v>
      </c>
      <c r="C7" s="127">
        <v>342460</v>
      </c>
      <c r="D7" s="128">
        <v>1770500</v>
      </c>
      <c r="E7" s="127">
        <v>30</v>
      </c>
      <c r="F7" s="127">
        <v>8</v>
      </c>
      <c r="G7" s="127"/>
      <c r="H7" s="127"/>
      <c r="I7" s="127">
        <v>1</v>
      </c>
      <c r="J7" s="129">
        <f>D7*VLOOKUP(E7,Parser!$Z$5:$AA$28,2,FALSE)</f>
        <v>2360666.6666666665</v>
      </c>
      <c r="K7" s="129">
        <f>C7*VLOOKUP($E7,Parser!$Z$5:$AA$28,2,FALSE)</f>
        <v>456613.33333333331</v>
      </c>
      <c r="L7" s="130">
        <f t="shared" si="0"/>
        <v>19.899483907656599</v>
      </c>
      <c r="M7" s="131">
        <f t="shared" si="1"/>
        <v>20.657811156286765</v>
      </c>
      <c r="N7" s="130">
        <v>19</v>
      </c>
      <c r="O7" s="132">
        <f t="shared" si="2"/>
        <v>0.75832724863016665</v>
      </c>
      <c r="P7" s="126"/>
      <c r="Q7" s="136"/>
      <c r="R7" s="136"/>
    </row>
    <row r="8" spans="1:20">
      <c r="A8" s="126" t="s">
        <v>337</v>
      </c>
      <c r="B8" s="126" t="s">
        <v>321</v>
      </c>
      <c r="C8" s="128">
        <v>108410</v>
      </c>
      <c r="D8" s="128">
        <v>928500</v>
      </c>
      <c r="E8" s="127">
        <v>33</v>
      </c>
      <c r="F8" s="127">
        <v>6</v>
      </c>
      <c r="G8" s="127">
        <v>7</v>
      </c>
      <c r="H8" s="127">
        <v>20</v>
      </c>
      <c r="I8" s="127">
        <v>1</v>
      </c>
      <c r="J8" s="129">
        <f>D8*VLOOKUP(E8,Parser!$Z$5:$AA$28,2,FALSE)</f>
        <v>2476000</v>
      </c>
      <c r="K8" s="129">
        <f>C8*VLOOKUP($E8,Parser!$Z$5:$AA$28,2,FALSE)</f>
        <v>289093.33333333331</v>
      </c>
      <c r="L8" s="130">
        <f t="shared" si="0"/>
        <v>20.039481192642867</v>
      </c>
      <c r="M8" s="131">
        <f t="shared" si="1"/>
        <v>19.543338923498556</v>
      </c>
      <c r="N8" s="130">
        <v>20</v>
      </c>
      <c r="O8" s="132">
        <f t="shared" si="2"/>
        <v>-0.49614226914431114</v>
      </c>
      <c r="P8" s="126"/>
      <c r="Q8" s="136">
        <f>(L8-1)*SQRT(IF((F8-1)&gt;7,7,(F8-1))/7)*SQRT(IF((G8-1)&gt;7,7,(G8-1))/7)*(1+SQRT((H8-1))*9/100)</f>
        <v>20.742008259314584</v>
      </c>
      <c r="R8" s="136">
        <f>(M8-1)*SQRT(IF((F8-1)&gt;7,7,(F8-1))/7)*SQRT(IF((G8-1)&gt;7,7,(G8-1))/7)*(1+SQRT((H8-1))*9/100)</f>
        <v>20.201500514368103</v>
      </c>
      <c r="T8" s="102" t="s">
        <v>315</v>
      </c>
    </row>
    <row r="9" spans="1:20">
      <c r="A9" s="126" t="s">
        <v>337</v>
      </c>
      <c r="B9" s="126" t="s">
        <v>326</v>
      </c>
      <c r="C9" s="128">
        <v>83550</v>
      </c>
      <c r="D9" s="128">
        <v>777100</v>
      </c>
      <c r="E9" s="127">
        <v>33</v>
      </c>
      <c r="F9" s="127">
        <v>4</v>
      </c>
      <c r="G9" s="127"/>
      <c r="H9" s="127"/>
      <c r="I9" s="127">
        <v>1</v>
      </c>
      <c r="J9" s="129">
        <f>D9*VLOOKUP(E9,Parser!$Z$5:$AA$28,2,FALSE)</f>
        <v>2072266.6666666665</v>
      </c>
      <c r="K9" s="129">
        <f>C9*VLOOKUP($E9,Parser!$Z$5:$AA$28,2,FALSE)</f>
        <v>222800</v>
      </c>
      <c r="L9" s="130">
        <f t="shared" si="0"/>
        <v>19.522246884078616</v>
      </c>
      <c r="M9" s="131">
        <f t="shared" si="1"/>
        <v>19.27389711460912</v>
      </c>
      <c r="N9" s="130">
        <v>20</v>
      </c>
      <c r="O9" s="132">
        <f t="shared" si="2"/>
        <v>-0.24834976946949539</v>
      </c>
      <c r="P9" s="126"/>
      <c r="Q9" s="136"/>
      <c r="R9" s="136"/>
    </row>
    <row r="10" spans="1:20">
      <c r="A10" s="126" t="s">
        <v>337</v>
      </c>
      <c r="B10" s="126" t="s">
        <v>327</v>
      </c>
      <c r="C10" s="128">
        <v>335540</v>
      </c>
      <c r="D10" s="128">
        <v>2308440</v>
      </c>
      <c r="E10" s="127">
        <v>29</v>
      </c>
      <c r="F10" s="127">
        <v>7</v>
      </c>
      <c r="G10" s="127"/>
      <c r="H10" s="127"/>
      <c r="I10" s="127">
        <v>2</v>
      </c>
      <c r="J10" s="129">
        <f>D10*VLOOKUP(E10,Parser!$Z$5:$AA$28,2,FALSE)</f>
        <v>2638217.1428571427</v>
      </c>
      <c r="K10" s="129">
        <f>C10*VLOOKUP($E10,Parser!$Z$5:$AA$28,2,FALSE)</f>
        <v>383474.28571428568</v>
      </c>
      <c r="L10" s="130">
        <f t="shared" si="0"/>
        <v>19.692525277837351</v>
      </c>
      <c r="M10" s="131">
        <f t="shared" si="1"/>
        <v>20.253293549706225</v>
      </c>
      <c r="N10" s="130">
        <v>19</v>
      </c>
      <c r="O10" s="132">
        <f t="shared" si="2"/>
        <v>0.56076827186887357</v>
      </c>
      <c r="P10" s="126"/>
      <c r="Q10" s="136"/>
      <c r="R10" s="136"/>
    </row>
    <row r="11" spans="1:20">
      <c r="A11" s="126" t="s">
        <v>337</v>
      </c>
      <c r="B11" s="126" t="s">
        <v>322</v>
      </c>
      <c r="C11" s="128">
        <v>316850</v>
      </c>
      <c r="D11" s="128">
        <v>1862100</v>
      </c>
      <c r="E11" s="127">
        <v>27</v>
      </c>
      <c r="F11" s="127">
        <v>6</v>
      </c>
      <c r="G11" s="127"/>
      <c r="H11" s="127"/>
      <c r="I11" s="127">
        <v>1</v>
      </c>
      <c r="J11" s="129">
        <f>D11*VLOOKUP(E11,Parser!$Z$5:$AA$28,2,FALSE)</f>
        <v>1862100</v>
      </c>
      <c r="K11" s="129">
        <f>C11*VLOOKUP($E11,Parser!$Z$5:$AA$28,2,FALSE)</f>
        <v>316850</v>
      </c>
      <c r="L11" s="130">
        <f t="shared" si="0"/>
        <v>19.218237758310963</v>
      </c>
      <c r="M11" s="131">
        <f t="shared" si="1"/>
        <v>19.835728118993014</v>
      </c>
      <c r="N11" s="130">
        <v>19</v>
      </c>
      <c r="O11" s="132">
        <f t="shared" si="2"/>
        <v>0.61749036068205143</v>
      </c>
      <c r="P11" s="126"/>
      <c r="Q11" s="136"/>
      <c r="R11" s="136"/>
    </row>
    <row r="12" spans="1:20">
      <c r="A12" s="126" t="s">
        <v>337</v>
      </c>
      <c r="B12" s="126" t="s">
        <v>323</v>
      </c>
      <c r="C12" s="128">
        <v>57350</v>
      </c>
      <c r="D12" s="128">
        <v>412300</v>
      </c>
      <c r="E12" s="127">
        <v>31</v>
      </c>
      <c r="F12" s="127">
        <v>5</v>
      </c>
      <c r="G12" s="127"/>
      <c r="H12" s="127"/>
      <c r="I12" s="127">
        <v>1</v>
      </c>
      <c r="J12" s="129">
        <f>D12*VLOOKUP(E12,Parser!$Z$5:$AA$28,2,FALSE)</f>
        <v>659680</v>
      </c>
      <c r="K12" s="129">
        <f>C12*VLOOKUP($E12,Parser!$Z$5:$AA$28,2,FALSE)</f>
        <v>91760</v>
      </c>
      <c r="L12" s="130">
        <f t="shared" si="0"/>
        <v>16.512664380941693</v>
      </c>
      <c r="M12" s="131">
        <f t="shared" si="1"/>
        <v>16.445259083599439</v>
      </c>
      <c r="N12" s="130">
        <v>16</v>
      </c>
      <c r="O12" s="132">
        <f t="shared" si="2"/>
        <v>-6.7405297342254755E-2</v>
      </c>
      <c r="P12" s="126"/>
      <c r="Q12" s="136"/>
      <c r="R12" s="136"/>
    </row>
    <row r="13" spans="1:20">
      <c r="A13" s="126" t="s">
        <v>337</v>
      </c>
      <c r="B13" s="126" t="s">
        <v>324</v>
      </c>
      <c r="C13" s="128">
        <v>4120</v>
      </c>
      <c r="D13" s="128">
        <v>70920</v>
      </c>
      <c r="E13" s="127">
        <v>34</v>
      </c>
      <c r="F13" s="127">
        <v>5</v>
      </c>
      <c r="G13" s="127"/>
      <c r="H13" s="127"/>
      <c r="I13" s="127">
        <v>2</v>
      </c>
      <c r="J13" s="129">
        <f>D13*VLOOKUP(E13,Parser!$Z$5:$AA$28,2,FALSE)</f>
        <v>283680</v>
      </c>
      <c r="K13" s="129">
        <f>C13*VLOOKUP($E13,Parser!$Z$5:$AA$28,2,FALSE)</f>
        <v>16480</v>
      </c>
      <c r="L13" s="130">
        <f t="shared" si="0"/>
        <v>14.223384866400371</v>
      </c>
      <c r="M13" s="131">
        <f t="shared" si="1"/>
        <v>12.522408998558046</v>
      </c>
      <c r="N13" s="130">
        <v>14</v>
      </c>
      <c r="O13" s="132">
        <f t="shared" si="2"/>
        <v>-1.7009758678423257</v>
      </c>
      <c r="P13" s="126"/>
      <c r="Q13" s="136"/>
      <c r="R13" s="136"/>
    </row>
    <row r="14" spans="1:20">
      <c r="A14" s="126" t="s">
        <v>337</v>
      </c>
      <c r="B14" s="126" t="s">
        <v>328</v>
      </c>
      <c r="C14" s="128">
        <v>119600</v>
      </c>
      <c r="D14" s="128">
        <v>714500</v>
      </c>
      <c r="E14" s="127">
        <v>27</v>
      </c>
      <c r="F14" s="127">
        <v>7</v>
      </c>
      <c r="G14" s="127"/>
      <c r="H14" s="127"/>
      <c r="I14" s="127">
        <v>1</v>
      </c>
      <c r="J14" s="129">
        <f>D14*VLOOKUP(E14,Parser!$Z$5:$AA$28,2,FALSE)</f>
        <v>714500</v>
      </c>
      <c r="K14" s="129">
        <f>C14*VLOOKUP($E14,Parser!$Z$5:$AA$28,2,FALSE)</f>
        <v>119600</v>
      </c>
      <c r="L14" s="130">
        <f t="shared" si="0"/>
        <v>16.705956702649424</v>
      </c>
      <c r="M14" s="131">
        <f t="shared" si="1"/>
        <v>16.781782174808818</v>
      </c>
      <c r="N14" s="130">
        <v>16</v>
      </c>
      <c r="O14" s="132">
        <f t="shared" si="2"/>
        <v>7.582547215939428E-2</v>
      </c>
      <c r="P14" s="126"/>
      <c r="Q14" s="136"/>
      <c r="R14" s="136"/>
    </row>
    <row r="15" spans="1:20">
      <c r="A15" s="126" t="s">
        <v>337</v>
      </c>
      <c r="B15" s="126" t="s">
        <v>325</v>
      </c>
      <c r="C15" s="128">
        <v>125520</v>
      </c>
      <c r="D15" s="127">
        <v>738700</v>
      </c>
      <c r="E15" s="127">
        <v>29</v>
      </c>
      <c r="F15" s="127">
        <v>6</v>
      </c>
      <c r="G15" s="127"/>
      <c r="H15" s="127"/>
      <c r="I15" s="127">
        <v>1</v>
      </c>
      <c r="J15" s="129">
        <f>D15*VLOOKUP(E15,Parser!$Z$5:$AA$28,2,FALSE)</f>
        <v>844228.57142857136</v>
      </c>
      <c r="K15" s="129">
        <f>C15*VLOOKUP($E15,Parser!$Z$5:$AA$28,2,FALSE)</f>
        <v>143451.42857142855</v>
      </c>
      <c r="L15" s="130">
        <f t="shared" si="0"/>
        <v>17.117573044278178</v>
      </c>
      <c r="M15" s="131">
        <f t="shared" si="1"/>
        <v>17.453335106869602</v>
      </c>
      <c r="N15" s="130">
        <v>19</v>
      </c>
      <c r="O15" s="132">
        <f t="shared" si="2"/>
        <v>0.33576206259142438</v>
      </c>
      <c r="P15" s="126"/>
      <c r="Q15" s="136"/>
      <c r="R15" s="136"/>
    </row>
    <row r="16" spans="1:20">
      <c r="A16" s="126" t="s">
        <v>337</v>
      </c>
      <c r="B16" s="126" t="s">
        <v>330</v>
      </c>
      <c r="C16" s="128">
        <v>29990</v>
      </c>
      <c r="D16" s="128">
        <v>155160</v>
      </c>
      <c r="E16" s="127">
        <v>24</v>
      </c>
      <c r="F16" s="127">
        <v>7</v>
      </c>
      <c r="G16" s="127"/>
      <c r="H16" s="127"/>
      <c r="I16" s="127">
        <v>2</v>
      </c>
      <c r="J16" s="129">
        <f>D16*VLOOKUP(E16,Parser!$Z$5:$AA$28,2,FALSE)</f>
        <v>155160</v>
      </c>
      <c r="K16" s="129">
        <f>C16*VLOOKUP($E16,Parser!$Z$5:$AA$28,2,FALSE)</f>
        <v>29990</v>
      </c>
      <c r="L16" s="130">
        <f t="shared" si="0"/>
        <v>13.029389039319488</v>
      </c>
      <c r="M16" s="131">
        <f t="shared" si="1"/>
        <v>13.463447124324727</v>
      </c>
      <c r="N16" s="130"/>
      <c r="O16" s="132">
        <f t="shared" si="2"/>
        <v>0.43405808500523868</v>
      </c>
      <c r="P16" s="126"/>
      <c r="Q16" s="136"/>
      <c r="R16" s="136"/>
    </row>
    <row r="17" spans="1:18">
      <c r="A17" s="126" t="s">
        <v>337</v>
      </c>
      <c r="B17" s="126" t="s">
        <v>331</v>
      </c>
      <c r="C17" s="128">
        <v>346220</v>
      </c>
      <c r="D17" s="128">
        <v>2925720</v>
      </c>
      <c r="E17" s="127">
        <v>28</v>
      </c>
      <c r="F17" s="127">
        <v>7</v>
      </c>
      <c r="G17" s="127"/>
      <c r="H17" s="127"/>
      <c r="I17" s="127">
        <v>2</v>
      </c>
      <c r="J17" s="129">
        <f>D17*VLOOKUP(E17,Parser!$Z$5:$AA$28,2,FALSE)</f>
        <v>2925720</v>
      </c>
      <c r="K17" s="129">
        <f>C17*VLOOKUP($E17,Parser!$Z$5:$AA$28,2,FALSE)</f>
        <v>346220</v>
      </c>
      <c r="L17" s="130">
        <f t="shared" si="0"/>
        <v>19.994096577827342</v>
      </c>
      <c r="M17" s="131">
        <f t="shared" si="1"/>
        <v>19.92042793050722</v>
      </c>
      <c r="N17" s="130">
        <v>20</v>
      </c>
      <c r="O17" s="132">
        <f t="shared" si="2"/>
        <v>-7.366864732012246E-2</v>
      </c>
      <c r="P17" s="126"/>
      <c r="Q17" s="136"/>
      <c r="R17" s="136"/>
    </row>
    <row r="18" spans="1:18">
      <c r="A18" s="126" t="s">
        <v>337</v>
      </c>
      <c r="B18" s="133" t="s">
        <v>332</v>
      </c>
      <c r="C18" s="128">
        <v>191320</v>
      </c>
      <c r="D18" s="127">
        <v>1984920</v>
      </c>
      <c r="E18" s="127">
        <v>31</v>
      </c>
      <c r="F18" s="127">
        <v>7</v>
      </c>
      <c r="G18" s="127"/>
      <c r="H18" s="127"/>
      <c r="I18" s="127">
        <v>2</v>
      </c>
      <c r="J18" s="129">
        <f>D18*VLOOKUP(E18,Parser!$Z$5:$AA$28,2,FALSE)</f>
        <v>3175872</v>
      </c>
      <c r="K18" s="129">
        <f>C18*VLOOKUP($E18,Parser!$Z$5:$AA$28,2,FALSE)</f>
        <v>306112</v>
      </c>
      <c r="L18" s="130">
        <f t="shared" si="0"/>
        <v>20.236721579406847</v>
      </c>
      <c r="M18" s="131">
        <f t="shared" si="1"/>
        <v>19.52704151678315</v>
      </c>
      <c r="N18" s="130"/>
      <c r="O18" s="132">
        <f t="shared" si="2"/>
        <v>-0.70968006262369698</v>
      </c>
      <c r="P18" s="126"/>
      <c r="Q18" s="136"/>
      <c r="R18" s="136"/>
    </row>
    <row r="19" spans="1:18">
      <c r="A19" s="126" t="s">
        <v>337</v>
      </c>
      <c r="B19" s="126" t="s">
        <v>333</v>
      </c>
      <c r="C19" s="128">
        <v>118720</v>
      </c>
      <c r="D19" s="128">
        <v>1059240</v>
      </c>
      <c r="E19" s="127">
        <v>32</v>
      </c>
      <c r="F19" s="127">
        <v>8</v>
      </c>
      <c r="G19" s="127"/>
      <c r="H19" s="127"/>
      <c r="I19" s="127">
        <v>2</v>
      </c>
      <c r="J19" s="129">
        <f>D19*VLOOKUP(E19,Parser!$Z$5:$AA$28,2,FALSE)</f>
        <v>2118480</v>
      </c>
      <c r="K19" s="129">
        <f>C19*VLOOKUP($E19,Parser!$Z$5:$AA$28,2,FALSE)</f>
        <v>237440</v>
      </c>
      <c r="L19" s="130">
        <f t="shared" ref="L19:L32" si="3">IF((J19/10)&lt;250*(0.8+0.200001*I19),0,(((J19/10)/(0.8+0.2*I19)-250)/0.0013)^(1/6.47)+1)</f>
        <v>19.068489313416336</v>
      </c>
      <c r="M19" s="131">
        <f t="shared" si="1"/>
        <v>18.582146660702797</v>
      </c>
      <c r="N19" s="130">
        <v>19</v>
      </c>
      <c r="O19" s="132">
        <f t="shared" si="2"/>
        <v>-0.48634265271353883</v>
      </c>
      <c r="P19" s="126"/>
      <c r="Q19" s="136"/>
      <c r="R19" s="136"/>
    </row>
    <row r="20" spans="1:18">
      <c r="A20" s="126" t="s">
        <v>337</v>
      </c>
      <c r="B20" s="126" t="s">
        <v>334</v>
      </c>
      <c r="C20" s="128">
        <v>294600</v>
      </c>
      <c r="D20" s="128">
        <v>1488700</v>
      </c>
      <c r="E20" s="127">
        <v>27</v>
      </c>
      <c r="F20" s="127">
        <v>7</v>
      </c>
      <c r="G20" s="127"/>
      <c r="H20" s="127"/>
      <c r="I20" s="127">
        <v>1</v>
      </c>
      <c r="J20" s="129">
        <f>D20*VLOOKUP(E20,Parser!$Z$5:$AA$28,2,FALSE)</f>
        <v>1488700</v>
      </c>
      <c r="K20" s="129">
        <f>C20*VLOOKUP($E20,Parser!$Z$5:$AA$28,2,FALSE)</f>
        <v>294600</v>
      </c>
      <c r="L20" s="130">
        <f t="shared" si="3"/>
        <v>18.597913993183575</v>
      </c>
      <c r="M20" s="131">
        <f t="shared" si="1"/>
        <v>19.406244438136046</v>
      </c>
      <c r="N20" s="130"/>
      <c r="O20" s="132">
        <f t="shared" si="2"/>
        <v>0.80833044495247108</v>
      </c>
      <c r="P20" s="126"/>
      <c r="Q20" s="136"/>
      <c r="R20" s="136"/>
    </row>
    <row r="21" spans="1:18">
      <c r="A21" s="126" t="s">
        <v>338</v>
      </c>
      <c r="B21" s="133" t="s">
        <v>335</v>
      </c>
      <c r="C21" s="127">
        <v>232730</v>
      </c>
      <c r="D21" s="128">
        <v>1440300</v>
      </c>
      <c r="E21" s="127">
        <v>31</v>
      </c>
      <c r="F21" s="127">
        <v>7</v>
      </c>
      <c r="G21" s="127"/>
      <c r="H21" s="127"/>
      <c r="I21" s="127">
        <v>1</v>
      </c>
      <c r="J21" s="129">
        <f>D21*VLOOKUP(E21,Parser!$Z$5:$AA$28,2,FALSE)</f>
        <v>2304480</v>
      </c>
      <c r="K21" s="129">
        <f>C21*VLOOKUP($E21,Parser!$Z$5:$AA$28,2,FALSE)</f>
        <v>372368</v>
      </c>
      <c r="L21" s="130">
        <f t="shared" si="3"/>
        <v>19.829173228592285</v>
      </c>
      <c r="M21" s="131">
        <f t="shared" si="1"/>
        <v>20.156973274722002</v>
      </c>
      <c r="N21" s="130"/>
      <c r="O21" s="132">
        <f t="shared" si="2"/>
        <v>0.3278000461297168</v>
      </c>
      <c r="P21" s="126"/>
      <c r="Q21" s="136"/>
      <c r="R21" s="136"/>
    </row>
    <row r="22" spans="1:18">
      <c r="A22" s="126" t="s">
        <v>338</v>
      </c>
      <c r="B22" s="126" t="s">
        <v>340</v>
      </c>
      <c r="C22" s="128">
        <v>208080</v>
      </c>
      <c r="D22" s="128">
        <v>1420100</v>
      </c>
      <c r="E22" s="127">
        <v>30</v>
      </c>
      <c r="F22" s="127">
        <v>6</v>
      </c>
      <c r="G22" s="127"/>
      <c r="H22" s="127"/>
      <c r="I22" s="127">
        <v>1</v>
      </c>
      <c r="J22" s="129">
        <f>D22*VLOOKUP(E22,Parser!$Z$5:$AA$28,2,FALSE)</f>
        <v>1893466.6666666665</v>
      </c>
      <c r="K22" s="129">
        <f>C22*VLOOKUP($E22,Parser!$Z$5:$AA$28,2,FALSE)</f>
        <v>277440</v>
      </c>
      <c r="L22" s="130">
        <f t="shared" si="3"/>
        <v>19.265397909895711</v>
      </c>
      <c r="M22" s="131">
        <f t="shared" si="1"/>
        <v>19.413596348600045</v>
      </c>
      <c r="N22" s="130"/>
      <c r="O22" s="132">
        <f t="shared" si="2"/>
        <v>0.14819843870433402</v>
      </c>
      <c r="P22" s="126"/>
      <c r="Q22" s="136"/>
      <c r="R22" s="136"/>
    </row>
    <row r="23" spans="1:18">
      <c r="A23" s="126" t="s">
        <v>338</v>
      </c>
      <c r="B23" s="126" t="s">
        <v>341</v>
      </c>
      <c r="C23" s="128">
        <v>125440</v>
      </c>
      <c r="D23" s="128">
        <v>995100</v>
      </c>
      <c r="E23" s="127">
        <v>32</v>
      </c>
      <c r="F23" s="127">
        <v>8</v>
      </c>
      <c r="G23" s="127"/>
      <c r="H23" s="127"/>
      <c r="I23" s="127">
        <v>1</v>
      </c>
      <c r="J23" s="129">
        <f>D23*VLOOKUP(E23,Parser!$Z$5:$AA$28,2,FALSE)</f>
        <v>1990200</v>
      </c>
      <c r="K23" s="129">
        <f>C23*VLOOKUP($E23,Parser!$Z$5:$AA$28,2,FALSE)</f>
        <v>250880</v>
      </c>
      <c r="L23" s="130">
        <f t="shared" si="3"/>
        <v>19.40678641711396</v>
      </c>
      <c r="M23" s="131">
        <f t="shared" si="1"/>
        <v>18.748124694631105</v>
      </c>
      <c r="N23" s="130"/>
      <c r="O23" s="132">
        <f t="shared" ref="O23:O32" si="4">M23-L23</f>
        <v>-0.65866172248285437</v>
      </c>
      <c r="P23" s="126"/>
      <c r="Q23" s="136"/>
      <c r="R23" s="136"/>
    </row>
    <row r="24" spans="1:18">
      <c r="A24" s="126" t="s">
        <v>337</v>
      </c>
      <c r="B24" s="126" t="s">
        <v>342</v>
      </c>
      <c r="C24" s="128">
        <v>78780</v>
      </c>
      <c r="D24" s="128">
        <v>651720</v>
      </c>
      <c r="E24" s="127">
        <v>33</v>
      </c>
      <c r="F24" s="127">
        <v>7</v>
      </c>
      <c r="G24" s="127"/>
      <c r="H24" s="127"/>
      <c r="I24" s="127">
        <v>1</v>
      </c>
      <c r="J24" s="129">
        <f>D24*VLOOKUP(E24,Parser!$Z$5:$AA$28,2,FALSE)</f>
        <v>1737920</v>
      </c>
      <c r="K24" s="129">
        <f>C24*VLOOKUP($E24,Parser!$Z$5:$AA$28,2,FALSE)</f>
        <v>210080</v>
      </c>
      <c r="L24" s="130">
        <f t="shared" si="3"/>
        <v>19.024667887280074</v>
      </c>
      <c r="M24" s="131">
        <f t="shared" si="1"/>
        <v>18.374239097466088</v>
      </c>
      <c r="N24" s="130"/>
      <c r="O24" s="132">
        <f t="shared" si="4"/>
        <v>-0.65042878981398644</v>
      </c>
      <c r="P24" s="126" t="s">
        <v>343</v>
      </c>
      <c r="Q24" s="136"/>
      <c r="R24" s="136"/>
    </row>
    <row r="25" spans="1:18">
      <c r="A25" s="126" t="s">
        <v>337</v>
      </c>
      <c r="B25" s="134" t="s">
        <v>344</v>
      </c>
      <c r="C25" s="128">
        <v>189240</v>
      </c>
      <c r="D25" s="128">
        <v>778200</v>
      </c>
      <c r="E25" s="127">
        <v>31</v>
      </c>
      <c r="F25" s="127">
        <v>8</v>
      </c>
      <c r="G25" s="127"/>
      <c r="H25" s="127"/>
      <c r="I25" s="127">
        <v>2</v>
      </c>
      <c r="J25" s="129">
        <f>D25*VLOOKUP(E25,Parser!$Z$5:$AA$28,2,FALSE)</f>
        <v>1245120</v>
      </c>
      <c r="K25" s="129">
        <f>C25*VLOOKUP($E25,Parser!$Z$5:$AA$28,2,FALSE)</f>
        <v>302784</v>
      </c>
      <c r="L25" s="130">
        <f t="shared" si="3"/>
        <v>17.641048000395426</v>
      </c>
      <c r="M25" s="131">
        <f t="shared" si="1"/>
        <v>19.326891095573</v>
      </c>
      <c r="N25" s="130"/>
      <c r="O25" s="132">
        <f t="shared" si="4"/>
        <v>1.6858430951775745</v>
      </c>
      <c r="P25" s="126"/>
      <c r="Q25" s="136"/>
      <c r="R25" s="136"/>
    </row>
    <row r="26" spans="1:18">
      <c r="A26" s="126" t="s">
        <v>337</v>
      </c>
      <c r="B26" s="126" t="s">
        <v>345</v>
      </c>
      <c r="C26" s="128">
        <v>226890</v>
      </c>
      <c r="D26" s="128">
        <v>1704600</v>
      </c>
      <c r="E26" s="127">
        <v>30</v>
      </c>
      <c r="F26" s="127">
        <v>6</v>
      </c>
      <c r="G26" s="127"/>
      <c r="H26" s="127"/>
      <c r="I26" s="127">
        <v>2</v>
      </c>
      <c r="J26" s="129">
        <f>D26*VLOOKUP(E26,Parser!$Z$5:$AA$28,2,FALSE)</f>
        <v>2272800</v>
      </c>
      <c r="K26" s="129">
        <f>C26*VLOOKUP($E26,Parser!$Z$5:$AA$28,2,FALSE)</f>
        <v>302520</v>
      </c>
      <c r="L26" s="130">
        <f t="shared" si="3"/>
        <v>19.266194047135425</v>
      </c>
      <c r="M26" s="131">
        <f t="shared" si="1"/>
        <v>19.687553277624605</v>
      </c>
      <c r="N26" s="130"/>
      <c r="O26" s="132">
        <f t="shared" si="4"/>
        <v>0.42135923048918045</v>
      </c>
      <c r="P26" s="126"/>
      <c r="Q26" s="136"/>
      <c r="R26" s="136"/>
    </row>
    <row r="27" spans="1:18">
      <c r="A27" s="126" t="s">
        <v>338</v>
      </c>
      <c r="B27" s="126" t="s">
        <v>346</v>
      </c>
      <c r="C27" s="128">
        <v>266630</v>
      </c>
      <c r="D27" s="128">
        <v>1494700</v>
      </c>
      <c r="E27" s="127">
        <v>27</v>
      </c>
      <c r="F27" s="127">
        <v>6</v>
      </c>
      <c r="G27" s="127"/>
      <c r="H27" s="127"/>
      <c r="I27" s="127">
        <v>1</v>
      </c>
      <c r="J27" s="129">
        <f>D27*VLOOKUP(E27,Parser!$Z$5:$AA$28,2,FALSE)</f>
        <v>1494700</v>
      </c>
      <c r="K27" s="129">
        <f>C27*VLOOKUP($E27,Parser!$Z$5:$AA$28,2,FALSE)</f>
        <v>266630</v>
      </c>
      <c r="L27" s="130">
        <f t="shared" si="3"/>
        <v>18.60887602226703</v>
      </c>
      <c r="M27" s="131">
        <f t="shared" si="1"/>
        <v>19.289137092291366</v>
      </c>
      <c r="N27" s="130"/>
      <c r="O27" s="132">
        <f t="shared" si="4"/>
        <v>0.68026107002433633</v>
      </c>
      <c r="P27" s="126"/>
      <c r="Q27" s="136"/>
      <c r="R27" s="136"/>
    </row>
    <row r="28" spans="1:18">
      <c r="A28" s="126" t="s">
        <v>337</v>
      </c>
      <c r="B28" s="126" t="s">
        <v>347</v>
      </c>
      <c r="C28" s="128">
        <v>361820</v>
      </c>
      <c r="D28" s="128">
        <v>1045700</v>
      </c>
      <c r="E28" s="127">
        <v>29</v>
      </c>
      <c r="F28" s="127">
        <v>7</v>
      </c>
      <c r="G28" s="127"/>
      <c r="H28" s="127"/>
      <c r="I28" s="127">
        <v>1</v>
      </c>
      <c r="J28" s="129">
        <f>D28*VLOOKUP(E28,Parser!$Z$5:$AA$28,2,FALSE)</f>
        <v>1195085.7142857143</v>
      </c>
      <c r="K28" s="129">
        <f>C28*VLOOKUP($E28,Parser!$Z$5:$AA$28,2,FALSE)</f>
        <v>413508.57142857142</v>
      </c>
      <c r="L28" s="130">
        <f t="shared" si="3"/>
        <v>18.009330126873294</v>
      </c>
      <c r="M28" s="131">
        <f t="shared" si="1"/>
        <v>20.502643147925887</v>
      </c>
      <c r="N28" s="130"/>
      <c r="O28" s="132">
        <f t="shared" si="4"/>
        <v>2.4933130210525931</v>
      </c>
      <c r="P28" s="126"/>
      <c r="Q28" s="136"/>
      <c r="R28" s="136"/>
    </row>
    <row r="29" spans="1:18">
      <c r="A29" s="126" t="s">
        <v>337</v>
      </c>
      <c r="B29" s="134" t="s">
        <v>348</v>
      </c>
      <c r="C29" s="128">
        <v>108020</v>
      </c>
      <c r="D29" s="128">
        <v>337080</v>
      </c>
      <c r="E29" s="127">
        <v>32</v>
      </c>
      <c r="F29" s="127">
        <v>8</v>
      </c>
      <c r="G29" s="127"/>
      <c r="H29" s="127"/>
      <c r="I29" s="127">
        <v>2</v>
      </c>
      <c r="J29" s="129">
        <f>D29*VLOOKUP(E29,Parser!$Z$5:$AA$28,2,FALSE)</f>
        <v>674160</v>
      </c>
      <c r="K29" s="129">
        <f>C29*VLOOKUP($E29,Parser!$Z$5:$AA$28,2,FALSE)</f>
        <v>216040</v>
      </c>
      <c r="L29" s="130">
        <f t="shared" si="3"/>
        <v>16.130773257380099</v>
      </c>
      <c r="M29" s="131">
        <f t="shared" si="1"/>
        <v>18.301029514791498</v>
      </c>
      <c r="N29" s="130"/>
      <c r="O29" s="132">
        <f t="shared" si="4"/>
        <v>2.170256257411399</v>
      </c>
      <c r="P29" s="126"/>
      <c r="Q29" s="136"/>
      <c r="R29" s="136"/>
    </row>
    <row r="30" spans="1:18">
      <c r="A30" s="126" t="s">
        <v>337</v>
      </c>
      <c r="B30" s="126" t="s">
        <v>350</v>
      </c>
      <c r="C30" s="128">
        <v>488530</v>
      </c>
      <c r="D30" s="128">
        <v>3532440</v>
      </c>
      <c r="E30" s="127">
        <v>27</v>
      </c>
      <c r="F30" s="127">
        <v>8</v>
      </c>
      <c r="G30" s="127"/>
      <c r="H30" s="127"/>
      <c r="I30" s="127">
        <v>2</v>
      </c>
      <c r="J30" s="129">
        <f>D30*VLOOKUP(E30,Parser!$Z$5:$AA$28,2,FALSE)</f>
        <v>3532440</v>
      </c>
      <c r="K30" s="129">
        <f>C30*VLOOKUP($E30,Parser!$Z$5:$AA$28,2,FALSE)</f>
        <v>488530</v>
      </c>
      <c r="L30" s="130">
        <f t="shared" si="3"/>
        <v>20.555995963393258</v>
      </c>
      <c r="M30" s="131">
        <f t="shared" si="1"/>
        <v>20.885771131056078</v>
      </c>
      <c r="N30" s="130"/>
      <c r="O30" s="132">
        <f t="shared" si="4"/>
        <v>0.32977516766282022</v>
      </c>
      <c r="P30" s="126"/>
      <c r="Q30" s="136"/>
      <c r="R30" s="136"/>
    </row>
    <row r="31" spans="1:18">
      <c r="A31" s="126" t="s">
        <v>337</v>
      </c>
      <c r="B31" s="126" t="s">
        <v>332</v>
      </c>
      <c r="C31" s="128">
        <v>198900</v>
      </c>
      <c r="D31" s="128">
        <v>1984920</v>
      </c>
      <c r="E31" s="127">
        <v>31</v>
      </c>
      <c r="F31" s="127">
        <v>7</v>
      </c>
      <c r="G31" s="127"/>
      <c r="H31" s="127"/>
      <c r="I31" s="127">
        <v>2</v>
      </c>
      <c r="J31" s="129">
        <f>D31*VLOOKUP(E31,Parser!$Z$5:$AA$28,2,FALSE)</f>
        <v>3175872</v>
      </c>
      <c r="K31" s="129">
        <f>C31*VLOOKUP($E31,Parser!$Z$5:$AA$28,2,FALSE)</f>
        <v>318240</v>
      </c>
      <c r="L31" s="130">
        <f t="shared" si="3"/>
        <v>20.236721579406847</v>
      </c>
      <c r="M31" s="131">
        <f t="shared" si="1"/>
        <v>19.650293342145353</v>
      </c>
      <c r="N31" s="130">
        <v>19</v>
      </c>
      <c r="O31" s="132">
        <f t="shared" si="4"/>
        <v>-0.58642823726149373</v>
      </c>
      <c r="P31" s="126"/>
      <c r="Q31" s="136"/>
      <c r="R31" s="136"/>
    </row>
    <row r="32" spans="1:18">
      <c r="A32" s="126"/>
      <c r="B32" s="126" t="s">
        <v>429</v>
      </c>
      <c r="C32" s="128">
        <v>179130</v>
      </c>
      <c r="D32" s="128">
        <v>1815480</v>
      </c>
      <c r="E32" s="127">
        <v>28</v>
      </c>
      <c r="F32" s="127">
        <v>5</v>
      </c>
      <c r="G32" s="127"/>
      <c r="H32" s="127"/>
      <c r="I32" s="127">
        <v>2</v>
      </c>
      <c r="J32" s="129">
        <f>D32*VLOOKUP(E32,Parser!$Z$5:$AA$28,2,FALSE)</f>
        <v>1815480</v>
      </c>
      <c r="K32" s="129">
        <f>C32*VLOOKUP($E32,Parser!$Z$5:$AA$28,2,FALSE)</f>
        <v>179130</v>
      </c>
      <c r="L32" s="130">
        <f t="shared" si="3"/>
        <v>18.64190107457927</v>
      </c>
      <c r="M32" s="131">
        <f t="shared" si="1"/>
        <v>18.312951913255834</v>
      </c>
      <c r="N32" s="130"/>
      <c r="O32" s="132">
        <f t="shared" si="4"/>
        <v>-0.3289491613234361</v>
      </c>
      <c r="P32" s="126"/>
      <c r="Q32" s="136"/>
      <c r="R32" s="136"/>
    </row>
    <row r="33" spans="1:18">
      <c r="A33" s="126"/>
      <c r="B33" s="126" t="s">
        <v>430</v>
      </c>
      <c r="C33" s="128">
        <v>240000</v>
      </c>
      <c r="D33" s="128">
        <v>2270040</v>
      </c>
      <c r="E33" s="127">
        <v>28</v>
      </c>
      <c r="F33" s="127">
        <v>6</v>
      </c>
      <c r="G33" s="127"/>
      <c r="H33" s="127"/>
      <c r="I33" s="127">
        <v>2</v>
      </c>
      <c r="J33" s="129">
        <f>D33*VLOOKUP(E33,Parser!$Z$5:$AA$28,2,FALSE)</f>
        <v>2270040</v>
      </c>
      <c r="K33" s="129">
        <f>C33*VLOOKUP($E33,Parser!$Z$5:$AA$28,2,FALSE)</f>
        <v>240000</v>
      </c>
      <c r="L33" s="130">
        <f t="shared" ref="L33:L39" si="5">IF((J33/10)&lt;250*(0.8+0.200001*I33),0,(((J33/10)/(0.8+0.2*I33)-250)/0.0013)^(1/6.47)+1)</f>
        <v>19.262759348641861</v>
      </c>
      <c r="M33" s="131">
        <f t="shared" si="1"/>
        <v>18.963665557503166</v>
      </c>
      <c r="N33" s="130"/>
      <c r="O33" s="132">
        <f t="shared" ref="O33:O40" si="6">M33-L33</f>
        <v>-0.29909379113869505</v>
      </c>
      <c r="P33" s="126"/>
      <c r="Q33" s="136"/>
      <c r="R33" s="136"/>
    </row>
    <row r="34" spans="1:18">
      <c r="A34" s="126"/>
      <c r="B34" s="134" t="s">
        <v>434</v>
      </c>
      <c r="C34" s="128">
        <v>332550</v>
      </c>
      <c r="D34" s="128">
        <v>1141900</v>
      </c>
      <c r="E34" s="127">
        <v>31</v>
      </c>
      <c r="F34" s="127">
        <v>7</v>
      </c>
      <c r="G34" s="127"/>
      <c r="H34" s="127"/>
      <c r="I34" s="127">
        <v>1</v>
      </c>
      <c r="J34" s="129">
        <f>D34*VLOOKUP(E34,Parser!$Z$5:$AA$28,2,FALSE)</f>
        <v>1827040</v>
      </c>
      <c r="K34" s="129">
        <f>C34*VLOOKUP($E34,Parser!$Z$5:$AA$28,2,FALSE)</f>
        <v>532080</v>
      </c>
      <c r="L34" s="130">
        <f>IF((J34/10)&lt;250*(0.8+0.200001*I34),0,(((J34/10)/(0.8+0.2*I34)-250)/0.0013)^(1/6.47)+1)</f>
        <v>19.16472192053995</v>
      </c>
      <c r="M34" s="131">
        <f t="shared" si="1"/>
        <v>21.3600193932552</v>
      </c>
      <c r="N34" s="130"/>
      <c r="O34" s="132">
        <f t="shared" si="6"/>
        <v>2.1952974727152501</v>
      </c>
      <c r="P34" s="126"/>
      <c r="Q34" s="136"/>
      <c r="R34" s="136"/>
    </row>
    <row r="35" spans="1:18">
      <c r="A35" s="126"/>
      <c r="B35" t="s">
        <v>435</v>
      </c>
      <c r="C35" s="128">
        <v>275040</v>
      </c>
      <c r="D35" s="128">
        <v>934700</v>
      </c>
      <c r="E35" s="127">
        <v>31</v>
      </c>
      <c r="F35" s="127">
        <v>6</v>
      </c>
      <c r="G35" s="127"/>
      <c r="H35" s="127"/>
      <c r="I35" s="127">
        <v>1</v>
      </c>
      <c r="J35" s="129">
        <f>D35*VLOOKUP(E35,Parser!$Z$5:$AA$28,2,FALSE)</f>
        <v>1495520</v>
      </c>
      <c r="K35" s="129">
        <f>C35*VLOOKUP($E35,Parser!$Z$5:$AA$28,2,FALSE)</f>
        <v>440064</v>
      </c>
      <c r="L35" s="130">
        <f>IF((J35/10)&lt;250*(0.8+0.200001*I35),0,(((J35/10)/(0.8+0.2*I35)-250)/0.0013)^(1/6.47)+1)</f>
        <v>18.610371270541002</v>
      </c>
      <c r="M35" s="131">
        <f t="shared" si="1"/>
        <v>20.921750034247381</v>
      </c>
      <c r="N35" s="130"/>
      <c r="O35" s="132">
        <f t="shared" si="6"/>
        <v>2.3113787637063794</v>
      </c>
      <c r="P35" s="126"/>
      <c r="Q35" s="136"/>
      <c r="R35" s="136"/>
    </row>
    <row r="36" spans="1:18">
      <c r="A36" s="126"/>
      <c r="B36" s="134" t="s">
        <v>436</v>
      </c>
      <c r="C36" s="128">
        <v>312650</v>
      </c>
      <c r="D36" s="128">
        <v>1185100</v>
      </c>
      <c r="E36" s="127">
        <v>31</v>
      </c>
      <c r="F36" s="127">
        <v>6</v>
      </c>
      <c r="G36" s="127"/>
      <c r="H36" s="127"/>
      <c r="I36" s="127">
        <v>1</v>
      </c>
      <c r="J36" s="129">
        <f>D36*VLOOKUP(E36,Parser!$Z$5:$AA$28,2,FALSE)</f>
        <v>1896160</v>
      </c>
      <c r="K36" s="129">
        <f>C36*VLOOKUP($E36,Parser!$Z$5:$AA$28,2,FALSE)</f>
        <v>500240</v>
      </c>
      <c r="L36" s="130">
        <f t="shared" si="5"/>
        <v>19.269416463417837</v>
      </c>
      <c r="M36" s="131">
        <f t="shared" si="1"/>
        <v>21.362271286262995</v>
      </c>
      <c r="N36" s="130"/>
      <c r="O36" s="132">
        <f t="shared" si="6"/>
        <v>2.0928548228451582</v>
      </c>
      <c r="P36" s="126"/>
      <c r="Q36" s="136"/>
      <c r="R36" s="136"/>
    </row>
    <row r="37" spans="1:18">
      <c r="A37" s="126"/>
      <c r="B37" s="126" t="s">
        <v>437</v>
      </c>
      <c r="C37" s="128">
        <v>220970</v>
      </c>
      <c r="D37" s="128">
        <v>1500500</v>
      </c>
      <c r="E37" s="127">
        <v>30</v>
      </c>
      <c r="F37" s="127">
        <v>8</v>
      </c>
      <c r="G37" s="127">
        <v>8</v>
      </c>
      <c r="H37" s="127">
        <v>13</v>
      </c>
      <c r="I37" s="127">
        <v>1</v>
      </c>
      <c r="J37" s="129">
        <f>D37*VLOOKUP(E37,Parser!$Z$5:$AA$28,2,FALSE)</f>
        <v>2000666.6666666665</v>
      </c>
      <c r="K37" s="129">
        <f>C37*VLOOKUP($E37,Parser!$Z$5:$AA$28,2,FALSE)</f>
        <v>294626.66666666663</v>
      </c>
      <c r="L37" s="130">
        <f t="shared" si="5"/>
        <v>19.421733849237757</v>
      </c>
      <c r="M37" s="131">
        <f t="shared" si="1"/>
        <v>19.241676932738695</v>
      </c>
      <c r="N37" s="130"/>
      <c r="O37" s="132">
        <f t="shared" si="6"/>
        <v>-0.18005691649906197</v>
      </c>
      <c r="P37" s="126"/>
      <c r="Q37" s="136">
        <f t="shared" ref="Q37:Q45" si="7">(L37-1)*SQRT(IF((F37-1)&gt;7,7,(F37-1))/7)*SQRT(IF((G37-1)&gt;7,7,(G37-1))/7)*(1+SQRT((H37-1))*9/100)</f>
        <v>24.165062067508167</v>
      </c>
      <c r="R37" s="136">
        <f t="shared" ref="R37:R45" si="8">(M37-1)*SQRT(IF((F37-1)&gt;7,7,(F37-1))/7)*SQRT(IF((G37-1)&gt;7,7,(G37-1))/7)*(1+SQRT((H37-1))*9/100)</f>
        <v>23.928868960035604</v>
      </c>
    </row>
    <row r="38" spans="1:18">
      <c r="A38" s="126"/>
      <c r="B38" s="126" t="s">
        <v>331</v>
      </c>
      <c r="C38" s="128">
        <v>242570</v>
      </c>
      <c r="D38" s="128">
        <v>1636700</v>
      </c>
      <c r="E38" s="127">
        <v>30</v>
      </c>
      <c r="F38" s="127">
        <v>8</v>
      </c>
      <c r="G38" s="127">
        <v>8</v>
      </c>
      <c r="H38" s="127">
        <v>14</v>
      </c>
      <c r="I38" s="127">
        <v>1</v>
      </c>
      <c r="J38" s="129">
        <f>D38*VLOOKUP(E38,Parser!$Z$5:$AA$28,2,FALSE)</f>
        <v>2182266.6666666665</v>
      </c>
      <c r="K38" s="129">
        <f>C38*VLOOKUP($E38,Parser!$Z$5:$AA$28,2,FALSE)</f>
        <v>323426.66666666663</v>
      </c>
      <c r="L38" s="130">
        <f t="shared" si="5"/>
        <v>19.67108252071251</v>
      </c>
      <c r="M38" s="131">
        <f t="shared" si="1"/>
        <v>19.534320407415276</v>
      </c>
      <c r="N38" s="130"/>
      <c r="O38" s="132">
        <f t="shared" si="6"/>
        <v>-0.13676211329723387</v>
      </c>
      <c r="P38" s="126"/>
      <c r="Q38" s="136">
        <f t="shared" si="7"/>
        <v>24.729841606428867</v>
      </c>
      <c r="R38" s="136">
        <f t="shared" si="8"/>
        <v>24.548700240048575</v>
      </c>
    </row>
    <row r="39" spans="1:18">
      <c r="A39" s="126"/>
      <c r="B39" s="126" t="s">
        <v>440</v>
      </c>
      <c r="C39" s="128">
        <v>327220</v>
      </c>
      <c r="D39" s="128">
        <v>1955160</v>
      </c>
      <c r="E39" s="127">
        <v>27</v>
      </c>
      <c r="F39" s="127">
        <v>7</v>
      </c>
      <c r="G39" s="127">
        <v>7</v>
      </c>
      <c r="H39" s="127">
        <v>7</v>
      </c>
      <c r="I39" s="127">
        <v>2</v>
      </c>
      <c r="J39" s="129">
        <f>D39*VLOOKUP(E39,Parser!$Z$5:$AA$28,2,FALSE)</f>
        <v>1955160</v>
      </c>
      <c r="K39" s="129">
        <f>C39*VLOOKUP($E39,Parser!$Z$5:$AA$28,2,FALSE)</f>
        <v>327220</v>
      </c>
      <c r="L39" s="130">
        <f t="shared" si="5"/>
        <v>18.845499929355235</v>
      </c>
      <c r="M39" s="131">
        <f t="shared" si="1"/>
        <v>19.73906710533829</v>
      </c>
      <c r="N39" s="130"/>
      <c r="O39" s="132">
        <f t="shared" si="6"/>
        <v>0.8935671759830548</v>
      </c>
      <c r="P39" s="126"/>
      <c r="Q39" s="136">
        <f t="shared" si="7"/>
        <v>18.668239836185705</v>
      </c>
      <c r="R39" s="136">
        <f t="shared" si="8"/>
        <v>19.603003581501383</v>
      </c>
    </row>
    <row r="40" spans="1:18">
      <c r="A40" s="126"/>
      <c r="B40" s="126" t="s">
        <v>556</v>
      </c>
      <c r="C40" s="128">
        <v>32010</v>
      </c>
      <c r="D40" s="128">
        <v>204600</v>
      </c>
      <c r="E40" s="127">
        <v>20</v>
      </c>
      <c r="F40" s="127">
        <v>6</v>
      </c>
      <c r="G40" s="127">
        <v>7</v>
      </c>
      <c r="H40" s="127">
        <v>3</v>
      </c>
      <c r="I40" s="127">
        <v>2</v>
      </c>
      <c r="J40" s="129">
        <f>D40*VLOOKUP(E40,Parser!$Z$5:$AA$28,2,FALSE)</f>
        <v>204600</v>
      </c>
      <c r="K40" s="129">
        <f>C40*VLOOKUP($E40,Parser!$Z$5:$AA$28,2,FALSE)</f>
        <v>32010</v>
      </c>
      <c r="L40" s="130">
        <f t="shared" ref="L40:L45" si="9">IF((J40/10)&lt;250*(0.8+0.200001*I40),0,(((J40/10)/(0.8+0.2*I40)-250)/0.0013)^(1/6.47)+1)</f>
        <v>13.564036830749425</v>
      </c>
      <c r="M40" s="131">
        <f t="shared" si="1"/>
        <v>13.737677721840893</v>
      </c>
      <c r="N40" s="130"/>
      <c r="O40" s="132">
        <f t="shared" si="6"/>
        <v>0.17364089109146796</v>
      </c>
      <c r="P40" s="126"/>
      <c r="Q40" s="136">
        <f t="shared" si="7"/>
        <v>11.082131261209287</v>
      </c>
      <c r="R40" s="136">
        <f t="shared" si="8"/>
        <v>11.23529152118874</v>
      </c>
    </row>
    <row r="41" spans="1:18">
      <c r="A41" s="126"/>
      <c r="B41" s="126"/>
      <c r="C41" s="128">
        <v>2150</v>
      </c>
      <c r="D41" s="128"/>
      <c r="E41" s="127">
        <v>35</v>
      </c>
      <c r="F41" s="127">
        <v>5</v>
      </c>
      <c r="G41" s="127">
        <v>5</v>
      </c>
      <c r="H41" s="127">
        <v>12</v>
      </c>
      <c r="I41" s="127">
        <v>1</v>
      </c>
      <c r="J41" s="129">
        <f>D41*VLOOKUP(E41,Parser!$Z$5:$AA$28,2,FALSE)</f>
        <v>0</v>
      </c>
      <c r="K41" s="129">
        <f>C41*VLOOKUP($E41,Parser!$Z$5:$AA$28,2,FALSE)</f>
        <v>17200</v>
      </c>
      <c r="L41" s="130">
        <f t="shared" si="9"/>
        <v>0</v>
      </c>
      <c r="M41" s="131">
        <f t="shared" si="1"/>
        <v>12.606798377701827</v>
      </c>
      <c r="N41" s="130"/>
      <c r="O41" s="132">
        <f>M41-L41</f>
        <v>12.606798377701827</v>
      </c>
      <c r="P41" s="126"/>
      <c r="Q41" s="136">
        <f t="shared" si="7"/>
        <v>-0.74199784636113475</v>
      </c>
      <c r="R41" s="136">
        <f t="shared" si="8"/>
        <v>8.6122193994026688</v>
      </c>
    </row>
    <row r="42" spans="1:18">
      <c r="A42" s="126"/>
      <c r="B42" s="126"/>
      <c r="C42" s="128">
        <v>4790</v>
      </c>
      <c r="D42" s="128"/>
      <c r="E42" s="127">
        <v>21</v>
      </c>
      <c r="F42" s="127">
        <v>6</v>
      </c>
      <c r="G42" s="127">
        <v>7</v>
      </c>
      <c r="H42" s="127">
        <v>2</v>
      </c>
      <c r="I42" s="127">
        <v>1</v>
      </c>
      <c r="J42" s="129">
        <f>D42*VLOOKUP(E42,Parser!$Z$5:$AA$28,2,FALSE)</f>
        <v>0</v>
      </c>
      <c r="K42" s="129">
        <f>C42*VLOOKUP($E42,Parser!$Z$5:$AA$28,2,FALSE)</f>
        <v>4790</v>
      </c>
      <c r="L42" s="130">
        <f t="shared" si="9"/>
        <v>0</v>
      </c>
      <c r="M42" s="131">
        <f t="shared" si="1"/>
        <v>10.211148386196502</v>
      </c>
      <c r="N42" s="130"/>
      <c r="O42" s="132">
        <f>M42-L42</f>
        <v>10.211148386196502</v>
      </c>
      <c r="P42" s="126"/>
      <c r="Q42" s="136">
        <f t="shared" si="7"/>
        <v>-0.8528822681151873</v>
      </c>
      <c r="R42" s="136">
        <f t="shared" si="8"/>
        <v>7.856025127564819</v>
      </c>
    </row>
    <row r="43" spans="1:18">
      <c r="A43" s="126"/>
      <c r="B43" s="126" t="s">
        <v>477</v>
      </c>
      <c r="C43" s="128">
        <v>217850</v>
      </c>
      <c r="D43" s="128">
        <v>2608440</v>
      </c>
      <c r="E43" s="127">
        <v>31</v>
      </c>
      <c r="F43" s="127">
        <v>7.5</v>
      </c>
      <c r="G43" s="127">
        <v>7.5</v>
      </c>
      <c r="H43" s="127">
        <v>19.5</v>
      </c>
      <c r="I43" s="127">
        <v>2</v>
      </c>
      <c r="J43" s="129">
        <f>D43*VLOOKUP(E43,Parser!$Z$5:$AA$28,2,FALSE)</f>
        <v>4173504</v>
      </c>
      <c r="K43" s="129">
        <f>C43*VLOOKUP($E43,Parser!$Z$5:$AA$28,2,FALSE)</f>
        <v>348560</v>
      </c>
      <c r="L43" s="130">
        <f t="shared" si="9"/>
        <v>21.067017767283943</v>
      </c>
      <c r="M43" s="131">
        <f t="shared" si="1"/>
        <v>19.85390831054811</v>
      </c>
      <c r="N43" s="130"/>
      <c r="O43" s="132">
        <f>M43-L43</f>
        <v>-1.2131094567358325</v>
      </c>
      <c r="P43" s="126"/>
      <c r="Q43" s="136">
        <f t="shared" si="7"/>
        <v>25.846835296378984</v>
      </c>
      <c r="R43" s="136">
        <f t="shared" si="8"/>
        <v>24.284319097492162</v>
      </c>
    </row>
    <row r="44" spans="1:18">
      <c r="A44" s="126"/>
      <c r="B44" s="126" t="s">
        <v>485</v>
      </c>
      <c r="C44" s="128">
        <v>221880</v>
      </c>
      <c r="D44" s="128">
        <v>1408500</v>
      </c>
      <c r="E44" s="127">
        <v>28</v>
      </c>
      <c r="F44" s="127">
        <v>6</v>
      </c>
      <c r="G44" s="127">
        <v>7</v>
      </c>
      <c r="H44" s="127">
        <v>9</v>
      </c>
      <c r="I44" s="127">
        <v>1</v>
      </c>
      <c r="J44" s="129">
        <f>D44*VLOOKUP(E44,Parser!$Z$5:$AA$28,2,FALSE)</f>
        <v>1408500</v>
      </c>
      <c r="K44" s="129">
        <f>C44*VLOOKUP($E44,Parser!$Z$5:$AA$28,2,FALSE)</f>
        <v>221880</v>
      </c>
      <c r="L44" s="130">
        <f t="shared" si="9"/>
        <v>18.447674601595466</v>
      </c>
      <c r="M44" s="131">
        <f t="shared" si="1"/>
        <v>18.724623889991673</v>
      </c>
      <c r="N44" s="130"/>
      <c r="O44" s="132">
        <f>M44-L44</f>
        <v>0.27694928839620658</v>
      </c>
      <c r="P44" s="126"/>
      <c r="Q44" s="136">
        <f t="shared" si="7"/>
        <v>17.127384098766729</v>
      </c>
      <c r="R44" s="136">
        <f t="shared" si="8"/>
        <v>17.399249372882295</v>
      </c>
    </row>
    <row r="45" spans="1:18">
      <c r="A45" s="126"/>
      <c r="B45" s="126" t="s">
        <v>547</v>
      </c>
      <c r="C45" s="128">
        <v>124020</v>
      </c>
      <c r="D45" s="128">
        <v>631560</v>
      </c>
      <c r="E45" s="127">
        <v>31</v>
      </c>
      <c r="F45" s="127">
        <v>8</v>
      </c>
      <c r="G45" s="127">
        <v>7</v>
      </c>
      <c r="H45" s="127">
        <v>14</v>
      </c>
      <c r="I45" s="127">
        <v>2</v>
      </c>
      <c r="J45" s="129">
        <f>D45*VLOOKUP(E45,Parser!$Z$5:$AA$28,2,FALSE)</f>
        <v>1010496</v>
      </c>
      <c r="K45" s="129">
        <f>C45*VLOOKUP($E45,Parser!$Z$5:$AA$28,2,FALSE)</f>
        <v>198432</v>
      </c>
      <c r="L45" s="130">
        <f t="shared" si="9"/>
        <v>17.111207402561195</v>
      </c>
      <c r="M45" s="131">
        <f>((K45/((0.5768*(F45-1)^0.342)*0.0107))^(1/5.86))+1</f>
        <v>18.051837532830195</v>
      </c>
      <c r="N45" s="130"/>
      <c r="O45" s="132">
        <f>M45-L45</f>
        <v>0.94063013026899966</v>
      </c>
      <c r="P45" s="126"/>
      <c r="Q45" s="136">
        <f t="shared" si="7"/>
        <v>19.756341743867257</v>
      </c>
      <c r="R45" s="136">
        <f t="shared" si="8"/>
        <v>20.909787903663979</v>
      </c>
    </row>
    <row r="46" spans="1:18">
      <c r="A46" s="126"/>
      <c r="B46" s="126"/>
      <c r="C46" s="128"/>
      <c r="D46" s="128"/>
      <c r="E46" s="127"/>
      <c r="F46" s="127"/>
      <c r="G46" s="127"/>
      <c r="H46" s="127"/>
      <c r="I46" s="127"/>
      <c r="J46" s="129" t="e">
        <f>D46*VLOOKUP(E46,Parser!$Z$5:$AA$28,2,FALSE)</f>
        <v>#N/A</v>
      </c>
      <c r="K46" s="129" t="e">
        <f>C46*VLOOKUP($E46,Parser!$Z$5:$AA$28,2,FALSE)</f>
        <v>#N/A</v>
      </c>
      <c r="L46" s="130" t="e">
        <f t="shared" ref="L46:L60" si="10">IF((J46/10)&lt;250*(0.8+0.200001*I46),0,(((J46/10)/(0.8+0.2*I46)-250)/0.0013)^(1/6.47)+1)</f>
        <v>#N/A</v>
      </c>
      <c r="M46" s="131" t="e">
        <f t="shared" ref="M46:M60" si="11">((K46/((0.5768*(F46-1)^0.342)*0.0107))^(1/5.86))+1</f>
        <v>#N/A</v>
      </c>
      <c r="N46" s="130"/>
      <c r="O46" s="132" t="e">
        <f t="shared" ref="O46:O60" si="12">M46-L46</f>
        <v>#N/A</v>
      </c>
      <c r="P46" s="126"/>
      <c r="Q46" s="136" t="e">
        <f t="shared" ref="Q46:Q60" si="13">(L46-1)*SQRT(IF((F46-1)&gt;7,7,(F46-1))/7)*SQRT(IF((G46-1)&gt;7,7,(G46-1))/7)*(1+SQRT((H46-1))*9/100)</f>
        <v>#N/A</v>
      </c>
      <c r="R46" s="136" t="e">
        <f t="shared" ref="R46:R60" si="14">(M46-1)*SQRT(IF((F46-1)&gt;7,7,(F46-1))/7)*SQRT(IF((G46-1)&gt;7,7,(G46-1))/7)*(1+SQRT((H46-1))*9/100)</f>
        <v>#N/A</v>
      </c>
    </row>
    <row r="47" spans="1:18">
      <c r="A47" s="126"/>
      <c r="B47" s="126"/>
      <c r="C47" s="128"/>
      <c r="D47" s="128"/>
      <c r="E47" s="127"/>
      <c r="F47" s="127"/>
      <c r="G47" s="127"/>
      <c r="H47" s="127"/>
      <c r="I47" s="127"/>
      <c r="J47" s="129" t="e">
        <f>D47*VLOOKUP(E47,Parser!$Z$5:$AA$28,2,FALSE)</f>
        <v>#N/A</v>
      </c>
      <c r="K47" s="129" t="e">
        <f>C47*VLOOKUP($E47,Parser!$Z$5:$AA$28,2,FALSE)</f>
        <v>#N/A</v>
      </c>
      <c r="L47" s="130" t="e">
        <f t="shared" si="10"/>
        <v>#N/A</v>
      </c>
      <c r="M47" s="131" t="e">
        <f t="shared" si="11"/>
        <v>#N/A</v>
      </c>
      <c r="N47" s="130"/>
      <c r="O47" s="132" t="e">
        <f t="shared" si="12"/>
        <v>#N/A</v>
      </c>
      <c r="P47" s="126"/>
      <c r="Q47" s="136" t="e">
        <f t="shared" si="13"/>
        <v>#N/A</v>
      </c>
      <c r="R47" s="136" t="e">
        <f t="shared" si="14"/>
        <v>#N/A</v>
      </c>
    </row>
    <row r="48" spans="1:18">
      <c r="A48" s="126"/>
      <c r="B48" s="126"/>
      <c r="C48" s="128"/>
      <c r="D48" s="128"/>
      <c r="E48" s="127"/>
      <c r="F48" s="127"/>
      <c r="G48" s="127"/>
      <c r="H48" s="127"/>
      <c r="I48" s="127"/>
      <c r="J48" s="129" t="e">
        <f>D48*VLOOKUP(E48,Parser!$Z$5:$AA$28,2,FALSE)</f>
        <v>#N/A</v>
      </c>
      <c r="K48" s="129" t="e">
        <f>C48*VLOOKUP($E48,Parser!$Z$5:$AA$28,2,FALSE)</f>
        <v>#N/A</v>
      </c>
      <c r="L48" s="130" t="e">
        <f t="shared" si="10"/>
        <v>#N/A</v>
      </c>
      <c r="M48" s="131" t="e">
        <f t="shared" si="11"/>
        <v>#N/A</v>
      </c>
      <c r="N48" s="130"/>
      <c r="O48" s="132" t="e">
        <f t="shared" si="12"/>
        <v>#N/A</v>
      </c>
      <c r="P48" s="126"/>
      <c r="Q48" s="136" t="e">
        <f t="shared" si="13"/>
        <v>#N/A</v>
      </c>
      <c r="R48" s="136" t="e">
        <f t="shared" si="14"/>
        <v>#N/A</v>
      </c>
    </row>
    <row r="49" spans="1:18">
      <c r="A49" s="126"/>
      <c r="B49" s="126"/>
      <c r="C49" s="128"/>
      <c r="D49" s="128"/>
      <c r="E49" s="127"/>
      <c r="F49" s="127"/>
      <c r="G49" s="127"/>
      <c r="H49" s="127"/>
      <c r="I49" s="127"/>
      <c r="J49" s="129" t="e">
        <f>D49*VLOOKUP(E49,Parser!$Z$5:$AA$28,2,FALSE)</f>
        <v>#N/A</v>
      </c>
      <c r="K49" s="129" t="e">
        <f>C49*VLOOKUP($E49,Parser!$Z$5:$AA$28,2,FALSE)</f>
        <v>#N/A</v>
      </c>
      <c r="L49" s="130" t="e">
        <f t="shared" si="10"/>
        <v>#N/A</v>
      </c>
      <c r="M49" s="131" t="e">
        <f t="shared" si="11"/>
        <v>#N/A</v>
      </c>
      <c r="N49" s="130"/>
      <c r="O49" s="132" t="e">
        <f t="shared" si="12"/>
        <v>#N/A</v>
      </c>
      <c r="P49" s="126"/>
      <c r="Q49" s="136" t="e">
        <f t="shared" si="13"/>
        <v>#N/A</v>
      </c>
      <c r="R49" s="136" t="e">
        <f t="shared" si="14"/>
        <v>#N/A</v>
      </c>
    </row>
    <row r="50" spans="1:18">
      <c r="A50" s="126"/>
      <c r="B50" s="126"/>
      <c r="C50" s="128"/>
      <c r="D50" s="128"/>
      <c r="E50" s="127"/>
      <c r="F50" s="127"/>
      <c r="G50" s="127"/>
      <c r="H50" s="127"/>
      <c r="I50" s="127"/>
      <c r="J50" s="129" t="e">
        <f>D50*VLOOKUP(E50,Parser!$Z$5:$AA$28,2,FALSE)</f>
        <v>#N/A</v>
      </c>
      <c r="K50" s="129" t="e">
        <f>C50*VLOOKUP($E50,Parser!$Z$5:$AA$28,2,FALSE)</f>
        <v>#N/A</v>
      </c>
      <c r="L50" s="130" t="e">
        <f t="shared" si="10"/>
        <v>#N/A</v>
      </c>
      <c r="M50" s="131" t="e">
        <f t="shared" si="11"/>
        <v>#N/A</v>
      </c>
      <c r="N50" s="130"/>
      <c r="O50" s="132" t="e">
        <f t="shared" si="12"/>
        <v>#N/A</v>
      </c>
      <c r="P50" s="126"/>
      <c r="Q50" s="136" t="e">
        <f t="shared" si="13"/>
        <v>#N/A</v>
      </c>
      <c r="R50" s="136" t="e">
        <f t="shared" si="14"/>
        <v>#N/A</v>
      </c>
    </row>
    <row r="51" spans="1:18">
      <c r="A51" s="126"/>
      <c r="B51" s="126"/>
      <c r="C51" s="128"/>
      <c r="D51" s="128"/>
      <c r="E51" s="127"/>
      <c r="F51" s="127"/>
      <c r="G51" s="127"/>
      <c r="H51" s="127"/>
      <c r="I51" s="127"/>
      <c r="J51" s="129" t="e">
        <f>D51*VLOOKUP(E51,Parser!$Z$5:$AA$28,2,FALSE)</f>
        <v>#N/A</v>
      </c>
      <c r="K51" s="129" t="e">
        <f>C51*VLOOKUP($E51,Parser!$Z$5:$AA$28,2,FALSE)</f>
        <v>#N/A</v>
      </c>
      <c r="L51" s="130" t="e">
        <f t="shared" si="10"/>
        <v>#N/A</v>
      </c>
      <c r="M51" s="131" t="e">
        <f t="shared" si="11"/>
        <v>#N/A</v>
      </c>
      <c r="N51" s="130"/>
      <c r="O51" s="132" t="e">
        <f t="shared" si="12"/>
        <v>#N/A</v>
      </c>
      <c r="P51" s="126"/>
      <c r="Q51" s="136" t="e">
        <f t="shared" si="13"/>
        <v>#N/A</v>
      </c>
      <c r="R51" s="136" t="e">
        <f t="shared" si="14"/>
        <v>#N/A</v>
      </c>
    </row>
    <row r="52" spans="1:18">
      <c r="A52" s="126"/>
      <c r="B52" s="126"/>
      <c r="C52" s="128"/>
      <c r="D52" s="128"/>
      <c r="E52" s="127"/>
      <c r="F52" s="127"/>
      <c r="G52" s="127"/>
      <c r="H52" s="127"/>
      <c r="I52" s="127"/>
      <c r="J52" s="129" t="e">
        <f>D52*VLOOKUP(E52,Parser!$Z$5:$AA$28,2,FALSE)</f>
        <v>#N/A</v>
      </c>
      <c r="K52" s="129" t="e">
        <f>C52*VLOOKUP($E52,Parser!$Z$5:$AA$28,2,FALSE)</f>
        <v>#N/A</v>
      </c>
      <c r="L52" s="130" t="e">
        <f t="shared" si="10"/>
        <v>#N/A</v>
      </c>
      <c r="M52" s="131" t="e">
        <f t="shared" si="11"/>
        <v>#N/A</v>
      </c>
      <c r="N52" s="130"/>
      <c r="O52" s="132" t="e">
        <f t="shared" si="12"/>
        <v>#N/A</v>
      </c>
      <c r="P52" s="126"/>
      <c r="Q52" s="136" t="e">
        <f t="shared" si="13"/>
        <v>#N/A</v>
      </c>
      <c r="R52" s="136" t="e">
        <f t="shared" si="14"/>
        <v>#N/A</v>
      </c>
    </row>
    <row r="53" spans="1:18">
      <c r="A53" s="126"/>
      <c r="B53" s="126"/>
      <c r="C53" s="128"/>
      <c r="D53" s="128"/>
      <c r="E53" s="127"/>
      <c r="F53" s="127"/>
      <c r="G53" s="127"/>
      <c r="H53" s="127"/>
      <c r="I53" s="127"/>
      <c r="J53" s="129" t="e">
        <f>D53*VLOOKUP(E53,Parser!$Z$5:$AA$28,2,FALSE)</f>
        <v>#N/A</v>
      </c>
      <c r="K53" s="129" t="e">
        <f>C53*VLOOKUP($E53,Parser!$Z$5:$AA$28,2,FALSE)</f>
        <v>#N/A</v>
      </c>
      <c r="L53" s="130" t="e">
        <f t="shared" si="10"/>
        <v>#N/A</v>
      </c>
      <c r="M53" s="131" t="e">
        <f t="shared" si="11"/>
        <v>#N/A</v>
      </c>
      <c r="N53" s="130"/>
      <c r="O53" s="132" t="e">
        <f t="shared" si="12"/>
        <v>#N/A</v>
      </c>
      <c r="P53" s="126"/>
      <c r="Q53" s="136" t="e">
        <f t="shared" si="13"/>
        <v>#N/A</v>
      </c>
      <c r="R53" s="136" t="e">
        <f t="shared" si="14"/>
        <v>#N/A</v>
      </c>
    </row>
    <row r="54" spans="1:18">
      <c r="A54" s="126"/>
      <c r="B54" s="126"/>
      <c r="C54" s="128"/>
      <c r="D54" s="128"/>
      <c r="E54" s="127"/>
      <c r="F54" s="127"/>
      <c r="G54" s="127"/>
      <c r="H54" s="127"/>
      <c r="I54" s="127"/>
      <c r="J54" s="129" t="e">
        <f>D54*VLOOKUP(E54,Parser!$Z$5:$AA$28,2,FALSE)</f>
        <v>#N/A</v>
      </c>
      <c r="K54" s="129" t="e">
        <f>C54*VLOOKUP($E54,Parser!$Z$5:$AA$28,2,FALSE)</f>
        <v>#N/A</v>
      </c>
      <c r="L54" s="130" t="e">
        <f t="shared" si="10"/>
        <v>#N/A</v>
      </c>
      <c r="M54" s="131" t="e">
        <f t="shared" si="11"/>
        <v>#N/A</v>
      </c>
      <c r="N54" s="130"/>
      <c r="O54" s="132" t="e">
        <f t="shared" si="12"/>
        <v>#N/A</v>
      </c>
      <c r="P54" s="126"/>
      <c r="Q54" s="136" t="e">
        <f t="shared" si="13"/>
        <v>#N/A</v>
      </c>
      <c r="R54" s="136" t="e">
        <f t="shared" si="14"/>
        <v>#N/A</v>
      </c>
    </row>
    <row r="55" spans="1:18">
      <c r="A55" s="126"/>
      <c r="B55" s="126"/>
      <c r="C55" s="128"/>
      <c r="D55" s="128"/>
      <c r="E55" s="127"/>
      <c r="F55" s="127"/>
      <c r="G55" s="127"/>
      <c r="H55" s="127"/>
      <c r="I55" s="127"/>
      <c r="J55" s="129" t="e">
        <f>D55*VLOOKUP(E55,Parser!$Z$5:$AA$28,2,FALSE)</f>
        <v>#N/A</v>
      </c>
      <c r="K55" s="129" t="e">
        <f>C55*VLOOKUP($E55,Parser!$Z$5:$AA$28,2,FALSE)</f>
        <v>#N/A</v>
      </c>
      <c r="L55" s="130" t="e">
        <f t="shared" si="10"/>
        <v>#N/A</v>
      </c>
      <c r="M55" s="131" t="e">
        <f t="shared" si="11"/>
        <v>#N/A</v>
      </c>
      <c r="N55" s="130"/>
      <c r="O55" s="132" t="e">
        <f t="shared" si="12"/>
        <v>#N/A</v>
      </c>
      <c r="P55" s="126"/>
      <c r="Q55" s="136" t="e">
        <f t="shared" si="13"/>
        <v>#N/A</v>
      </c>
      <c r="R55" s="136" t="e">
        <f t="shared" si="14"/>
        <v>#N/A</v>
      </c>
    </row>
    <row r="56" spans="1:18">
      <c r="A56" s="126"/>
      <c r="B56" s="126"/>
      <c r="C56" s="128"/>
      <c r="D56" s="128"/>
      <c r="E56" s="127"/>
      <c r="F56" s="127"/>
      <c r="G56" s="127"/>
      <c r="H56" s="127"/>
      <c r="I56" s="127"/>
      <c r="J56" s="129" t="e">
        <f>D56*VLOOKUP(E56,Parser!$Z$5:$AA$28,2,FALSE)</f>
        <v>#N/A</v>
      </c>
      <c r="K56" s="129" t="e">
        <f>C56*VLOOKUP($E56,Parser!$Z$5:$AA$28,2,FALSE)</f>
        <v>#N/A</v>
      </c>
      <c r="L56" s="130" t="e">
        <f t="shared" si="10"/>
        <v>#N/A</v>
      </c>
      <c r="M56" s="131" t="e">
        <f t="shared" si="11"/>
        <v>#N/A</v>
      </c>
      <c r="N56" s="130"/>
      <c r="O56" s="132" t="e">
        <f t="shared" si="12"/>
        <v>#N/A</v>
      </c>
      <c r="P56" s="126"/>
      <c r="Q56" s="136" t="e">
        <f t="shared" si="13"/>
        <v>#N/A</v>
      </c>
      <c r="R56" s="136" t="e">
        <f t="shared" si="14"/>
        <v>#N/A</v>
      </c>
    </row>
    <row r="57" spans="1:18">
      <c r="A57" s="126"/>
      <c r="B57" s="126"/>
      <c r="C57" s="128"/>
      <c r="D57" s="128"/>
      <c r="E57" s="127"/>
      <c r="F57" s="127"/>
      <c r="G57" s="127"/>
      <c r="H57" s="127"/>
      <c r="I57" s="127"/>
      <c r="J57" s="129" t="e">
        <f>D57*VLOOKUP(E57,Parser!$Z$5:$AA$28,2,FALSE)</f>
        <v>#N/A</v>
      </c>
      <c r="K57" s="129" t="e">
        <f>C57*VLOOKUP($E57,Parser!$Z$5:$AA$28,2,FALSE)</f>
        <v>#N/A</v>
      </c>
      <c r="L57" s="130" t="e">
        <f t="shared" si="10"/>
        <v>#N/A</v>
      </c>
      <c r="M57" s="131" t="e">
        <f t="shared" si="11"/>
        <v>#N/A</v>
      </c>
      <c r="N57" s="130"/>
      <c r="O57" s="132" t="e">
        <f t="shared" si="12"/>
        <v>#N/A</v>
      </c>
      <c r="P57" s="126"/>
      <c r="Q57" s="136" t="e">
        <f t="shared" si="13"/>
        <v>#N/A</v>
      </c>
      <c r="R57" s="136" t="e">
        <f t="shared" si="14"/>
        <v>#N/A</v>
      </c>
    </row>
    <row r="58" spans="1:18">
      <c r="A58" s="126"/>
      <c r="B58" s="126"/>
      <c r="C58" s="128"/>
      <c r="D58" s="128"/>
      <c r="E58" s="127"/>
      <c r="F58" s="127"/>
      <c r="G58" s="127"/>
      <c r="H58" s="127"/>
      <c r="I58" s="127"/>
      <c r="J58" s="129" t="e">
        <f>D58*VLOOKUP(E58,Parser!$Z$5:$AA$28,2,FALSE)</f>
        <v>#N/A</v>
      </c>
      <c r="K58" s="129" t="e">
        <f>C58*VLOOKUP($E58,Parser!$Z$5:$AA$28,2,FALSE)</f>
        <v>#N/A</v>
      </c>
      <c r="L58" s="130" t="e">
        <f t="shared" si="10"/>
        <v>#N/A</v>
      </c>
      <c r="M58" s="131" t="e">
        <f t="shared" si="11"/>
        <v>#N/A</v>
      </c>
      <c r="N58" s="130"/>
      <c r="O58" s="132" t="e">
        <f t="shared" si="12"/>
        <v>#N/A</v>
      </c>
      <c r="P58" s="126"/>
      <c r="Q58" s="136" t="e">
        <f t="shared" si="13"/>
        <v>#N/A</v>
      </c>
      <c r="R58" s="136" t="e">
        <f t="shared" si="14"/>
        <v>#N/A</v>
      </c>
    </row>
    <row r="59" spans="1:18">
      <c r="A59" s="126"/>
      <c r="B59" s="126"/>
      <c r="C59" s="128"/>
      <c r="D59" s="128"/>
      <c r="E59" s="127"/>
      <c r="F59" s="127"/>
      <c r="G59" s="127"/>
      <c r="H59" s="127"/>
      <c r="I59" s="127"/>
      <c r="J59" s="129" t="e">
        <f>D59*VLOOKUP(E59,Parser!$Z$5:$AA$28,2,FALSE)</f>
        <v>#N/A</v>
      </c>
      <c r="K59" s="129" t="e">
        <f>C59*VLOOKUP($E59,Parser!$Z$5:$AA$28,2,FALSE)</f>
        <v>#N/A</v>
      </c>
      <c r="L59" s="130" t="e">
        <f t="shared" si="10"/>
        <v>#N/A</v>
      </c>
      <c r="M59" s="131" t="e">
        <f t="shared" si="11"/>
        <v>#N/A</v>
      </c>
      <c r="N59" s="130"/>
      <c r="O59" s="132" t="e">
        <f t="shared" si="12"/>
        <v>#N/A</v>
      </c>
      <c r="P59" s="126"/>
      <c r="Q59" s="136" t="e">
        <f t="shared" si="13"/>
        <v>#N/A</v>
      </c>
      <c r="R59" s="136" t="e">
        <f t="shared" si="14"/>
        <v>#N/A</v>
      </c>
    </row>
    <row r="60" spans="1:18">
      <c r="A60" s="126"/>
      <c r="B60" s="126"/>
      <c r="C60" s="128"/>
      <c r="D60" s="128"/>
      <c r="E60" s="127"/>
      <c r="F60" s="127"/>
      <c r="G60" s="127"/>
      <c r="H60" s="127"/>
      <c r="I60" s="127"/>
      <c r="J60" s="129" t="e">
        <f>D60*VLOOKUP(E60,Parser!$Z$5:$AA$28,2,FALSE)</f>
        <v>#N/A</v>
      </c>
      <c r="K60" s="129" t="e">
        <f>C60*VLOOKUP($E60,Parser!$Z$5:$AA$28,2,FALSE)</f>
        <v>#N/A</v>
      </c>
      <c r="L60" s="130" t="e">
        <f t="shared" si="10"/>
        <v>#N/A</v>
      </c>
      <c r="M60" s="131" t="e">
        <f t="shared" si="11"/>
        <v>#N/A</v>
      </c>
      <c r="N60" s="130"/>
      <c r="O60" s="132" t="e">
        <f t="shared" si="12"/>
        <v>#N/A</v>
      </c>
      <c r="P60" s="126"/>
      <c r="Q60" s="136" t="e">
        <f t="shared" si="13"/>
        <v>#N/A</v>
      </c>
      <c r="R60" s="136" t="e">
        <f t="shared" si="14"/>
        <v>#N/A</v>
      </c>
    </row>
    <row r="61" spans="1:18">
      <c r="A61" s="136"/>
      <c r="B61" s="136"/>
      <c r="C61" s="178"/>
      <c r="D61" s="178"/>
      <c r="E61" s="147"/>
      <c r="F61" s="147"/>
      <c r="G61" s="147"/>
      <c r="H61" s="147"/>
      <c r="I61" s="147"/>
      <c r="J61" s="179"/>
      <c r="K61" s="179"/>
      <c r="L61" s="104"/>
      <c r="M61" s="180"/>
      <c r="N61" s="104"/>
      <c r="O61" s="181"/>
      <c r="P61" s="136"/>
      <c r="Q61" s="136"/>
      <c r="R61" s="136"/>
    </row>
    <row r="63" spans="1:18">
      <c r="C63" s="116"/>
      <c r="D63" s="117"/>
    </row>
    <row r="64" spans="1:18">
      <c r="C64" s="99" t="s">
        <v>312</v>
      </c>
      <c r="D64" s="100"/>
    </row>
    <row r="65" spans="3:4">
      <c r="C65" s="107" t="s">
        <v>311</v>
      </c>
      <c r="D65" s="108">
        <v>230000</v>
      </c>
    </row>
    <row r="66" spans="3:4">
      <c r="C66" s="113" t="s">
        <v>302</v>
      </c>
      <c r="D66" s="125">
        <v>29</v>
      </c>
    </row>
    <row r="67" spans="3:4">
      <c r="C67" s="109" t="s">
        <v>307</v>
      </c>
      <c r="D67" s="110">
        <v>2</v>
      </c>
    </row>
    <row r="68" spans="3:4">
      <c r="C68" s="111" t="s">
        <v>309</v>
      </c>
      <c r="D68" s="112">
        <f>IF(VALUE(TRIM(D65))*VLOOKUP(D66,Parser!Z5:AA33,2,FALSE)&lt;250*(0.8+0.200001*D67),0,((VALUE(TRIM(D65))*VLOOKUP(D66,Parser!Z5:AA33,2,FALSE)/(0.8+0.2*D67)-250)/0.0013)^(1/6.47)+1)</f>
        <v>19.681933846471349</v>
      </c>
    </row>
    <row r="69" spans="3:4">
      <c r="C69" s="106"/>
      <c r="D69" s="104"/>
    </row>
    <row r="70" spans="3:4">
      <c r="C70" s="123"/>
      <c r="D70" s="124"/>
    </row>
    <row r="71" spans="3:4">
      <c r="C71" s="99" t="s">
        <v>313</v>
      </c>
      <c r="D71" s="100"/>
    </row>
    <row r="72" spans="3:4">
      <c r="C72" s="113" t="s">
        <v>308</v>
      </c>
      <c r="D72" s="108">
        <v>10000</v>
      </c>
    </row>
    <row r="73" spans="3:4">
      <c r="C73" s="109" t="s">
        <v>1</v>
      </c>
      <c r="D73" s="114">
        <v>6</v>
      </c>
    </row>
    <row r="74" spans="3:4">
      <c r="C74" s="111" t="s">
        <v>310</v>
      </c>
      <c r="D74" s="115">
        <f>((D72/((0.5768*(D73-1)^0.342)*0.0107))^(1/5.86))+1</f>
        <v>11.443931922710398</v>
      </c>
    </row>
  </sheetData>
  <sheetProtection selectLockedCells="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G27" sqref="G27"/>
    </sheetView>
  </sheetViews>
  <sheetFormatPr defaultColWidth="9.109375" defaultRowHeight="13.2"/>
  <cols>
    <col min="1" max="13" width="9.109375" style="102" customWidth="1"/>
    <col min="14" max="14" width="25.109375" style="102" customWidth="1"/>
    <col min="15" max="16384" width="9.109375" style="102"/>
  </cols>
  <sheetData>
    <row r="1" spans="1:12">
      <c r="A1" s="102" t="s">
        <v>91</v>
      </c>
    </row>
    <row r="2" spans="1:12">
      <c r="B2" s="126" t="s">
        <v>478</v>
      </c>
      <c r="C2" s="126"/>
      <c r="D2" s="126"/>
      <c r="F2" s="126" t="s">
        <v>482</v>
      </c>
      <c r="G2" s="126"/>
      <c r="H2" s="126"/>
      <c r="J2" s="126" t="s">
        <v>483</v>
      </c>
      <c r="K2" s="126"/>
      <c r="L2" s="126"/>
    </row>
    <row r="3" spans="1:12">
      <c r="B3" s="126" t="s">
        <v>479</v>
      </c>
      <c r="C3" s="126" t="s">
        <v>480</v>
      </c>
      <c r="D3" s="126" t="s">
        <v>481</v>
      </c>
      <c r="F3" s="126" t="s">
        <v>479</v>
      </c>
      <c r="G3" s="126" t="s">
        <v>480</v>
      </c>
      <c r="H3" s="126" t="s">
        <v>481</v>
      </c>
      <c r="J3" s="126" t="s">
        <v>479</v>
      </c>
      <c r="K3" s="126" t="s">
        <v>480</v>
      </c>
      <c r="L3" s="126" t="s">
        <v>481</v>
      </c>
    </row>
    <row r="4" spans="1:12">
      <c r="B4" s="169">
        <v>14</v>
      </c>
      <c r="C4" s="169">
        <v>14</v>
      </c>
      <c r="D4" s="169">
        <v>14</v>
      </c>
      <c r="F4" s="169">
        <v>11</v>
      </c>
      <c r="G4" s="169">
        <v>16</v>
      </c>
      <c r="H4" s="169">
        <v>15</v>
      </c>
      <c r="J4" s="169">
        <v>10</v>
      </c>
      <c r="K4" s="169">
        <v>10</v>
      </c>
      <c r="L4" s="169">
        <v>10</v>
      </c>
    </row>
    <row r="5" spans="1:12">
      <c r="B5" s="126"/>
      <c r="C5" s="126"/>
      <c r="D5" s="126"/>
      <c r="F5" s="126"/>
      <c r="G5" s="126"/>
      <c r="H5" s="126"/>
      <c r="J5" s="126"/>
      <c r="K5" s="126"/>
      <c r="L5" s="126"/>
    </row>
    <row r="6" spans="1:12">
      <c r="B6" s="126" t="s">
        <v>482</v>
      </c>
      <c r="C6" s="126"/>
      <c r="D6" s="126"/>
      <c r="F6" s="126" t="s">
        <v>483</v>
      </c>
      <c r="G6" s="126"/>
      <c r="H6" s="126"/>
      <c r="J6" s="126" t="s">
        <v>478</v>
      </c>
      <c r="K6" s="126"/>
      <c r="L6" s="126"/>
    </row>
    <row r="7" spans="1:12">
      <c r="B7" s="126" t="s">
        <v>479</v>
      </c>
      <c r="C7" s="126" t="s">
        <v>480</v>
      </c>
      <c r="D7" s="126" t="s">
        <v>481</v>
      </c>
      <c r="F7" s="126" t="s">
        <v>479</v>
      </c>
      <c r="G7" s="126" t="s">
        <v>480</v>
      </c>
      <c r="H7" s="126" t="s">
        <v>481</v>
      </c>
      <c r="J7" s="126" t="s">
        <v>479</v>
      </c>
      <c r="K7" s="126" t="s">
        <v>480</v>
      </c>
      <c r="L7" s="126" t="s">
        <v>481</v>
      </c>
    </row>
    <row r="8" spans="1:12">
      <c r="B8" s="126">
        <f>1.05*(B4/0.9)</f>
        <v>16.333333333333332</v>
      </c>
      <c r="C8" s="126">
        <f>1.05*(C4/0.9)</f>
        <v>16.333333333333332</v>
      </c>
      <c r="D8" s="126">
        <f>1.05*(D4/0.9)</f>
        <v>16.333333333333332</v>
      </c>
      <c r="F8" s="126">
        <f>1.2*(F4/1.05)</f>
        <v>12.571428571428571</v>
      </c>
      <c r="G8" s="126">
        <f>1.2*(G4/1.05)</f>
        <v>18.285714285714285</v>
      </c>
      <c r="H8" s="126">
        <f>1.2*(H4/1.05)</f>
        <v>17.142857142857142</v>
      </c>
      <c r="J8" s="126">
        <f>0.9*(J4/1.2)</f>
        <v>7.5000000000000009</v>
      </c>
      <c r="K8" s="126">
        <f>0.9*(K4/1.2)</f>
        <v>7.5000000000000009</v>
      </c>
      <c r="L8" s="126">
        <f>0.9*(L4/1.2)</f>
        <v>7.5000000000000009</v>
      </c>
    </row>
    <row r="9" spans="1:12">
      <c r="B9" s="126"/>
      <c r="C9" s="126"/>
      <c r="D9" s="126"/>
      <c r="F9" s="126"/>
      <c r="G9" s="126"/>
      <c r="H9" s="126"/>
      <c r="J9" s="126"/>
      <c r="K9" s="126"/>
      <c r="L9" s="126"/>
    </row>
    <row r="10" spans="1:12">
      <c r="B10" s="126" t="s">
        <v>483</v>
      </c>
      <c r="C10" s="126"/>
      <c r="D10" s="126"/>
      <c r="F10" s="126" t="s">
        <v>478</v>
      </c>
      <c r="G10" s="126"/>
      <c r="H10" s="126"/>
      <c r="J10" s="126" t="s">
        <v>482</v>
      </c>
      <c r="K10" s="126"/>
      <c r="L10" s="126"/>
    </row>
    <row r="11" spans="1:12">
      <c r="B11" s="126" t="s">
        <v>479</v>
      </c>
      <c r="C11" s="126" t="s">
        <v>480</v>
      </c>
      <c r="D11" s="126" t="s">
        <v>481</v>
      </c>
      <c r="F11" s="126" t="s">
        <v>479</v>
      </c>
      <c r="G11" s="126" t="s">
        <v>480</v>
      </c>
      <c r="H11" s="126" t="s">
        <v>481</v>
      </c>
      <c r="J11" s="126" t="s">
        <v>479</v>
      </c>
      <c r="K11" s="126" t="s">
        <v>480</v>
      </c>
      <c r="L11" s="126" t="s">
        <v>481</v>
      </c>
    </row>
    <row r="12" spans="1:12">
      <c r="B12" s="126">
        <f>1.2*(B4/0.9)</f>
        <v>18.666666666666664</v>
      </c>
      <c r="C12" s="126">
        <f>1.2*(C4/0.9)</f>
        <v>18.666666666666664</v>
      </c>
      <c r="D12" s="126">
        <f>1.2*(D4/0.9)</f>
        <v>18.666666666666664</v>
      </c>
      <c r="F12" s="126">
        <f>0.9*(F4/1.05)</f>
        <v>9.4285714285714288</v>
      </c>
      <c r="G12" s="126">
        <f>0.9*(G4/1.05)</f>
        <v>13.714285714285714</v>
      </c>
      <c r="H12" s="126">
        <f>0.9*(H4/1.05)</f>
        <v>12.857142857142856</v>
      </c>
      <c r="J12" s="126">
        <f>1.05*(J4/1.2)</f>
        <v>8.7500000000000018</v>
      </c>
      <c r="K12" s="126">
        <f>1.05*(K4/1.2)</f>
        <v>8.7500000000000018</v>
      </c>
      <c r="L12" s="126">
        <f>1.05*(L4/1.2)</f>
        <v>8.7500000000000018</v>
      </c>
    </row>
    <row r="14" spans="1:12">
      <c r="A14" s="102" t="s">
        <v>283</v>
      </c>
    </row>
    <row r="15" spans="1:12">
      <c r="B15" s="126" t="s">
        <v>478</v>
      </c>
      <c r="C15" s="126"/>
      <c r="D15" s="126"/>
      <c r="F15" s="126" t="s">
        <v>482</v>
      </c>
      <c r="G15" s="126"/>
      <c r="H15" s="126"/>
      <c r="J15" s="126" t="s">
        <v>483</v>
      </c>
      <c r="K15" s="126"/>
      <c r="L15" s="126"/>
    </row>
    <row r="16" spans="1:12">
      <c r="B16" s="126" t="s">
        <v>479</v>
      </c>
      <c r="C16" s="126" t="s">
        <v>480</v>
      </c>
      <c r="D16" s="126" t="s">
        <v>481</v>
      </c>
      <c r="F16" s="126" t="s">
        <v>479</v>
      </c>
      <c r="G16" s="126" t="s">
        <v>480</v>
      </c>
      <c r="H16" s="126" t="s">
        <v>481</v>
      </c>
      <c r="J16" s="126" t="s">
        <v>479</v>
      </c>
      <c r="K16" s="126" t="s">
        <v>480</v>
      </c>
      <c r="L16" s="126" t="s">
        <v>481</v>
      </c>
    </row>
    <row r="17" spans="2:14">
      <c r="B17" s="169">
        <v>14</v>
      </c>
      <c r="C17" s="169">
        <v>14</v>
      </c>
      <c r="D17" s="169">
        <v>14</v>
      </c>
      <c r="F17" s="169">
        <v>10</v>
      </c>
      <c r="G17" s="169">
        <v>14.6</v>
      </c>
      <c r="H17" s="169">
        <v>10</v>
      </c>
      <c r="J17" s="169">
        <v>10</v>
      </c>
      <c r="K17" s="169">
        <v>10</v>
      </c>
      <c r="L17" s="169">
        <v>10</v>
      </c>
    </row>
    <row r="18" spans="2:14">
      <c r="B18" s="126"/>
      <c r="C18" s="126"/>
      <c r="D18" s="126"/>
      <c r="F18" s="126"/>
      <c r="G18" s="126"/>
      <c r="H18" s="126"/>
      <c r="J18" s="126"/>
      <c r="K18" s="126"/>
      <c r="L18" s="126"/>
    </row>
    <row r="19" spans="2:14">
      <c r="B19" s="126" t="s">
        <v>482</v>
      </c>
      <c r="C19" s="126"/>
      <c r="D19" s="126"/>
      <c r="F19" s="126" t="s">
        <v>483</v>
      </c>
      <c r="G19" s="126"/>
      <c r="H19" s="126"/>
      <c r="J19" s="126" t="s">
        <v>478</v>
      </c>
      <c r="K19" s="126"/>
      <c r="L19" s="126"/>
    </row>
    <row r="20" spans="2:14">
      <c r="B20" s="126" t="s">
        <v>479</v>
      </c>
      <c r="C20" s="126" t="s">
        <v>480</v>
      </c>
      <c r="D20" s="126" t="s">
        <v>481</v>
      </c>
      <c r="F20" s="126" t="s">
        <v>479</v>
      </c>
      <c r="G20" s="126" t="s">
        <v>480</v>
      </c>
      <c r="H20" s="126" t="s">
        <v>481</v>
      </c>
      <c r="J20" s="126" t="s">
        <v>479</v>
      </c>
      <c r="K20" s="126" t="s">
        <v>480</v>
      </c>
      <c r="L20" s="126" t="s">
        <v>481</v>
      </c>
    </row>
    <row r="21" spans="2:14">
      <c r="B21" s="126">
        <f>1.05*(B17/1.15)</f>
        <v>12.782608695652176</v>
      </c>
      <c r="C21" s="126">
        <f>1.05*(C17/1.15)</f>
        <v>12.782608695652176</v>
      </c>
      <c r="D21" s="126">
        <f>1.05*(D17/1.15)</f>
        <v>12.782608695652176</v>
      </c>
      <c r="F21" s="126">
        <f>0.9*(F17/1.05)</f>
        <v>8.5714285714285712</v>
      </c>
      <c r="G21" s="126">
        <f>0.9*(G17/1.05)</f>
        <v>12.514285714285712</v>
      </c>
      <c r="H21" s="126">
        <f>0.9*(H17/1.05)</f>
        <v>8.5714285714285712</v>
      </c>
      <c r="J21" s="126">
        <f>1.15*(J17/0.9)</f>
        <v>12.777777777777777</v>
      </c>
      <c r="K21" s="126">
        <f>1.15*(K17/0.9)</f>
        <v>12.777777777777777</v>
      </c>
      <c r="L21" s="126">
        <f>1.15*(L17/0.9)</f>
        <v>12.777777777777777</v>
      </c>
    </row>
    <row r="22" spans="2:14">
      <c r="B22" s="126"/>
      <c r="C22" s="126"/>
      <c r="D22" s="126"/>
      <c r="F22" s="126"/>
      <c r="G22" s="126"/>
      <c r="H22" s="126"/>
      <c r="J22" s="126"/>
      <c r="K22" s="126"/>
      <c r="L22" s="126"/>
    </row>
    <row r="23" spans="2:14">
      <c r="B23" s="126" t="s">
        <v>483</v>
      </c>
      <c r="C23" s="126"/>
      <c r="D23" s="126"/>
      <c r="F23" s="126" t="s">
        <v>478</v>
      </c>
      <c r="G23" s="126"/>
      <c r="H23" s="126"/>
      <c r="J23" s="126" t="s">
        <v>482</v>
      </c>
      <c r="K23" s="126"/>
      <c r="L23" s="126"/>
    </row>
    <row r="24" spans="2:14">
      <c r="B24" s="126" t="s">
        <v>479</v>
      </c>
      <c r="C24" s="126" t="s">
        <v>480</v>
      </c>
      <c r="D24" s="126" t="s">
        <v>481</v>
      </c>
      <c r="F24" s="126" t="s">
        <v>479</v>
      </c>
      <c r="G24" s="126" t="s">
        <v>480</v>
      </c>
      <c r="H24" s="126" t="s">
        <v>481</v>
      </c>
      <c r="J24" s="126" t="s">
        <v>479</v>
      </c>
      <c r="K24" s="126" t="s">
        <v>480</v>
      </c>
      <c r="L24" s="126" t="s">
        <v>481</v>
      </c>
    </row>
    <row r="25" spans="2:14">
      <c r="B25" s="126">
        <f>0.9*(B17/1.15)</f>
        <v>10.956521739130435</v>
      </c>
      <c r="C25" s="126">
        <f>0.9*(C17/1.15)</f>
        <v>10.956521739130435</v>
      </c>
      <c r="D25" s="126">
        <f>0.9*(D17/1.15)</f>
        <v>10.956521739130435</v>
      </c>
      <c r="F25" s="126">
        <f>1.15*(F17/1.05)</f>
        <v>10.952380952380951</v>
      </c>
      <c r="G25" s="126">
        <f>1.15*(G17/1.05)</f>
        <v>15.990476190476187</v>
      </c>
      <c r="H25" s="126">
        <f>1.15*(H17/1.05)</f>
        <v>10.952380952380951</v>
      </c>
      <c r="J25" s="126">
        <f>1.05*(J17/0.9)</f>
        <v>11.666666666666666</v>
      </c>
      <c r="K25" s="126">
        <f>1.05*(K17/0.9)</f>
        <v>11.666666666666666</v>
      </c>
      <c r="L25" s="126">
        <f>1.05*(L17/0.9)</f>
        <v>11.666666666666666</v>
      </c>
    </row>
    <row r="27" spans="2:14" ht="158.4">
      <c r="N27" s="65" t="s">
        <v>484</v>
      </c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.109375" defaultRowHeight="13.2"/>
  <cols>
    <col min="1" max="1" width="9.109375" style="102" customWidth="1"/>
    <col min="2" max="2" width="16.109375" style="173" customWidth="1"/>
    <col min="3" max="3" width="8.88671875" style="173" customWidth="1"/>
    <col min="4" max="4" width="10" style="173" customWidth="1"/>
    <col min="5" max="5" width="12.33203125" style="173" customWidth="1"/>
    <col min="6" max="6" width="12.88671875" style="173" customWidth="1"/>
    <col min="7" max="7" width="9.109375" style="103" customWidth="1"/>
    <col min="8" max="8" width="9.109375" style="173" customWidth="1"/>
    <col min="9" max="16384" width="9.109375" style="102"/>
  </cols>
  <sheetData>
    <row r="1" spans="1:9" s="176" customFormat="1" ht="26.4">
      <c r="B1" s="170" t="s">
        <v>490</v>
      </c>
      <c r="C1" s="170" t="s">
        <v>487</v>
      </c>
      <c r="D1" s="170" t="s">
        <v>488</v>
      </c>
      <c r="E1" s="170" t="s">
        <v>489</v>
      </c>
      <c r="F1" s="170"/>
      <c r="G1" s="177" t="s">
        <v>516</v>
      </c>
      <c r="H1" s="177" t="s">
        <v>517</v>
      </c>
      <c r="I1" s="174" t="s">
        <v>486</v>
      </c>
    </row>
    <row r="2" spans="1:9">
      <c r="A2" s="102">
        <v>1</v>
      </c>
      <c r="B2" s="171">
        <v>4.5</v>
      </c>
      <c r="C2" s="172">
        <v>6</v>
      </c>
      <c r="D2" s="172"/>
      <c r="E2" s="172">
        <v>0</v>
      </c>
      <c r="F2" s="175">
        <f t="shared" ref="F2:F7" si="0">B2+(C2-D2)*(0.2+(0.12*SQRT(E2)))</f>
        <v>5.7</v>
      </c>
      <c r="G2" s="103" t="s">
        <v>493</v>
      </c>
      <c r="H2" s="173" t="s">
        <v>518</v>
      </c>
    </row>
    <row r="3" spans="1:9">
      <c r="A3" s="102">
        <v>2</v>
      </c>
      <c r="B3" s="172">
        <f>F2</f>
        <v>5.7</v>
      </c>
      <c r="C3" s="172">
        <v>4</v>
      </c>
      <c r="D3" s="172"/>
      <c r="E3" s="172">
        <v>0</v>
      </c>
      <c r="F3" s="175">
        <f t="shared" si="0"/>
        <v>6.5</v>
      </c>
      <c r="G3" s="103" t="s">
        <v>494</v>
      </c>
      <c r="H3" s="173" t="s">
        <v>519</v>
      </c>
    </row>
    <row r="4" spans="1:9">
      <c r="A4" s="102">
        <v>3</v>
      </c>
      <c r="B4" s="172">
        <f>F3</f>
        <v>6.5</v>
      </c>
      <c r="C4" s="172">
        <v>3</v>
      </c>
      <c r="D4" s="172"/>
      <c r="E4" s="172">
        <v>0</v>
      </c>
      <c r="F4" s="175">
        <f t="shared" si="0"/>
        <v>7.1</v>
      </c>
      <c r="G4" s="103" t="s">
        <v>495</v>
      </c>
      <c r="H4" s="173" t="s">
        <v>520</v>
      </c>
    </row>
    <row r="5" spans="1:9">
      <c r="A5" s="102">
        <v>4</v>
      </c>
      <c r="B5" s="172">
        <f>F4</f>
        <v>7.1</v>
      </c>
      <c r="C5" s="172">
        <v>2</v>
      </c>
      <c r="D5" s="172"/>
      <c r="E5" s="172">
        <v>0</v>
      </c>
      <c r="F5" s="175">
        <f t="shared" si="0"/>
        <v>7.5</v>
      </c>
      <c r="G5" s="103" t="s">
        <v>496</v>
      </c>
      <c r="H5" s="173" t="s">
        <v>521</v>
      </c>
    </row>
    <row r="6" spans="1:9">
      <c r="A6" s="102">
        <v>5</v>
      </c>
      <c r="B6" s="172">
        <f>F5</f>
        <v>7.5</v>
      </c>
      <c r="C6" s="172">
        <v>1</v>
      </c>
      <c r="D6" s="172"/>
      <c r="E6" s="172">
        <v>0</v>
      </c>
      <c r="F6" s="175">
        <f t="shared" si="0"/>
        <v>7.7</v>
      </c>
      <c r="G6" s="103" t="s">
        <v>497</v>
      </c>
      <c r="H6" s="173" t="s">
        <v>522</v>
      </c>
    </row>
    <row r="7" spans="1:9">
      <c r="A7" s="102">
        <v>6</v>
      </c>
      <c r="B7" s="172">
        <f>F6</f>
        <v>7.7</v>
      </c>
      <c r="C7" s="172">
        <v>1</v>
      </c>
      <c r="D7" s="172"/>
      <c r="E7" s="172">
        <v>0</v>
      </c>
      <c r="F7" s="175">
        <f t="shared" si="0"/>
        <v>7.9</v>
      </c>
      <c r="G7" s="103" t="s">
        <v>498</v>
      </c>
      <c r="H7" s="173" t="s">
        <v>523</v>
      </c>
    </row>
    <row r="8" spans="1:9">
      <c r="A8" s="102">
        <v>7</v>
      </c>
      <c r="B8" s="172">
        <f t="shared" ref="B8:B30" si="1">F7</f>
        <v>7.9</v>
      </c>
      <c r="C8" s="172"/>
      <c r="D8" s="172">
        <v>4</v>
      </c>
      <c r="E8" s="172">
        <v>0</v>
      </c>
      <c r="F8" s="175">
        <f t="shared" ref="F8:F30" si="2">B8+(C8-D8)*(0.2+(0.12*SQRT(E8)))</f>
        <v>7.1000000000000005</v>
      </c>
      <c r="G8" s="103" t="s">
        <v>499</v>
      </c>
      <c r="H8" s="173" t="s">
        <v>524</v>
      </c>
    </row>
    <row r="9" spans="1:9">
      <c r="A9" s="102">
        <v>8</v>
      </c>
      <c r="B9" s="172">
        <f t="shared" si="1"/>
        <v>7.1000000000000005</v>
      </c>
      <c r="C9" s="172">
        <v>5</v>
      </c>
      <c r="D9" s="172"/>
      <c r="E9" s="172">
        <v>0</v>
      </c>
      <c r="F9" s="175">
        <f t="shared" si="2"/>
        <v>8.1000000000000014</v>
      </c>
      <c r="G9" s="103" t="s">
        <v>500</v>
      </c>
      <c r="H9" s="173" t="s">
        <v>525</v>
      </c>
    </row>
    <row r="10" spans="1:9">
      <c r="A10" s="102">
        <v>9</v>
      </c>
      <c r="B10" s="172">
        <f t="shared" si="1"/>
        <v>8.1000000000000014</v>
      </c>
      <c r="C10" s="172">
        <v>1</v>
      </c>
      <c r="D10" s="172"/>
      <c r="E10" s="172">
        <v>0</v>
      </c>
      <c r="F10" s="175">
        <f t="shared" si="2"/>
        <v>8.3000000000000007</v>
      </c>
      <c r="G10" s="103" t="s">
        <v>501</v>
      </c>
      <c r="H10" s="173" t="s">
        <v>526</v>
      </c>
    </row>
    <row r="11" spans="1:9">
      <c r="A11" s="102">
        <v>10</v>
      </c>
      <c r="B11" s="172">
        <f t="shared" si="1"/>
        <v>8.3000000000000007</v>
      </c>
      <c r="C11" s="172">
        <v>3</v>
      </c>
      <c r="D11" s="172"/>
      <c r="E11" s="172">
        <v>0</v>
      </c>
      <c r="F11" s="175">
        <f t="shared" si="2"/>
        <v>8.9</v>
      </c>
      <c r="G11" s="103" t="s">
        <v>502</v>
      </c>
      <c r="H11" s="173" t="s">
        <v>527</v>
      </c>
    </row>
    <row r="12" spans="1:9">
      <c r="A12" s="102">
        <v>11</v>
      </c>
      <c r="B12" s="172">
        <f t="shared" si="1"/>
        <v>8.9</v>
      </c>
      <c r="C12" s="172">
        <v>2</v>
      </c>
      <c r="D12" s="172"/>
      <c r="E12" s="172">
        <v>0</v>
      </c>
      <c r="F12" s="175">
        <f t="shared" si="2"/>
        <v>9.3000000000000007</v>
      </c>
      <c r="G12" s="103" t="s">
        <v>503</v>
      </c>
      <c r="H12" s="173" t="s">
        <v>528</v>
      </c>
    </row>
    <row r="13" spans="1:9">
      <c r="A13" s="102">
        <v>12</v>
      </c>
      <c r="B13" s="172">
        <f t="shared" si="1"/>
        <v>9.3000000000000007</v>
      </c>
      <c r="C13" s="172">
        <v>2</v>
      </c>
      <c r="D13" s="172"/>
      <c r="E13" s="172">
        <v>0</v>
      </c>
      <c r="F13" s="175">
        <f t="shared" si="2"/>
        <v>9.7000000000000011</v>
      </c>
      <c r="G13" s="103" t="s">
        <v>504</v>
      </c>
      <c r="H13" s="173" t="s">
        <v>529</v>
      </c>
    </row>
    <row r="14" spans="1:9">
      <c r="A14" s="102">
        <v>13</v>
      </c>
      <c r="B14" s="172">
        <f t="shared" si="1"/>
        <v>9.7000000000000011</v>
      </c>
      <c r="C14" s="172">
        <v>0</v>
      </c>
      <c r="D14" s="172"/>
      <c r="E14" s="172">
        <v>0</v>
      </c>
      <c r="F14" s="175">
        <f t="shared" si="2"/>
        <v>9.7000000000000011</v>
      </c>
      <c r="G14" s="103" t="s">
        <v>505</v>
      </c>
      <c r="H14" s="173" t="s">
        <v>530</v>
      </c>
    </row>
    <row r="15" spans="1:9">
      <c r="A15" s="102">
        <v>14</v>
      </c>
      <c r="B15" s="172">
        <f t="shared" si="1"/>
        <v>9.7000000000000011</v>
      </c>
      <c r="C15" s="172"/>
      <c r="D15" s="172">
        <v>1</v>
      </c>
      <c r="E15" s="172">
        <v>0</v>
      </c>
      <c r="F15" s="175">
        <f t="shared" si="2"/>
        <v>9.5000000000000018</v>
      </c>
      <c r="G15" s="103" t="s">
        <v>506</v>
      </c>
      <c r="H15" s="173" t="s">
        <v>531</v>
      </c>
    </row>
    <row r="16" spans="1:9">
      <c r="A16" s="102">
        <v>15</v>
      </c>
      <c r="B16" s="172">
        <v>4.5</v>
      </c>
      <c r="C16" s="172"/>
      <c r="D16" s="172">
        <v>3</v>
      </c>
      <c r="E16" s="172">
        <v>0</v>
      </c>
      <c r="F16" s="175">
        <f t="shared" si="2"/>
        <v>3.9</v>
      </c>
      <c r="G16" s="103" t="s">
        <v>507</v>
      </c>
      <c r="H16" s="173" t="s">
        <v>532</v>
      </c>
    </row>
    <row r="17" spans="1:8">
      <c r="A17" s="102">
        <v>16</v>
      </c>
      <c r="B17" s="172">
        <f t="shared" si="1"/>
        <v>3.9</v>
      </c>
      <c r="C17" s="172">
        <v>1</v>
      </c>
      <c r="D17" s="172"/>
      <c r="E17" s="172">
        <v>0</v>
      </c>
      <c r="F17" s="175">
        <f t="shared" si="2"/>
        <v>4.0999999999999996</v>
      </c>
      <c r="G17" s="103" t="s">
        <v>508</v>
      </c>
      <c r="H17" s="173" t="s">
        <v>533</v>
      </c>
    </row>
    <row r="18" spans="1:8">
      <c r="A18" s="102">
        <v>17</v>
      </c>
      <c r="B18" s="172">
        <f t="shared" si="1"/>
        <v>4.0999999999999996</v>
      </c>
      <c r="C18" s="172">
        <v>1</v>
      </c>
      <c r="D18" s="172"/>
      <c r="E18" s="172">
        <v>0</v>
      </c>
      <c r="F18" s="175">
        <f t="shared" si="2"/>
        <v>4.3</v>
      </c>
      <c r="G18" s="103" t="s">
        <v>509</v>
      </c>
      <c r="H18" s="173" t="s">
        <v>534</v>
      </c>
    </row>
    <row r="19" spans="1:8">
      <c r="A19" s="102">
        <v>18</v>
      </c>
      <c r="B19" s="172">
        <f t="shared" si="1"/>
        <v>4.3</v>
      </c>
      <c r="C19" s="172">
        <v>3</v>
      </c>
      <c r="D19" s="172"/>
      <c r="E19" s="172">
        <v>0</v>
      </c>
      <c r="F19" s="175">
        <v>5.5</v>
      </c>
      <c r="G19" s="103" t="s">
        <v>510</v>
      </c>
      <c r="H19" s="173" t="s">
        <v>535</v>
      </c>
    </row>
    <row r="20" spans="1:8">
      <c r="A20" s="102">
        <v>19</v>
      </c>
      <c r="B20" s="172">
        <f t="shared" si="1"/>
        <v>5.5</v>
      </c>
      <c r="C20" s="172">
        <v>1</v>
      </c>
      <c r="D20" s="172"/>
      <c r="E20" s="172">
        <v>0</v>
      </c>
      <c r="F20" s="175">
        <f t="shared" si="2"/>
        <v>5.7</v>
      </c>
      <c r="G20" s="103" t="s">
        <v>511</v>
      </c>
      <c r="H20" s="173" t="s">
        <v>536</v>
      </c>
    </row>
    <row r="21" spans="1:8">
      <c r="A21" s="102">
        <v>20</v>
      </c>
      <c r="B21" s="172">
        <f t="shared" si="1"/>
        <v>5.7</v>
      </c>
      <c r="C21" s="172"/>
      <c r="D21" s="172">
        <v>4</v>
      </c>
      <c r="E21" s="172">
        <v>0</v>
      </c>
      <c r="F21" s="175">
        <f t="shared" si="2"/>
        <v>4.9000000000000004</v>
      </c>
      <c r="G21" s="103" t="s">
        <v>512</v>
      </c>
      <c r="H21" s="173" t="s">
        <v>537</v>
      </c>
    </row>
    <row r="22" spans="1:8">
      <c r="A22" s="102">
        <v>21</v>
      </c>
      <c r="B22" s="172">
        <f t="shared" si="1"/>
        <v>4.9000000000000004</v>
      </c>
      <c r="C22" s="172"/>
      <c r="D22" s="172"/>
      <c r="E22" s="172">
        <v>0</v>
      </c>
      <c r="F22" s="175">
        <f t="shared" si="2"/>
        <v>4.9000000000000004</v>
      </c>
      <c r="G22" s="103" t="s">
        <v>513</v>
      </c>
      <c r="H22" s="173" t="s">
        <v>538</v>
      </c>
    </row>
    <row r="23" spans="1:8">
      <c r="A23" s="102">
        <v>22</v>
      </c>
      <c r="B23" s="172">
        <f t="shared" si="1"/>
        <v>4.9000000000000004</v>
      </c>
      <c r="C23" s="172"/>
      <c r="D23" s="172"/>
      <c r="E23" s="172">
        <v>0</v>
      </c>
      <c r="F23" s="175">
        <f t="shared" si="2"/>
        <v>4.9000000000000004</v>
      </c>
      <c r="G23" s="103" t="s">
        <v>514</v>
      </c>
      <c r="H23" s="173" t="s">
        <v>539</v>
      </c>
    </row>
    <row r="24" spans="1:8">
      <c r="A24" s="102">
        <v>23</v>
      </c>
      <c r="B24" s="172">
        <f t="shared" si="1"/>
        <v>4.9000000000000004</v>
      </c>
      <c r="C24" s="172"/>
      <c r="D24" s="172"/>
      <c r="E24" s="172">
        <v>0</v>
      </c>
      <c r="F24" s="175">
        <f t="shared" si="2"/>
        <v>4.9000000000000004</v>
      </c>
      <c r="G24" s="103" t="s">
        <v>515</v>
      </c>
      <c r="H24" s="173" t="s">
        <v>540</v>
      </c>
    </row>
    <row r="25" spans="1:8">
      <c r="A25" s="102">
        <v>24</v>
      </c>
      <c r="B25" s="172">
        <f t="shared" si="1"/>
        <v>4.9000000000000004</v>
      </c>
      <c r="C25" s="172"/>
      <c r="D25" s="172"/>
      <c r="E25" s="172">
        <v>0</v>
      </c>
      <c r="F25" s="175">
        <f t="shared" si="2"/>
        <v>4.9000000000000004</v>
      </c>
      <c r="G25" s="103" t="s">
        <v>491</v>
      </c>
      <c r="H25" s="173" t="s">
        <v>541</v>
      </c>
    </row>
    <row r="26" spans="1:8">
      <c r="A26" s="102">
        <v>25</v>
      </c>
      <c r="B26" s="172">
        <f t="shared" si="1"/>
        <v>4.9000000000000004</v>
      </c>
      <c r="C26" s="172"/>
      <c r="D26" s="172"/>
      <c r="E26" s="172">
        <v>0</v>
      </c>
      <c r="F26" s="175">
        <f t="shared" si="2"/>
        <v>4.9000000000000004</v>
      </c>
      <c r="G26" s="103" t="s">
        <v>492</v>
      </c>
      <c r="H26" s="173" t="s">
        <v>542</v>
      </c>
    </row>
    <row r="27" spans="1:8">
      <c r="A27" s="102">
        <v>26</v>
      </c>
      <c r="B27" s="172">
        <f t="shared" si="1"/>
        <v>4.9000000000000004</v>
      </c>
      <c r="C27" s="172"/>
      <c r="D27" s="172"/>
      <c r="E27" s="172">
        <v>0</v>
      </c>
      <c r="F27" s="175">
        <f t="shared" si="2"/>
        <v>4.9000000000000004</v>
      </c>
      <c r="H27" s="173" t="s">
        <v>543</v>
      </c>
    </row>
    <row r="28" spans="1:8">
      <c r="A28" s="102">
        <v>27</v>
      </c>
      <c r="B28" s="172">
        <f t="shared" si="1"/>
        <v>4.9000000000000004</v>
      </c>
      <c r="C28" s="172"/>
      <c r="D28" s="172"/>
      <c r="E28" s="172">
        <v>0</v>
      </c>
      <c r="F28" s="175">
        <f t="shared" si="2"/>
        <v>4.9000000000000004</v>
      </c>
      <c r="H28" s="173" t="s">
        <v>544</v>
      </c>
    </row>
    <row r="29" spans="1:8">
      <c r="A29" s="102">
        <v>28</v>
      </c>
      <c r="B29" s="172">
        <f t="shared" si="1"/>
        <v>4.9000000000000004</v>
      </c>
      <c r="C29" s="172"/>
      <c r="D29" s="172"/>
      <c r="E29" s="172">
        <v>0</v>
      </c>
      <c r="F29" s="175">
        <f t="shared" si="2"/>
        <v>4.9000000000000004</v>
      </c>
      <c r="H29" s="173" t="s">
        <v>545</v>
      </c>
    </row>
    <row r="30" spans="1:8">
      <c r="A30" s="102">
        <v>29</v>
      </c>
      <c r="B30" s="172">
        <f t="shared" si="1"/>
        <v>4.9000000000000004</v>
      </c>
      <c r="C30" s="172"/>
      <c r="D30" s="172"/>
      <c r="E30" s="172">
        <v>0</v>
      </c>
      <c r="F30" s="175">
        <f t="shared" si="2"/>
        <v>4.9000000000000004</v>
      </c>
      <c r="H30" s="173" t="s">
        <v>546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pane ySplit="1" topLeftCell="A2" activePane="bottomLeft" state="frozen"/>
      <selection pane="bottomLeft" activeCell="H2" sqref="H2"/>
    </sheetView>
  </sheetViews>
  <sheetFormatPr defaultRowHeight="13.2"/>
  <cols>
    <col min="1" max="1" width="23.6640625" style="164" customWidth="1"/>
    <col min="2" max="2" width="6.33203125" style="164" customWidth="1"/>
    <col min="3" max="6" width="9.109375" style="90" customWidth="1"/>
    <col min="7" max="9" width="9.109375" style="8" customWidth="1"/>
    <col min="10" max="10" width="8.33203125" style="8" customWidth="1"/>
    <col min="11" max="11" width="15.109375" bestFit="1" customWidth="1"/>
  </cols>
  <sheetData>
    <row r="1" spans="1:10" s="168" customFormat="1" ht="39.6">
      <c r="A1" s="165" t="s">
        <v>460</v>
      </c>
      <c r="B1" s="165" t="s">
        <v>475</v>
      </c>
      <c r="C1" s="166" t="s">
        <v>472</v>
      </c>
      <c r="D1" s="166" t="s">
        <v>1</v>
      </c>
      <c r="E1" s="166" t="s">
        <v>461</v>
      </c>
      <c r="F1" s="166" t="s">
        <v>462</v>
      </c>
      <c r="G1" s="167" t="s">
        <v>463</v>
      </c>
      <c r="H1" s="167" t="s">
        <v>464</v>
      </c>
      <c r="I1" s="167" t="s">
        <v>465</v>
      </c>
      <c r="J1" s="167" t="s">
        <v>476</v>
      </c>
    </row>
    <row r="2" spans="1:10">
      <c r="A2" s="164" t="s">
        <v>324</v>
      </c>
      <c r="B2" s="164" t="s">
        <v>85</v>
      </c>
      <c r="C2" s="90">
        <v>10.5</v>
      </c>
      <c r="D2" s="90">
        <v>3</v>
      </c>
      <c r="E2" s="90">
        <v>3</v>
      </c>
      <c r="F2" s="90">
        <v>12</v>
      </c>
      <c r="G2" s="8">
        <f>(C2-1)*SQRT(IF((D2-1)&gt;7,7,(D2-1))/7)*SQRT(IF((E2-1)&gt;7,7,(E2-1))/7)*(1+SQRT((F2-1))*9/100)</f>
        <v>3.524489770215391</v>
      </c>
      <c r="H2" s="8">
        <f>(C2-1)*SQRT(IF((D2-0.5)&gt;7,7,(D2-0.5))/7)*SQRT(IF((E2-1)&gt;7,7,(E2-1))/7)*(1+SQRT((F2-1))*9/100)</f>
        <v>3.940499356102114</v>
      </c>
      <c r="I2" s="8">
        <f>(C2-1)*SQRT(IF((D2)&gt;7,7,(D2))/7)*SQRT(IF((E2-1)&gt;7,7,(E2-1))/7)*(1+SQRT((F2-1))*9/100)</f>
        <v>4.3166007703434195</v>
      </c>
      <c r="J2" s="8">
        <f>(C2-1)*SQRT(IF((D2-0.5)&gt;7,7,(D2-0.5))/7)*(1+SQRT((F2-1))*9/100)</f>
        <v>7.3719992616687167</v>
      </c>
    </row>
    <row r="3" spans="1:10">
      <c r="A3" s="164" t="s">
        <v>571</v>
      </c>
      <c r="B3" s="164" t="s">
        <v>85</v>
      </c>
      <c r="C3" s="90">
        <v>8</v>
      </c>
      <c r="D3" s="90">
        <v>7</v>
      </c>
      <c r="E3" s="90">
        <v>8</v>
      </c>
      <c r="F3" s="90">
        <v>3</v>
      </c>
      <c r="G3" s="8">
        <f t="shared" ref="G3:G35" si="0">(C3-1)*SQRT(IF((D3-1)&gt;7,7,(D3-1))/7)*SQRT(IF((E3-1)&gt;7,7,(E3-1))/7)*(1+SQRT((F3-1))*9/100)</f>
        <v>7.305604323499912</v>
      </c>
      <c r="H3" s="8">
        <f t="shared" ref="H3:H35" si="1">(C3-1)*SQRT(IF((D3-0.5)&gt;7,7,(D3-0.5))/7)*SQRT(IF((E3-1)&gt;7,7,(E3-1))/7)*(1+SQRT((F3-1))*9/100)</f>
        <v>7.6039140628912723</v>
      </c>
      <c r="I3" s="8">
        <f t="shared" ref="I3:I35" si="2">(C3-1)*SQRT(IF((D3)&gt;7,7,(D3))/7)*SQRT(IF((E3-1)&gt;7,7,(E3-1))/7)*(1+SQRT((F3-1))*9/100)</f>
        <v>7.8909545442950506</v>
      </c>
      <c r="J3" s="8">
        <f t="shared" ref="J3:J35" si="3">(C3-1)*SQRT(IF((D3-0.5)&gt;7,7,(D3-0.5))/7)*(1+SQRT((F3-1))*9/100)</f>
        <v>7.6039140628912723</v>
      </c>
    </row>
    <row r="4" spans="1:10">
      <c r="B4" s="164" t="s">
        <v>85</v>
      </c>
      <c r="G4" s="8" t="e">
        <f t="shared" si="0"/>
        <v>#NUM!</v>
      </c>
      <c r="H4" s="8" t="e">
        <f t="shared" si="1"/>
        <v>#NUM!</v>
      </c>
      <c r="I4" s="8" t="e">
        <f t="shared" si="2"/>
        <v>#NUM!</v>
      </c>
      <c r="J4" s="8" t="e">
        <f t="shared" si="3"/>
        <v>#NUM!</v>
      </c>
    </row>
    <row r="5" spans="1:10">
      <c r="A5" s="164" t="s">
        <v>572</v>
      </c>
      <c r="B5" s="164" t="s">
        <v>85</v>
      </c>
      <c r="C5" s="90">
        <v>14</v>
      </c>
      <c r="D5" s="90">
        <v>6</v>
      </c>
      <c r="E5" s="90">
        <v>6.5</v>
      </c>
      <c r="F5" s="90">
        <v>8</v>
      </c>
      <c r="G5" s="8">
        <f t="shared" si="0"/>
        <v>12.057952333415489</v>
      </c>
      <c r="H5" s="8">
        <f t="shared" si="1"/>
        <v>12.64648709810009</v>
      </c>
      <c r="I5" s="8">
        <f t="shared" si="2"/>
        <v>13.208824980667433</v>
      </c>
      <c r="J5" s="8">
        <f t="shared" si="3"/>
        <v>14.267161605059643</v>
      </c>
    </row>
    <row r="6" spans="1:10">
      <c r="A6" s="164" t="s">
        <v>552</v>
      </c>
      <c r="B6" s="164" t="s">
        <v>85</v>
      </c>
      <c r="C6" s="90">
        <v>14</v>
      </c>
      <c r="D6" s="90">
        <v>8</v>
      </c>
      <c r="E6" s="90">
        <v>7.5</v>
      </c>
      <c r="F6" s="90">
        <v>5</v>
      </c>
      <c r="G6" s="8">
        <f t="shared" si="0"/>
        <v>14.781993872855679</v>
      </c>
      <c r="H6" s="8">
        <f t="shared" si="1"/>
        <v>14.781993872855679</v>
      </c>
      <c r="I6" s="8">
        <f t="shared" si="2"/>
        <v>14.781993872855679</v>
      </c>
      <c r="J6" s="8">
        <f t="shared" si="3"/>
        <v>15.34</v>
      </c>
    </row>
    <row r="7" spans="1:10">
      <c r="A7" s="164" t="s">
        <v>426</v>
      </c>
      <c r="B7" s="164" t="s">
        <v>85</v>
      </c>
      <c r="C7" s="90">
        <v>10</v>
      </c>
      <c r="D7" s="90">
        <v>8</v>
      </c>
      <c r="E7" s="90">
        <v>5</v>
      </c>
      <c r="F7" s="90">
        <v>7</v>
      </c>
      <c r="G7" s="8">
        <f t="shared" si="0"/>
        <v>8.3031890757976239</v>
      </c>
      <c r="H7" s="8">
        <f t="shared" si="1"/>
        <v>8.3031890757976239</v>
      </c>
      <c r="I7" s="8">
        <f t="shared" si="2"/>
        <v>8.3031890757976239</v>
      </c>
      <c r="J7" s="8">
        <f t="shared" si="3"/>
        <v>10.984086691654376</v>
      </c>
    </row>
    <row r="8" spans="1:10">
      <c r="A8" s="164" t="s">
        <v>573</v>
      </c>
      <c r="B8" s="164" t="s">
        <v>85</v>
      </c>
      <c r="C8" s="90">
        <v>14</v>
      </c>
      <c r="D8" s="90">
        <v>4</v>
      </c>
      <c r="E8" s="90">
        <v>7.5</v>
      </c>
      <c r="F8" s="90">
        <v>5</v>
      </c>
      <c r="G8" s="8">
        <f t="shared" si="0"/>
        <v>9.6770865492477967</v>
      </c>
      <c r="H8" s="8">
        <f t="shared" si="1"/>
        <v>10.452448106954247</v>
      </c>
      <c r="I8" s="8">
        <f t="shared" si="2"/>
        <v>11.174137048359043</v>
      </c>
      <c r="J8" s="8">
        <f t="shared" si="3"/>
        <v>10.84701802340164</v>
      </c>
    </row>
    <row r="9" spans="1:10">
      <c r="B9" s="164" t="s">
        <v>85</v>
      </c>
      <c r="G9" s="8" t="e">
        <f t="shared" si="0"/>
        <v>#NUM!</v>
      </c>
      <c r="H9" s="8" t="e">
        <f t="shared" si="1"/>
        <v>#NUM!</v>
      </c>
      <c r="I9" s="8" t="e">
        <f t="shared" si="2"/>
        <v>#NUM!</v>
      </c>
      <c r="J9" s="8" t="e">
        <f t="shared" si="3"/>
        <v>#NUM!</v>
      </c>
    </row>
    <row r="10" spans="1:10">
      <c r="A10" s="164" t="s">
        <v>466</v>
      </c>
      <c r="B10" s="164" t="s">
        <v>474</v>
      </c>
      <c r="C10" s="90">
        <v>15</v>
      </c>
      <c r="D10" s="90">
        <v>4</v>
      </c>
      <c r="E10" s="90">
        <v>7.5</v>
      </c>
      <c r="F10" s="90">
        <v>8</v>
      </c>
      <c r="G10" s="8">
        <f t="shared" si="0"/>
        <v>10.934758726526471</v>
      </c>
      <c r="H10" s="8">
        <f t="shared" si="1"/>
        <v>11.810889317711769</v>
      </c>
      <c r="I10" s="8">
        <f t="shared" si="2"/>
        <v>12.626371788567337</v>
      </c>
      <c r="J10" s="8">
        <f t="shared" si="3"/>
        <v>12.256739090279249</v>
      </c>
    </row>
    <row r="11" spans="1:10">
      <c r="A11" s="164" t="s">
        <v>467</v>
      </c>
      <c r="B11" s="164" t="s">
        <v>474</v>
      </c>
      <c r="C11" s="90">
        <v>13.3</v>
      </c>
      <c r="D11" s="90">
        <v>6</v>
      </c>
      <c r="E11" s="90">
        <v>8</v>
      </c>
      <c r="F11" s="90">
        <v>4</v>
      </c>
      <c r="G11" s="8">
        <f t="shared" si="0"/>
        <v>12.015879404291793</v>
      </c>
      <c r="H11" s="8">
        <f t="shared" si="1"/>
        <v>12.602360637766722</v>
      </c>
      <c r="I11" s="8">
        <f t="shared" si="2"/>
        <v>13.162736395984703</v>
      </c>
      <c r="J11" s="8">
        <f t="shared" si="3"/>
        <v>12.602360637766722</v>
      </c>
    </row>
    <row r="12" spans="1:10">
      <c r="A12" s="164" t="s">
        <v>468</v>
      </c>
      <c r="B12" s="164" t="s">
        <v>474</v>
      </c>
      <c r="C12" s="90">
        <v>14</v>
      </c>
      <c r="D12" s="90">
        <v>7</v>
      </c>
      <c r="E12" s="90">
        <v>8</v>
      </c>
      <c r="F12" s="90">
        <v>5</v>
      </c>
      <c r="G12" s="8">
        <f t="shared" si="0"/>
        <v>14.202080330510938</v>
      </c>
      <c r="H12" s="8">
        <f t="shared" si="1"/>
        <v>14.781993872855679</v>
      </c>
      <c r="I12" s="8">
        <f t="shared" si="2"/>
        <v>15.34</v>
      </c>
      <c r="J12" s="8">
        <f t="shared" si="3"/>
        <v>14.781993872855679</v>
      </c>
    </row>
    <row r="13" spans="1:10">
      <c r="A13" s="164" t="s">
        <v>469</v>
      </c>
      <c r="B13" s="164" t="s">
        <v>474</v>
      </c>
      <c r="C13" s="90">
        <v>13.3</v>
      </c>
      <c r="D13" s="90">
        <v>7</v>
      </c>
      <c r="E13" s="90">
        <v>8</v>
      </c>
      <c r="F13" s="90">
        <v>3</v>
      </c>
      <c r="G13" s="8">
        <f t="shared" si="0"/>
        <v>12.836990454149845</v>
      </c>
      <c r="H13" s="8">
        <f t="shared" si="1"/>
        <v>13.361163281937522</v>
      </c>
      <c r="I13" s="8">
        <f t="shared" si="2"/>
        <v>13.865534413547019</v>
      </c>
      <c r="J13" s="8">
        <f t="shared" si="3"/>
        <v>13.361163281937522</v>
      </c>
    </row>
    <row r="14" spans="1:10">
      <c r="A14" s="164" t="s">
        <v>466</v>
      </c>
      <c r="B14" s="164" t="s">
        <v>85</v>
      </c>
      <c r="C14" s="90">
        <v>9</v>
      </c>
      <c r="D14" s="90">
        <v>4</v>
      </c>
      <c r="E14" s="90">
        <v>7.5</v>
      </c>
      <c r="F14" s="90">
        <v>8</v>
      </c>
      <c r="G14" s="8">
        <f t="shared" si="0"/>
        <v>6.248433558015126</v>
      </c>
      <c r="H14" s="8">
        <f t="shared" si="1"/>
        <v>6.7490796101210115</v>
      </c>
      <c r="I14" s="8">
        <f t="shared" si="2"/>
        <v>7.2150695934670486</v>
      </c>
      <c r="J14" s="8">
        <f t="shared" si="3"/>
        <v>7.0038509087309997</v>
      </c>
    </row>
    <row r="15" spans="1:10">
      <c r="A15" s="164" t="s">
        <v>468</v>
      </c>
      <c r="B15" s="164" t="s">
        <v>85</v>
      </c>
      <c r="C15" s="90">
        <v>6</v>
      </c>
      <c r="D15" s="90">
        <v>7</v>
      </c>
      <c r="E15" s="90">
        <v>8</v>
      </c>
      <c r="F15" s="90">
        <v>5</v>
      </c>
      <c r="G15" s="8">
        <f t="shared" si="0"/>
        <v>5.4623385886580529</v>
      </c>
      <c r="H15" s="8">
        <f t="shared" si="1"/>
        <v>5.6853822587906455</v>
      </c>
      <c r="I15" s="8">
        <f t="shared" si="2"/>
        <v>5.8999999999999995</v>
      </c>
      <c r="J15" s="8">
        <f t="shared" si="3"/>
        <v>5.6853822587906455</v>
      </c>
    </row>
    <row r="16" spans="1:10">
      <c r="A16" s="164" t="s">
        <v>470</v>
      </c>
      <c r="B16" s="164" t="s">
        <v>473</v>
      </c>
      <c r="C16" s="90">
        <v>13.7</v>
      </c>
      <c r="D16" s="90">
        <v>4</v>
      </c>
      <c r="E16" s="90">
        <v>7.5</v>
      </c>
      <c r="F16" s="90">
        <v>5</v>
      </c>
      <c r="G16" s="8">
        <f t="shared" si="0"/>
        <v>9.4537691673420774</v>
      </c>
      <c r="H16" s="8">
        <f t="shared" si="1"/>
        <v>10.211237766024533</v>
      </c>
      <c r="I16" s="8">
        <f t="shared" si="2"/>
        <v>10.916272347243066</v>
      </c>
      <c r="J16" s="8">
        <f t="shared" si="3"/>
        <v>10.5967022228616</v>
      </c>
    </row>
    <row r="17" spans="1:14">
      <c r="A17" s="164" t="s">
        <v>471</v>
      </c>
      <c r="B17" s="164" t="s">
        <v>473</v>
      </c>
      <c r="C17" s="90">
        <v>11</v>
      </c>
      <c r="D17" s="90">
        <v>6</v>
      </c>
      <c r="E17" s="90">
        <v>8</v>
      </c>
      <c r="F17" s="90">
        <v>2</v>
      </c>
      <c r="G17" s="8">
        <f>(C17-1)*SQRT(IF((D17-1)&gt;7,7,(D17-1))/7)*SQRT(IF((E17-1)&gt;7,7,(E17-1))/7)*(1+SQRT((F17-1))*9/100)</f>
        <v>9.2121813765408316</v>
      </c>
      <c r="H17" s="8">
        <f>(C17-1)*SQRT(IF((D17-0.5)&gt;7,7,(D17-0.5))/7)*SQRT(IF((E17-1)&gt;7,7,(E17-1))/7)*(1+SQRT((F17-1))*9/100)</f>
        <v>9.6618173386643118</v>
      </c>
      <c r="I17" s="8">
        <f>(C17-1)*SQRT(IF((D17)&gt;7,7,(D17))/7)*SQRT(IF((E17-1)&gt;7,7,(E17-1))/7)*(1+SQRT((F17-1))*9/100)</f>
        <v>10.09143908752081</v>
      </c>
      <c r="J17" s="8">
        <f t="shared" si="3"/>
        <v>9.6618173386643118</v>
      </c>
    </row>
    <row r="18" spans="1:14">
      <c r="G18" s="8" t="e">
        <f t="shared" si="0"/>
        <v>#NUM!</v>
      </c>
      <c r="H18" s="8" t="e">
        <f t="shared" si="1"/>
        <v>#NUM!</v>
      </c>
      <c r="I18" s="8" t="e">
        <f t="shared" si="2"/>
        <v>#NUM!</v>
      </c>
      <c r="J18" s="8" t="e">
        <f t="shared" si="3"/>
        <v>#NUM!</v>
      </c>
    </row>
    <row r="19" spans="1:14">
      <c r="G19" s="8" t="e">
        <f t="shared" si="0"/>
        <v>#NUM!</v>
      </c>
      <c r="H19" s="8" t="e">
        <f t="shared" si="1"/>
        <v>#NUM!</v>
      </c>
      <c r="I19" s="8" t="e">
        <f t="shared" si="2"/>
        <v>#NUM!</v>
      </c>
      <c r="J19" s="8" t="e">
        <f t="shared" si="3"/>
        <v>#NUM!</v>
      </c>
    </row>
    <row r="20" spans="1:14">
      <c r="A20" s="164" t="s">
        <v>553</v>
      </c>
      <c r="B20" s="164" t="s">
        <v>555</v>
      </c>
      <c r="C20" s="90">
        <v>16</v>
      </c>
      <c r="D20" s="90">
        <v>5</v>
      </c>
      <c r="E20" s="90">
        <v>8</v>
      </c>
      <c r="F20" s="90">
        <v>5</v>
      </c>
      <c r="G20" s="8">
        <f t="shared" si="0"/>
        <v>13.379942344526643</v>
      </c>
      <c r="H20" s="8">
        <f t="shared" si="1"/>
        <v>14.191571945549734</v>
      </c>
      <c r="I20" s="8">
        <f t="shared" si="2"/>
        <v>14.959230308694742</v>
      </c>
      <c r="J20" s="8">
        <f t="shared" si="3"/>
        <v>14.191571945549734</v>
      </c>
      <c r="L20">
        <f t="shared" ref="L20:N21" si="4">G20+G24/3</f>
        <v>14.271938500828419</v>
      </c>
      <c r="M20">
        <f t="shared" si="4"/>
        <v>15.137676741919716</v>
      </c>
      <c r="N20">
        <f t="shared" si="4"/>
        <v>15.956512329274393</v>
      </c>
    </row>
    <row r="21" spans="1:14">
      <c r="A21" s="164" t="s">
        <v>554</v>
      </c>
      <c r="B21" s="164" t="s">
        <v>555</v>
      </c>
      <c r="C21" s="90">
        <v>16</v>
      </c>
      <c r="D21" s="90">
        <v>6</v>
      </c>
      <c r="E21" s="90">
        <v>8</v>
      </c>
      <c r="F21" s="90">
        <v>4</v>
      </c>
      <c r="G21" s="8">
        <f>(C21-1)*SQRT(IF((D21-1)&gt;7,7,(D21-1))/7)*SQRT(IF((E21-1)&gt;7,7,(E21-1))/7)*(1+SQRT((F21-1))*9/100)</f>
        <v>14.653511468648526</v>
      </c>
      <c r="H21" s="8">
        <f t="shared" si="1"/>
        <v>15.368732485081367</v>
      </c>
      <c r="I21" s="8">
        <f>(C21-1)*SQRT(IF((D21)&gt;7,7,(D21))/7)*SQRT(IF((E21-1)&gt;7,7,(E21-1))/7)*(1+SQRT((F21-1))*9/100)</f>
        <v>16.052117556078908</v>
      </c>
      <c r="J21" s="8">
        <f t="shared" si="3"/>
        <v>15.368732485081367</v>
      </c>
      <c r="L21">
        <f t="shared" si="4"/>
        <v>14.979145056840716</v>
      </c>
      <c r="M21">
        <f t="shared" si="4"/>
        <v>15.71025987363873</v>
      </c>
      <c r="N21">
        <f t="shared" si="4"/>
        <v>16.408831279547329</v>
      </c>
    </row>
    <row r="22" spans="1:14">
      <c r="A22" s="164" t="s">
        <v>553</v>
      </c>
      <c r="B22" s="164" t="s">
        <v>555</v>
      </c>
      <c r="C22" s="90">
        <v>9</v>
      </c>
      <c r="D22" s="90">
        <v>5</v>
      </c>
      <c r="E22" s="90">
        <v>8</v>
      </c>
      <c r="F22" s="90">
        <v>5</v>
      </c>
      <c r="G22" s="8">
        <f t="shared" si="0"/>
        <v>7.1359692504142087</v>
      </c>
      <c r="H22" s="8">
        <f t="shared" si="1"/>
        <v>7.5688383709598588</v>
      </c>
      <c r="I22" s="8">
        <f t="shared" si="2"/>
        <v>7.9782561646371963</v>
      </c>
      <c r="J22" s="8">
        <f t="shared" si="3"/>
        <v>7.5688383709598588</v>
      </c>
    </row>
    <row r="23" spans="1:14">
      <c r="A23" s="164" t="s">
        <v>554</v>
      </c>
      <c r="B23" s="164" t="s">
        <v>555</v>
      </c>
      <c r="C23" s="90">
        <v>8</v>
      </c>
      <c r="D23" s="90">
        <v>6</v>
      </c>
      <c r="E23" s="90">
        <v>8</v>
      </c>
      <c r="F23" s="90">
        <v>4</v>
      </c>
      <c r="G23" s="8">
        <f t="shared" si="0"/>
        <v>6.8383053520359791</v>
      </c>
      <c r="H23" s="8">
        <f t="shared" si="1"/>
        <v>7.1720751597046384</v>
      </c>
      <c r="I23" s="8">
        <f t="shared" si="2"/>
        <v>7.4909881928368236</v>
      </c>
      <c r="J23" s="8">
        <f t="shared" si="3"/>
        <v>7.1720751597046384</v>
      </c>
    </row>
    <row r="24" spans="1:14">
      <c r="A24" s="164" t="s">
        <v>553</v>
      </c>
      <c r="B24" s="164" t="s">
        <v>555</v>
      </c>
      <c r="C24" s="90">
        <v>4</v>
      </c>
      <c r="D24" s="90">
        <v>5</v>
      </c>
      <c r="E24" s="90">
        <v>8</v>
      </c>
      <c r="F24" s="90">
        <v>5</v>
      </c>
      <c r="G24" s="8">
        <f t="shared" si="0"/>
        <v>2.6759884689053282</v>
      </c>
      <c r="H24" s="8">
        <f t="shared" si="1"/>
        <v>2.8383143891099469</v>
      </c>
      <c r="I24" s="8">
        <f t="shared" si="2"/>
        <v>2.9918460617389488</v>
      </c>
      <c r="J24" s="8">
        <f t="shared" si="3"/>
        <v>2.8383143891099469</v>
      </c>
    </row>
    <row r="25" spans="1:14">
      <c r="A25" s="164" t="s">
        <v>554</v>
      </c>
      <c r="B25" s="164" t="s">
        <v>555</v>
      </c>
      <c r="C25" s="90">
        <v>2</v>
      </c>
      <c r="D25" s="90">
        <v>6</v>
      </c>
      <c r="E25" s="90">
        <v>8</v>
      </c>
      <c r="F25" s="90">
        <v>4</v>
      </c>
      <c r="G25" s="8">
        <f t="shared" si="0"/>
        <v>0.97690076457656838</v>
      </c>
      <c r="H25" s="8">
        <f t="shared" si="1"/>
        <v>1.024582165672091</v>
      </c>
      <c r="I25" s="8">
        <f t="shared" si="2"/>
        <v>1.0701411704052604</v>
      </c>
      <c r="J25" s="8">
        <f t="shared" si="3"/>
        <v>1.024582165672091</v>
      </c>
    </row>
    <row r="26" spans="1:14">
      <c r="G26" s="8" t="e">
        <f t="shared" si="0"/>
        <v>#NUM!</v>
      </c>
      <c r="H26" s="8" t="e">
        <f t="shared" si="1"/>
        <v>#NUM!</v>
      </c>
      <c r="I26" s="8" t="e">
        <f t="shared" si="2"/>
        <v>#NUM!</v>
      </c>
      <c r="J26" s="8" t="e">
        <f t="shared" si="3"/>
        <v>#NUM!</v>
      </c>
    </row>
    <row r="27" spans="1:14">
      <c r="G27" s="8" t="e">
        <f t="shared" si="0"/>
        <v>#NUM!</v>
      </c>
      <c r="H27" s="8" t="e">
        <f t="shared" si="1"/>
        <v>#NUM!</v>
      </c>
      <c r="I27" s="8" t="e">
        <f t="shared" si="2"/>
        <v>#NUM!</v>
      </c>
      <c r="J27" s="8" t="e">
        <f t="shared" si="3"/>
        <v>#NUM!</v>
      </c>
    </row>
    <row r="28" spans="1:14">
      <c r="A28" s="164" t="s">
        <v>551</v>
      </c>
      <c r="B28" s="164" t="s">
        <v>474</v>
      </c>
      <c r="C28" s="90">
        <v>18</v>
      </c>
      <c r="D28" s="90">
        <v>7</v>
      </c>
      <c r="E28" s="90">
        <v>7</v>
      </c>
      <c r="F28" s="90">
        <v>14</v>
      </c>
      <c r="G28" s="8">
        <f t="shared" si="0"/>
        <v>19.299851529822774</v>
      </c>
      <c r="H28" s="8">
        <f t="shared" si="1"/>
        <v>20.087922362188248</v>
      </c>
      <c r="I28" s="8">
        <f t="shared" si="2"/>
        <v>20.846222213758608</v>
      </c>
      <c r="J28" s="8">
        <f t="shared" si="3"/>
        <v>21.697435999848459</v>
      </c>
      <c r="L28">
        <f>H28+2*H32</f>
        <v>29.54106229733566</v>
      </c>
    </row>
    <row r="29" spans="1:14">
      <c r="A29" s="164" t="s">
        <v>550</v>
      </c>
      <c r="B29" s="164" t="s">
        <v>474</v>
      </c>
      <c r="C29" s="90">
        <v>18</v>
      </c>
      <c r="D29" s="90">
        <v>7</v>
      </c>
      <c r="E29" s="90">
        <v>7</v>
      </c>
      <c r="F29" s="90">
        <v>20</v>
      </c>
      <c r="G29" s="8">
        <f t="shared" si="0"/>
        <v>20.287813185957621</v>
      </c>
      <c r="H29" s="8">
        <f t="shared" si="1"/>
        <v>21.116225456364329</v>
      </c>
      <c r="I29" s="8">
        <f t="shared" si="2"/>
        <v>21.913342765988535</v>
      </c>
      <c r="J29" s="8">
        <f t="shared" si="3"/>
        <v>22.808130285302738</v>
      </c>
      <c r="L29">
        <f>H29+2*H33</f>
        <v>29.811141820749643</v>
      </c>
    </row>
    <row r="30" spans="1:14">
      <c r="A30" s="164" t="s">
        <v>549</v>
      </c>
      <c r="B30" s="164" t="s">
        <v>474</v>
      </c>
      <c r="C30" s="90">
        <v>19</v>
      </c>
      <c r="D30" s="90">
        <v>7</v>
      </c>
      <c r="E30" s="90">
        <v>7</v>
      </c>
      <c r="F30" s="90">
        <v>20</v>
      </c>
      <c r="G30" s="8">
        <f t="shared" si="0"/>
        <v>21.48121396160219</v>
      </c>
      <c r="H30" s="8">
        <f t="shared" si="1"/>
        <v>22.358356365562233</v>
      </c>
      <c r="I30" s="8">
        <f t="shared" si="2"/>
        <v>23.202362928693741</v>
      </c>
      <c r="J30" s="8">
        <f t="shared" si="3"/>
        <v>24.149785007967605</v>
      </c>
      <c r="L30">
        <f>H30+2*H34</f>
        <v>37.263927275937057</v>
      </c>
    </row>
    <row r="31" spans="1:14">
      <c r="A31" s="164" t="s">
        <v>548</v>
      </c>
      <c r="B31" s="164" t="s">
        <v>474</v>
      </c>
      <c r="C31" s="90">
        <v>17.5</v>
      </c>
      <c r="D31" s="90">
        <v>8</v>
      </c>
      <c r="E31" s="90">
        <v>7</v>
      </c>
      <c r="F31" s="90">
        <v>20</v>
      </c>
      <c r="G31" s="8">
        <f t="shared" si="0"/>
        <v>21.268832684635932</v>
      </c>
      <c r="H31" s="8">
        <f t="shared" si="1"/>
        <v>21.268832684635932</v>
      </c>
      <c r="I31" s="8">
        <f t="shared" si="2"/>
        <v>21.268832684635932</v>
      </c>
      <c r="J31" s="8">
        <f t="shared" si="3"/>
        <v>22.9729649311579</v>
      </c>
      <c r="L31">
        <f>H31+2*H35</f>
        <v>19.979812521930725</v>
      </c>
    </row>
    <row r="32" spans="1:14">
      <c r="A32" s="164" t="s">
        <v>551</v>
      </c>
      <c r="B32" s="164" t="s">
        <v>85</v>
      </c>
      <c r="C32" s="90">
        <v>5</v>
      </c>
      <c r="D32" s="90">
        <v>7</v>
      </c>
      <c r="E32" s="90">
        <v>7</v>
      </c>
      <c r="F32" s="90">
        <v>14</v>
      </c>
      <c r="G32" s="8">
        <f t="shared" si="0"/>
        <v>4.5411415364288885</v>
      </c>
      <c r="H32" s="8">
        <f t="shared" si="1"/>
        <v>4.7265699675737061</v>
      </c>
      <c r="I32" s="8">
        <f t="shared" si="2"/>
        <v>4.9049934620608493</v>
      </c>
      <c r="J32" s="8">
        <f t="shared" si="3"/>
        <v>5.1052790587878727</v>
      </c>
    </row>
    <row r="33" spans="1:12">
      <c r="A33" s="164" t="s">
        <v>550</v>
      </c>
      <c r="B33" s="164" t="s">
        <v>85</v>
      </c>
      <c r="C33" s="90">
        <v>4.5</v>
      </c>
      <c r="D33" s="90">
        <v>7</v>
      </c>
      <c r="E33" s="90">
        <v>7</v>
      </c>
      <c r="F33" s="90">
        <v>20</v>
      </c>
      <c r="G33" s="8">
        <f t="shared" si="0"/>
        <v>4.1769027147559816</v>
      </c>
      <c r="H33" s="8">
        <f t="shared" si="1"/>
        <v>4.347458182192657</v>
      </c>
      <c r="I33" s="8">
        <f t="shared" si="2"/>
        <v>4.511570569468228</v>
      </c>
      <c r="J33" s="8">
        <f t="shared" si="3"/>
        <v>4.6957915293270345</v>
      </c>
    </row>
    <row r="34" spans="1:12">
      <c r="A34" s="164" t="s">
        <v>549</v>
      </c>
      <c r="B34" s="164" t="s">
        <v>85</v>
      </c>
      <c r="C34" s="90">
        <v>7</v>
      </c>
      <c r="D34" s="90">
        <v>7</v>
      </c>
      <c r="E34" s="90">
        <v>7</v>
      </c>
      <c r="F34" s="90">
        <v>20</v>
      </c>
      <c r="G34" s="8">
        <f t="shared" si="0"/>
        <v>7.1604046538673964</v>
      </c>
      <c r="H34" s="8">
        <f t="shared" si="1"/>
        <v>7.4527854551874126</v>
      </c>
      <c r="I34" s="8">
        <f t="shared" si="2"/>
        <v>7.7341209762312477</v>
      </c>
      <c r="J34" s="8">
        <f t="shared" si="3"/>
        <v>8.0499283359892022</v>
      </c>
    </row>
    <row r="35" spans="1:12">
      <c r="A35" s="164" t="s">
        <v>548</v>
      </c>
      <c r="B35" s="164" t="s">
        <v>85</v>
      </c>
      <c r="C35" s="90">
        <v>0.5</v>
      </c>
      <c r="D35" s="90">
        <v>8</v>
      </c>
      <c r="E35" s="90">
        <v>7</v>
      </c>
      <c r="F35" s="90">
        <v>20</v>
      </c>
      <c r="G35" s="8">
        <f t="shared" si="0"/>
        <v>-0.64451008135260401</v>
      </c>
      <c r="H35" s="8">
        <f t="shared" si="1"/>
        <v>-0.64451008135260401</v>
      </c>
      <c r="I35" s="8">
        <f t="shared" si="2"/>
        <v>-0.64451008135260401</v>
      </c>
      <c r="J35" s="8">
        <f t="shared" si="3"/>
        <v>-0.69615045245933027</v>
      </c>
    </row>
    <row r="36" spans="1:12">
      <c r="G36" s="8" t="e">
        <f t="shared" ref="G36:G43" si="5">(C36-1)*SQRT(IF((D36-1)&gt;7,7,(D36-1))/7)*SQRT(IF((E36-1)&gt;7,7,(E36-1))/7)*(1+SQRT((F36-1))*9/100)</f>
        <v>#NUM!</v>
      </c>
      <c r="H36" s="8" t="e">
        <f t="shared" ref="H36:H43" si="6">(C36-1)*SQRT(IF((D36-0.5)&gt;7,7,(D36-0.5))/7)*SQRT(IF((E36-1)&gt;7,7,(E36-1))/7)*(1+SQRT((F36-1))*9/100)</f>
        <v>#NUM!</v>
      </c>
      <c r="I36" s="8" t="e">
        <f t="shared" ref="I36:I43" si="7">(C36-1)*SQRT(IF((D36)&gt;7,7,(D36))/7)*SQRT(IF((E36-1)&gt;7,7,(E36-1))/7)*(1+SQRT((F36-1))*9/100)</f>
        <v>#NUM!</v>
      </c>
      <c r="J36" s="8" t="e">
        <f t="shared" ref="J36:J43" si="8">(C36-1)*SQRT(IF((D36-0.5)&gt;7,7,(D36-0.5))/7)*(1+SQRT((F36-1))*9/100)</f>
        <v>#NUM!</v>
      </c>
    </row>
    <row r="37" spans="1:12">
      <c r="A37" s="164" t="s">
        <v>550</v>
      </c>
      <c r="B37" s="164" t="s">
        <v>88</v>
      </c>
      <c r="C37" s="90">
        <v>15</v>
      </c>
      <c r="D37" s="90">
        <v>5</v>
      </c>
      <c r="E37" s="90">
        <v>8</v>
      </c>
      <c r="F37" s="90">
        <v>20</v>
      </c>
      <c r="G37" s="8">
        <f>(C37-1)*SQRT(IF((D37-1)&gt;7,7,(D37-1))/7)*SQRT(IF((E37-1)&gt;7,7,(E37-1))/7)*(1+SQRT((F37-1))*9/100)</f>
        <v>14.734727778339847</v>
      </c>
      <c r="H37" s="8">
        <f t="shared" si="6"/>
        <v>15.628538896502848</v>
      </c>
      <c r="I37" s="8">
        <f>(C37-1)*SQRT(IF((D37)&gt;7,7,(D37))/7)*SQRT(IF((E37-1)&gt;7,7,(E37-1))/7)*(1+SQRT((F37-1))*9/100)</f>
        <v>16.473926471161178</v>
      </c>
      <c r="J37" s="8">
        <f t="shared" si="8"/>
        <v>15.628538896502848</v>
      </c>
      <c r="L37">
        <f>SUM(L28:L31)</f>
        <v>116.59594391595309</v>
      </c>
    </row>
    <row r="38" spans="1:12">
      <c r="A38" s="164" t="s">
        <v>570</v>
      </c>
      <c r="B38" s="164" t="s">
        <v>88</v>
      </c>
      <c r="C38" s="90">
        <v>16.75</v>
      </c>
      <c r="D38" s="90">
        <v>6</v>
      </c>
      <c r="E38" s="90">
        <v>8</v>
      </c>
      <c r="F38" s="90">
        <v>8</v>
      </c>
      <c r="G38" s="8">
        <f t="shared" si="5"/>
        <v>16.480805870080086</v>
      </c>
      <c r="H38" s="8">
        <f>(C38-1)*SQRT(IF((D38-0.5)&gt;7,7,(D38-0.5))/7)*SQRT(IF((E38-1)&gt;7,7,(E38-1))/7)*(1+SQRT((F38-1))*9/100)</f>
        <v>17.285215021514567</v>
      </c>
      <c r="I38" s="8">
        <f>(C38-1)*SQRT(IF((D38)&gt;7,7,(D38))/7)*SQRT(IF((E38-1)&gt;7,7,(E38-1))/7)*(1+SQRT((F38-1))*9/100)</f>
        <v>18.053818281812838</v>
      </c>
      <c r="J38" s="8">
        <f t="shared" si="8"/>
        <v>17.285215021514567</v>
      </c>
    </row>
    <row r="39" spans="1:12">
      <c r="G39" s="8" t="e">
        <f t="shared" si="5"/>
        <v>#NUM!</v>
      </c>
      <c r="H39" s="8" t="e">
        <f t="shared" si="6"/>
        <v>#NUM!</v>
      </c>
      <c r="I39" s="8" t="e">
        <f t="shared" si="7"/>
        <v>#NUM!</v>
      </c>
      <c r="J39" s="8" t="e">
        <f t="shared" si="8"/>
        <v>#NUM!</v>
      </c>
    </row>
    <row r="40" spans="1:12">
      <c r="G40" s="8" t="e">
        <f t="shared" si="5"/>
        <v>#NUM!</v>
      </c>
      <c r="H40" s="8" t="e">
        <f t="shared" si="6"/>
        <v>#NUM!</v>
      </c>
      <c r="I40" s="8" t="e">
        <f t="shared" si="7"/>
        <v>#NUM!</v>
      </c>
      <c r="J40" s="8" t="e">
        <f t="shared" si="8"/>
        <v>#NUM!</v>
      </c>
    </row>
    <row r="41" spans="1:12">
      <c r="G41" s="8" t="e">
        <f t="shared" si="5"/>
        <v>#NUM!</v>
      </c>
      <c r="H41" s="8" t="e">
        <f t="shared" si="6"/>
        <v>#NUM!</v>
      </c>
      <c r="I41" s="8" t="e">
        <f t="shared" si="7"/>
        <v>#NUM!</v>
      </c>
      <c r="J41" s="8" t="e">
        <f t="shared" si="8"/>
        <v>#NUM!</v>
      </c>
    </row>
    <row r="42" spans="1:12">
      <c r="G42" s="8" t="e">
        <f t="shared" si="5"/>
        <v>#NUM!</v>
      </c>
      <c r="H42" s="8" t="e">
        <f t="shared" si="6"/>
        <v>#NUM!</v>
      </c>
      <c r="I42" s="8" t="e">
        <f t="shared" si="7"/>
        <v>#NUM!</v>
      </c>
      <c r="J42" s="8" t="e">
        <f t="shared" si="8"/>
        <v>#NUM!</v>
      </c>
    </row>
    <row r="43" spans="1:12">
      <c r="G43" s="8" t="e">
        <f t="shared" si="5"/>
        <v>#NUM!</v>
      </c>
      <c r="H43" s="8" t="e">
        <f t="shared" si="6"/>
        <v>#NUM!</v>
      </c>
      <c r="I43" s="8" t="e">
        <f t="shared" si="7"/>
        <v>#NUM!</v>
      </c>
      <c r="J43" s="8" t="e">
        <f t="shared" si="8"/>
        <v>#NUM!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D21" sqref="D21"/>
    </sheetView>
  </sheetViews>
  <sheetFormatPr defaultRowHeight="13.2"/>
  <cols>
    <col min="1" max="1" width="14.6640625" customWidth="1"/>
    <col min="16" max="16" width="15.109375" customWidth="1"/>
    <col min="17" max="17" width="19.44140625" bestFit="1" customWidth="1"/>
  </cols>
  <sheetData>
    <row r="1" spans="1:17">
      <c r="A1" s="17" t="s">
        <v>108</v>
      </c>
    </row>
    <row r="2" spans="1:17" s="20" customFormat="1" ht="13.8" thickBot="1"/>
    <row r="4" spans="1:17">
      <c r="A4" s="29" t="s">
        <v>131</v>
      </c>
      <c r="B4" s="4" t="s">
        <v>17</v>
      </c>
      <c r="C4" s="4" t="s">
        <v>18</v>
      </c>
      <c r="D4" s="4" t="s">
        <v>19</v>
      </c>
    </row>
    <row r="5" spans="1:17">
      <c r="A5" s="4" t="s">
        <v>50</v>
      </c>
      <c r="B5" s="9">
        <f>$B$6*(SQRT($B$7-1)/SQRT(7))</f>
        <v>9.8198050606196556</v>
      </c>
      <c r="C5" s="9">
        <f>$B$6*(SQRT($B$7-0.5)/SQRT(7))</f>
        <v>10.606601717798211</v>
      </c>
      <c r="D5" s="9">
        <f>$B$6*(SQRT($B$7)/SQRT(7))</f>
        <v>11.338934190276817</v>
      </c>
      <c r="F5" s="6" t="s">
        <v>46</v>
      </c>
    </row>
    <row r="6" spans="1:17">
      <c r="A6" s="4" t="s">
        <v>51</v>
      </c>
      <c r="B6" s="25">
        <v>15</v>
      </c>
    </row>
    <row r="7" spans="1:17">
      <c r="A7" s="4" t="s">
        <v>1</v>
      </c>
      <c r="B7" s="25">
        <v>4</v>
      </c>
    </row>
    <row r="9" spans="1:17">
      <c r="A9" s="29" t="s">
        <v>132</v>
      </c>
      <c r="B9" s="4" t="s">
        <v>17</v>
      </c>
      <c r="C9" s="4" t="s">
        <v>18</v>
      </c>
      <c r="D9" s="4" t="s">
        <v>19</v>
      </c>
      <c r="M9" t="s">
        <v>1</v>
      </c>
      <c r="P9" t="s">
        <v>415</v>
      </c>
      <c r="Q9" t="s">
        <v>416</v>
      </c>
    </row>
    <row r="10" spans="1:17">
      <c r="A10" s="4" t="s">
        <v>50</v>
      </c>
      <c r="B10" s="9">
        <f>$B11*(SQRT($B12-1)/SQRT(7))</f>
        <v>8.4515425472851664</v>
      </c>
      <c r="C10" s="9">
        <f>$B$11*(SQRT($B$12-0.5)/SQRT(7))</f>
        <v>8.8640526042791841</v>
      </c>
      <c r="D10" s="9">
        <f>$B11*(SQRT($B12)/SQRT(7))</f>
        <v>9.2582009977255133</v>
      </c>
      <c r="M10">
        <v>1</v>
      </c>
      <c r="N10" s="9">
        <f>(SQRT(M10-1)/SQRT(7))</f>
        <v>0</v>
      </c>
      <c r="P10" t="str">
        <f>VLOOKUP(M10,Parser!M5:N44,2,FALSE)</f>
        <v>katastrofal</v>
      </c>
      <c r="Q10" t="str">
        <f>CONCATENATE(TEXT(N10,"0%")," - ",TEXT(N11,"0%"))</f>
        <v>0% - 38%</v>
      </c>
    </row>
    <row r="11" spans="1:17">
      <c r="A11" s="4" t="s">
        <v>51</v>
      </c>
      <c r="B11" s="25">
        <v>10</v>
      </c>
      <c r="M11">
        <v>2</v>
      </c>
      <c r="N11" s="9">
        <f t="shared" ref="N11:N17" si="0">(SQRT(M11-1)/SQRT(7))</f>
        <v>0.3779644730092272</v>
      </c>
      <c r="P11" t="str">
        <f>VLOOKUP(M11,Parser!M6:N45,2,FALSE)</f>
        <v>usel</v>
      </c>
      <c r="Q11" t="str">
        <f t="shared" ref="Q11:Q17" si="1">CONCATENATE(TEXT(N11,"0%")," - ",TEXT(N12,"0%"))</f>
        <v>38% - 53%</v>
      </c>
    </row>
    <row r="12" spans="1:17">
      <c r="A12" s="4" t="s">
        <v>1</v>
      </c>
      <c r="B12" s="25">
        <v>6</v>
      </c>
      <c r="M12">
        <v>3</v>
      </c>
      <c r="N12" s="9">
        <f t="shared" si="0"/>
        <v>0.53452248382484879</v>
      </c>
      <c r="P12" t="str">
        <f>VLOOKUP(M12,Parser!M7:N46,2,FALSE)</f>
        <v>dålig</v>
      </c>
      <c r="Q12" t="str">
        <f t="shared" si="1"/>
        <v>53% - 65%</v>
      </c>
    </row>
    <row r="13" spans="1:17">
      <c r="K13">
        <f>(2/3)*C5+(1/3)*15</f>
        <v>12.071067811865474</v>
      </c>
      <c r="M13">
        <v>4</v>
      </c>
      <c r="N13" s="9">
        <f t="shared" si="0"/>
        <v>0.65465367070797709</v>
      </c>
      <c r="P13" t="str">
        <f>VLOOKUP(M13,Parser!M8:N47,2,FALSE)</f>
        <v>hyfsad</v>
      </c>
      <c r="Q13" t="str">
        <f t="shared" si="1"/>
        <v>65% - 76%</v>
      </c>
    </row>
    <row r="14" spans="1:17">
      <c r="A14" s="29" t="s">
        <v>133</v>
      </c>
      <c r="B14" s="4" t="s">
        <v>17</v>
      </c>
      <c r="C14" s="4" t="s">
        <v>18</v>
      </c>
      <c r="D14" s="4" t="s">
        <v>19</v>
      </c>
      <c r="M14">
        <v>5</v>
      </c>
      <c r="N14" s="9">
        <f t="shared" si="0"/>
        <v>0.7559289460184544</v>
      </c>
      <c r="P14" t="str">
        <f>VLOOKUP(M14,Parser!M9:N48,2,FALSE)</f>
        <v>bra</v>
      </c>
      <c r="Q14" t="str">
        <f t="shared" si="1"/>
        <v>76% - 85%</v>
      </c>
    </row>
    <row r="15" spans="1:17">
      <c r="A15" s="4" t="s">
        <v>50</v>
      </c>
      <c r="B15" s="9">
        <f>$B16*(SQRT($B17-1)/SQRT(7))</f>
        <v>11</v>
      </c>
      <c r="C15" s="9">
        <f>$B16*(SQRT($B17-0.5)/SQRT(7))</f>
        <v>11.386081729148845</v>
      </c>
      <c r="D15" s="9">
        <f>$B16*(SQRT($B17)/SQRT(7))</f>
        <v>11.759494644146674</v>
      </c>
      <c r="M15">
        <v>6</v>
      </c>
      <c r="N15" s="9">
        <f t="shared" si="0"/>
        <v>0.84515425472851657</v>
      </c>
      <c r="P15" t="str">
        <f>VLOOKUP(M15,Parser!M10:N49,2,FALSE)</f>
        <v>ypperlig</v>
      </c>
      <c r="Q15" t="str">
        <f t="shared" si="1"/>
        <v>85% - 93%</v>
      </c>
    </row>
    <row r="16" spans="1:17">
      <c r="A16" s="4" t="s">
        <v>51</v>
      </c>
      <c r="B16" s="25">
        <v>11</v>
      </c>
      <c r="M16">
        <v>7</v>
      </c>
      <c r="N16" s="9">
        <f t="shared" si="0"/>
        <v>0.92582009977255131</v>
      </c>
      <c r="P16" t="str">
        <f>VLOOKUP(M16,Parser!M11:N50,2,FALSE)</f>
        <v>enastående</v>
      </c>
      <c r="Q16" t="str">
        <f t="shared" si="1"/>
        <v>93% - 100%</v>
      </c>
    </row>
    <row r="17" spans="1:17">
      <c r="A17" s="4" t="s">
        <v>1</v>
      </c>
      <c r="B17" s="25">
        <v>8</v>
      </c>
      <c r="M17">
        <v>8</v>
      </c>
      <c r="N17" s="9">
        <f t="shared" si="0"/>
        <v>1</v>
      </c>
      <c r="P17" t="str">
        <f>VLOOKUP(M17,Parser!M12:N51,2,FALSE)</f>
        <v>fenomenal</v>
      </c>
      <c r="Q17" t="str">
        <f t="shared" si="1"/>
        <v>100% - 0%</v>
      </c>
    </row>
    <row r="19" spans="1:17">
      <c r="A19" s="29" t="s">
        <v>134</v>
      </c>
      <c r="B19" s="4" t="s">
        <v>17</v>
      </c>
      <c r="C19" s="4" t="s">
        <v>18</v>
      </c>
      <c r="D19" s="4" t="s">
        <v>19</v>
      </c>
    </row>
    <row r="20" spans="1:17">
      <c r="A20" s="4" t="s">
        <v>50</v>
      </c>
      <c r="B20" s="9">
        <f>$B21*(SQRT($B22-1)/SQRT(7))</f>
        <v>9.8270762982399074</v>
      </c>
      <c r="C20" s="9">
        <f>$B21*(SQRT($B22-0.5)/SQRT(7))</f>
        <v>10.423188434584549</v>
      </c>
      <c r="D20" s="9">
        <f>$B21*(SQRT($B22)/SQRT(7))</f>
        <v>10.987005311470716</v>
      </c>
    </row>
    <row r="21" spans="1:17">
      <c r="A21" s="4" t="s">
        <v>51</v>
      </c>
      <c r="B21" s="25">
        <v>13</v>
      </c>
    </row>
    <row r="22" spans="1:17">
      <c r="A22" s="4" t="s">
        <v>1</v>
      </c>
      <c r="B22" s="25">
        <v>5</v>
      </c>
    </row>
    <row r="24" spans="1:17">
      <c r="A24" s="29" t="s">
        <v>135</v>
      </c>
      <c r="B24" s="4" t="s">
        <v>17</v>
      </c>
      <c r="C24" s="4" t="s">
        <v>18</v>
      </c>
      <c r="D24" s="4" t="s">
        <v>19</v>
      </c>
      <c r="G24" s="4" t="s">
        <v>427</v>
      </c>
    </row>
    <row r="25" spans="1:17">
      <c r="A25" s="4" t="s">
        <v>50</v>
      </c>
      <c r="B25" s="9">
        <f>$B26*(SQRT($B27-1)/SQRT(7))</f>
        <v>12.677313820927749</v>
      </c>
      <c r="C25" s="9">
        <f>$B26*(SQRT($B27-0.5)/SQRT(7))</f>
        <v>13.296078906418774</v>
      </c>
      <c r="D25" s="9">
        <f>$B26*(SQRT($B27)/SQRT(7))</f>
        <v>13.88730149658827</v>
      </c>
      <c r="H25" s="4" t="s">
        <v>419</v>
      </c>
      <c r="I25" s="4" t="s">
        <v>420</v>
      </c>
      <c r="J25" s="4" t="s">
        <v>243</v>
      </c>
      <c r="K25" s="4" t="s">
        <v>86</v>
      </c>
      <c r="L25" s="4" t="s">
        <v>1</v>
      </c>
      <c r="M25" s="4" t="s">
        <v>421</v>
      </c>
      <c r="N25" s="4" t="s">
        <v>180</v>
      </c>
      <c r="O25" s="4" t="s">
        <v>417</v>
      </c>
      <c r="P25" s="4" t="s">
        <v>418</v>
      </c>
      <c r="Q25" s="4" t="s">
        <v>428</v>
      </c>
    </row>
    <row r="26" spans="1:17">
      <c r="A26" s="4" t="s">
        <v>51</v>
      </c>
      <c r="B26" s="25">
        <v>15</v>
      </c>
      <c r="H26" t="s">
        <v>422</v>
      </c>
      <c r="I26" s="1">
        <v>14</v>
      </c>
      <c r="J26" s="1">
        <v>14</v>
      </c>
      <c r="K26" s="1">
        <v>3</v>
      </c>
      <c r="L26" s="1">
        <v>7</v>
      </c>
      <c r="M26" s="1">
        <v>7</v>
      </c>
      <c r="N26" s="1">
        <v>11</v>
      </c>
      <c r="O26" s="1"/>
      <c r="P26" s="1"/>
      <c r="Q26" s="1"/>
    </row>
    <row r="27" spans="1:17">
      <c r="A27" s="4" t="s">
        <v>1</v>
      </c>
      <c r="B27" s="25">
        <v>6</v>
      </c>
      <c r="H27" t="s">
        <v>423</v>
      </c>
      <c r="I27" s="1">
        <v>19</v>
      </c>
      <c r="J27" s="1">
        <v>8</v>
      </c>
      <c r="K27" s="1">
        <v>8</v>
      </c>
      <c r="L27" s="1">
        <v>5</v>
      </c>
      <c r="M27" s="1">
        <v>7</v>
      </c>
      <c r="N27" s="1">
        <v>14</v>
      </c>
      <c r="O27" s="1"/>
      <c r="P27" s="1"/>
      <c r="Q27" s="1"/>
    </row>
    <row r="28" spans="1:17">
      <c r="H28" t="s">
        <v>425</v>
      </c>
      <c r="I28" s="90">
        <v>19</v>
      </c>
      <c r="J28" s="90">
        <v>11</v>
      </c>
      <c r="K28" s="90">
        <v>9</v>
      </c>
      <c r="L28" s="90">
        <v>5</v>
      </c>
      <c r="M28" s="90">
        <v>7</v>
      </c>
      <c r="N28" s="90">
        <v>15</v>
      </c>
      <c r="O28" s="90"/>
      <c r="P28" s="90"/>
      <c r="Q28" s="90"/>
    </row>
    <row r="29" spans="1:17">
      <c r="A29" s="29" t="s">
        <v>136</v>
      </c>
      <c r="B29" s="4" t="s">
        <v>17</v>
      </c>
      <c r="C29" s="4" t="s">
        <v>18</v>
      </c>
      <c r="D29" s="4" t="s">
        <v>19</v>
      </c>
      <c r="H29" t="s">
        <v>424</v>
      </c>
      <c r="I29" s="90">
        <v>18</v>
      </c>
      <c r="J29" s="90">
        <v>14</v>
      </c>
      <c r="K29" s="90">
        <v>3</v>
      </c>
      <c r="L29" s="90">
        <v>7</v>
      </c>
      <c r="M29" s="90">
        <v>8</v>
      </c>
      <c r="N29" s="90">
        <v>17</v>
      </c>
      <c r="O29" s="90"/>
      <c r="P29" s="90"/>
      <c r="Q29" s="90"/>
    </row>
    <row r="30" spans="1:17">
      <c r="A30" s="4" t="s">
        <v>50</v>
      </c>
      <c r="B30" s="9">
        <f>$B31*(SQRT($B32-1)/SQRT(7))</f>
        <v>14.362649974350633</v>
      </c>
      <c r="C30" s="9">
        <f>$B31*(SQRT($B32-0.5)/SQRT(7))</f>
        <v>15.233890789008189</v>
      </c>
      <c r="D30" s="9">
        <f>$B31*(SQRT($B32)/SQRT(7))</f>
        <v>16.057930839841816</v>
      </c>
      <c r="H30" t="s">
        <v>426</v>
      </c>
      <c r="I30">
        <v>20</v>
      </c>
      <c r="J30">
        <v>7</v>
      </c>
      <c r="K30">
        <v>6</v>
      </c>
      <c r="L30">
        <v>8</v>
      </c>
      <c r="M30">
        <v>7</v>
      </c>
      <c r="N30">
        <v>11</v>
      </c>
    </row>
    <row r="31" spans="1:17">
      <c r="A31" s="4" t="s">
        <v>51</v>
      </c>
      <c r="B31" s="25">
        <v>19</v>
      </c>
    </row>
    <row r="32" spans="1:17">
      <c r="A32" s="4" t="s">
        <v>1</v>
      </c>
      <c r="B32" s="25">
        <v>5</v>
      </c>
      <c r="H32" t="str">
        <f>H26</f>
        <v>Paulsson</v>
      </c>
      <c r="I32">
        <f t="shared" ref="I32:K33" si="2">I26*(SQRT($L26-0.5)/SQRT(7))*(SQRT($M26-0.5)/SQRT(7))*(1+SQRT($N26)*7/100)</f>
        <v>16.01812855922341</v>
      </c>
      <c r="J32">
        <f t="shared" si="2"/>
        <v>16.01812855922341</v>
      </c>
      <c r="K32">
        <f t="shared" si="2"/>
        <v>3.4324561198335881</v>
      </c>
      <c r="O32">
        <f>I32*0.23+0.12*J32+0.18*K32</f>
        <v>6.2241870972982394</v>
      </c>
      <c r="P32">
        <f>I32+0.36*J32</f>
        <v>21.784654840543837</v>
      </c>
      <c r="Q32">
        <f>O32*2+P32</f>
        <v>34.233029035140319</v>
      </c>
    </row>
    <row r="33" spans="1:17">
      <c r="H33" t="str">
        <f>H27</f>
        <v>Höklind</v>
      </c>
      <c r="I33">
        <f t="shared" si="2"/>
        <v>18.524604684195943</v>
      </c>
      <c r="J33">
        <f t="shared" si="2"/>
        <v>7.799833551240396</v>
      </c>
      <c r="K33">
        <f t="shared" si="2"/>
        <v>7.799833551240396</v>
      </c>
      <c r="O33">
        <f>I33*0.23+0.12*J33+0.18*K33</f>
        <v>6.6006091427371851</v>
      </c>
      <c r="P33">
        <f>I33+0.36*J33</f>
        <v>21.332544762642485</v>
      </c>
      <c r="Q33">
        <f>O33*2+P33</f>
        <v>34.533763048116853</v>
      </c>
    </row>
    <row r="34" spans="1:17">
      <c r="A34" s="29" t="s">
        <v>137</v>
      </c>
      <c r="B34" s="4" t="s">
        <v>17</v>
      </c>
      <c r="C34" s="4" t="s">
        <v>18</v>
      </c>
      <c r="D34" s="4" t="s">
        <v>19</v>
      </c>
      <c r="H34" t="str">
        <f>H28</f>
        <v>Ulfsson</v>
      </c>
      <c r="I34">
        <f>I28*(SQRT($L28-0.5)/SQRT(7))*(SQRT($M28-0.5)/SQRT(7))*(1+SQRT($N28)*7/100)</f>
        <v>18.659552891148959</v>
      </c>
      <c r="J34">
        <f>J28*(SQRT($L28-0.5)/SQRT(7))*(SQRT($M28-0.5)/SQRT(7))*(1+SQRT($N28)*7/100)</f>
        <v>10.802899042244135</v>
      </c>
      <c r="K34">
        <f>K28*(SQRT($L28-0.5)/SQRT(7))*(SQRT($M28-0.5)/SQRT(7))*(1+SQRT($N28)*7/100)</f>
        <v>8.8387355800179268</v>
      </c>
      <c r="O34">
        <f>I34*0.23+0.12*J34+0.18*K34</f>
        <v>7.1790174544367833</v>
      </c>
      <c r="P34">
        <f>I34+0.36*J34</f>
        <v>22.548596546356848</v>
      </c>
      <c r="Q34">
        <f>O34*2+P34</f>
        <v>36.906631455230411</v>
      </c>
    </row>
    <row r="35" spans="1:17">
      <c r="A35" s="4" t="s">
        <v>50</v>
      </c>
      <c r="B35" s="9">
        <f>$B36*(SQRT($B37-1)/SQRT(7))</f>
        <v>14.402380755575496</v>
      </c>
      <c r="C35" s="9">
        <f>$B36*(SQRT($B37-0.5)/SQRT(7))</f>
        <v>15.556349186104043</v>
      </c>
      <c r="D35" s="9">
        <f>$B36*(SQRT($B37)/SQRT(7))</f>
        <v>16.630436812405996</v>
      </c>
      <c r="H35" t="str">
        <f>H29</f>
        <v>Grönstedt</v>
      </c>
      <c r="I35">
        <f t="shared" ref="I35:K36" si="3">I29*(SQRT($L29-0.5)/SQRT(7))*(SQRT($M29-0.5)/SQRT(7))*(1+SQRT($N29)*7/100)</f>
        <v>23.135866214791729</v>
      </c>
      <c r="J35">
        <f t="shared" si="3"/>
        <v>17.994562611504676</v>
      </c>
      <c r="K35">
        <f t="shared" si="3"/>
        <v>3.8559777024652879</v>
      </c>
      <c r="O35">
        <f>I35*0.23+0.12*J35+0.18*K35</f>
        <v>8.1746727292264101</v>
      </c>
      <c r="P35">
        <f>I35+0.36*J35</f>
        <v>29.613908754933412</v>
      </c>
      <c r="Q35">
        <f>O35*2+P35</f>
        <v>45.963254213386236</v>
      </c>
    </row>
    <row r="36" spans="1:17">
      <c r="A36" s="4" t="s">
        <v>51</v>
      </c>
      <c r="B36" s="25">
        <v>22</v>
      </c>
      <c r="H36" t="str">
        <f>H30</f>
        <v>Knutsson</v>
      </c>
      <c r="I36">
        <f>I30*(SQRT($L30-0.5)/SQRT(7))*(SQRT($M30-0.5)/SQRT(7))*(1+SQRT($N30)*7/100)</f>
        <v>24.580328819005107</v>
      </c>
      <c r="J36">
        <f t="shared" si="3"/>
        <v>8.6031150866517869</v>
      </c>
      <c r="K36">
        <f t="shared" si="3"/>
        <v>7.3740986457015314</v>
      </c>
      <c r="O36">
        <f>I36*0.23+0.12*J36+0.18*K36</f>
        <v>8.0131871949956643</v>
      </c>
      <c r="P36">
        <f>I36+0.36*J36</f>
        <v>27.677450250199751</v>
      </c>
      <c r="Q36">
        <f>O36*2+P36</f>
        <v>43.70382464019108</v>
      </c>
    </row>
    <row r="37" spans="1:17">
      <c r="A37" s="4" t="s">
        <v>1</v>
      </c>
      <c r="B37" s="25">
        <v>4</v>
      </c>
    </row>
    <row r="40" spans="1:17">
      <c r="A40" s="4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30"/>
  <sheetViews>
    <sheetView workbookViewId="0">
      <selection activeCell="A30" sqref="A30"/>
    </sheetView>
  </sheetViews>
  <sheetFormatPr defaultRowHeight="13.2"/>
  <cols>
    <col min="1" max="1" width="40" customWidth="1"/>
  </cols>
  <sheetData>
    <row r="2" spans="1:1" ht="31.2">
      <c r="A2" s="27" t="s">
        <v>115</v>
      </c>
    </row>
    <row r="3" spans="1:1" s="28" customFormat="1"/>
    <row r="4" spans="1:1" s="22" customFormat="1"/>
    <row r="5" spans="1:1">
      <c r="A5" t="s">
        <v>116</v>
      </c>
    </row>
    <row r="7" spans="1:1">
      <c r="A7" t="s">
        <v>117</v>
      </c>
    </row>
    <row r="8" spans="1:1">
      <c r="A8" t="s">
        <v>118</v>
      </c>
    </row>
    <row r="10" spans="1:1">
      <c r="A10" t="s">
        <v>119</v>
      </c>
    </row>
    <row r="12" spans="1:1">
      <c r="A12" t="s">
        <v>120</v>
      </c>
    </row>
    <row r="13" spans="1:1">
      <c r="A13" t="s">
        <v>121</v>
      </c>
    </row>
    <row r="15" spans="1:1">
      <c r="A15" t="s">
        <v>122</v>
      </c>
    </row>
    <row r="17" spans="1:1">
      <c r="A17" t="s">
        <v>123</v>
      </c>
    </row>
    <row r="18" spans="1:1">
      <c r="A18" t="s">
        <v>124</v>
      </c>
    </row>
    <row r="20" spans="1:1">
      <c r="A20" t="s">
        <v>125</v>
      </c>
    </row>
    <row r="22" spans="1:1">
      <c r="A22" t="s">
        <v>126</v>
      </c>
    </row>
    <row r="23" spans="1:1">
      <c r="A23" t="s">
        <v>127</v>
      </c>
    </row>
    <row r="25" spans="1:1">
      <c r="A25" t="s">
        <v>128</v>
      </c>
    </row>
    <row r="27" spans="1:1">
      <c r="A27" t="s">
        <v>129</v>
      </c>
    </row>
    <row r="28" spans="1:1">
      <c r="A28" t="s">
        <v>130</v>
      </c>
    </row>
    <row r="30" spans="1:1" s="28" customFormat="1"/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85"/>
  <sheetViews>
    <sheetView workbookViewId="0">
      <selection activeCell="D26" sqref="D26"/>
    </sheetView>
  </sheetViews>
  <sheetFormatPr defaultRowHeight="13.2"/>
  <cols>
    <col min="1" max="1" width="12" customWidth="1"/>
    <col min="2" max="2" width="10.6640625" customWidth="1"/>
    <col min="3" max="3" width="11.109375" customWidth="1"/>
    <col min="4" max="4" width="11.109375" style="44" customWidth="1"/>
    <col min="5" max="5" width="12" bestFit="1" customWidth="1"/>
    <col min="7" max="7" width="11" customWidth="1"/>
    <col min="8" max="8" width="12" customWidth="1"/>
    <col min="9" max="9" width="10.88671875" customWidth="1"/>
    <col min="10" max="10" width="12.33203125" customWidth="1"/>
    <col min="12" max="12" width="16.6640625" customWidth="1"/>
    <col min="13" max="14" width="11.33203125" customWidth="1"/>
    <col min="16" max="16" width="12.5546875" customWidth="1"/>
    <col min="17" max="17" width="11.88671875" bestFit="1" customWidth="1"/>
    <col min="23" max="23" width="17" bestFit="1" customWidth="1"/>
    <col min="24" max="24" width="12.88671875" customWidth="1"/>
  </cols>
  <sheetData>
    <row r="1" spans="1:27">
      <c r="A1" s="4" t="s">
        <v>93</v>
      </c>
      <c r="B1" t="s">
        <v>180</v>
      </c>
      <c r="C1" s="1" t="s">
        <v>64</v>
      </c>
      <c r="D1" s="1" t="s">
        <v>98</v>
      </c>
    </row>
    <row r="2" spans="1:27">
      <c r="B2" t="s">
        <v>1</v>
      </c>
      <c r="C2" s="1" t="s">
        <v>65</v>
      </c>
      <c r="D2" s="1" t="s">
        <v>97</v>
      </c>
      <c r="L2" t="s">
        <v>81</v>
      </c>
    </row>
    <row r="3" spans="1:27">
      <c r="B3" t="s">
        <v>189</v>
      </c>
      <c r="C3" s="1">
        <v>0</v>
      </c>
    </row>
    <row r="4" spans="1:27">
      <c r="L4" t="s">
        <v>0</v>
      </c>
      <c r="M4" t="s">
        <v>82</v>
      </c>
      <c r="O4" t="s">
        <v>83</v>
      </c>
      <c r="Q4" t="s">
        <v>96</v>
      </c>
      <c r="R4" t="s">
        <v>82</v>
      </c>
      <c r="W4" t="s">
        <v>292</v>
      </c>
      <c r="Z4" t="s">
        <v>304</v>
      </c>
      <c r="AA4" t="s">
        <v>305</v>
      </c>
    </row>
    <row r="5" spans="1:27">
      <c r="A5" s="4" t="s">
        <v>192</v>
      </c>
      <c r="B5" s="45" t="s">
        <v>181</v>
      </c>
      <c r="C5" s="46" t="s">
        <v>61</v>
      </c>
      <c r="D5" s="45" t="s">
        <v>182</v>
      </c>
      <c r="E5" s="46" t="s">
        <v>63</v>
      </c>
      <c r="L5" t="s">
        <v>63</v>
      </c>
      <c r="M5">
        <v>1</v>
      </c>
      <c r="N5" t="s">
        <v>63</v>
      </c>
      <c r="O5">
        <v>1</v>
      </c>
      <c r="P5" t="s">
        <v>63</v>
      </c>
      <c r="Q5" t="s">
        <v>95</v>
      </c>
      <c r="R5">
        <v>1</v>
      </c>
      <c r="T5">
        <v>1</v>
      </c>
      <c r="U5" t="s">
        <v>63</v>
      </c>
      <c r="W5" t="s">
        <v>293</v>
      </c>
      <c r="X5">
        <v>0</v>
      </c>
      <c r="Z5">
        <v>17</v>
      </c>
      <c r="AA5">
        <v>1</v>
      </c>
    </row>
    <row r="6" spans="1:27">
      <c r="B6" s="45" t="s">
        <v>183</v>
      </c>
      <c r="C6" s="46" t="s">
        <v>65</v>
      </c>
      <c r="D6" s="45" t="s">
        <v>184</v>
      </c>
      <c r="E6" s="46" t="s">
        <v>65</v>
      </c>
      <c r="L6" t="s">
        <v>69</v>
      </c>
      <c r="M6">
        <v>2</v>
      </c>
      <c r="N6" t="s">
        <v>69</v>
      </c>
      <c r="O6">
        <v>2</v>
      </c>
      <c r="P6" t="s">
        <v>69</v>
      </c>
      <c r="Q6" t="s">
        <v>97</v>
      </c>
      <c r="R6">
        <v>0.5</v>
      </c>
      <c r="T6">
        <v>2</v>
      </c>
      <c r="U6" t="s">
        <v>69</v>
      </c>
      <c r="X6">
        <v>0.25</v>
      </c>
      <c r="Z6">
        <v>18</v>
      </c>
      <c r="AA6">
        <v>1</v>
      </c>
    </row>
    <row r="7" spans="1:27">
      <c r="B7" s="45" t="s">
        <v>185</v>
      </c>
      <c r="C7" s="46" t="s">
        <v>62</v>
      </c>
      <c r="D7" s="45" t="s">
        <v>186</v>
      </c>
      <c r="E7" s="46" t="s">
        <v>72</v>
      </c>
      <c r="L7" t="s">
        <v>68</v>
      </c>
      <c r="M7">
        <v>3</v>
      </c>
      <c r="N7" t="s">
        <v>68</v>
      </c>
      <c r="O7">
        <v>3</v>
      </c>
      <c r="P7" t="s">
        <v>68</v>
      </c>
      <c r="Q7" t="s">
        <v>98</v>
      </c>
      <c r="R7">
        <v>0</v>
      </c>
      <c r="T7">
        <v>3</v>
      </c>
      <c r="U7" t="s">
        <v>68</v>
      </c>
      <c r="X7">
        <v>0.5</v>
      </c>
      <c r="Z7">
        <v>19</v>
      </c>
      <c r="AA7">
        <v>1</v>
      </c>
    </row>
    <row r="8" spans="1:27">
      <c r="B8" s="45" t="s">
        <v>187</v>
      </c>
      <c r="C8" s="46" t="s">
        <v>65</v>
      </c>
      <c r="D8" s="45" t="s">
        <v>188</v>
      </c>
      <c r="E8" s="46" t="s">
        <v>64</v>
      </c>
      <c r="L8" t="s">
        <v>67</v>
      </c>
      <c r="M8">
        <v>4</v>
      </c>
      <c r="N8" t="s">
        <v>67</v>
      </c>
      <c r="O8">
        <v>4</v>
      </c>
      <c r="P8" t="s">
        <v>67</v>
      </c>
      <c r="T8">
        <v>4</v>
      </c>
      <c r="U8" t="s">
        <v>67</v>
      </c>
      <c r="X8">
        <v>0.75</v>
      </c>
      <c r="Z8">
        <v>20</v>
      </c>
      <c r="AA8">
        <v>1</v>
      </c>
    </row>
    <row r="9" spans="1:27">
      <c r="L9" t="s">
        <v>65</v>
      </c>
      <c r="M9">
        <v>5</v>
      </c>
      <c r="N9" t="s">
        <v>65</v>
      </c>
      <c r="O9">
        <v>5</v>
      </c>
      <c r="P9" t="s">
        <v>65</v>
      </c>
      <c r="Q9">
        <v>0</v>
      </c>
      <c r="R9" t="s">
        <v>154</v>
      </c>
      <c r="T9">
        <v>5</v>
      </c>
      <c r="U9" t="s">
        <v>65</v>
      </c>
      <c r="X9">
        <v>1</v>
      </c>
      <c r="Z9">
        <v>21</v>
      </c>
      <c r="AA9">
        <v>1</v>
      </c>
    </row>
    <row r="10" spans="1:27">
      <c r="L10" t="s">
        <v>64</v>
      </c>
      <c r="M10">
        <v>6</v>
      </c>
      <c r="N10" t="s">
        <v>64</v>
      </c>
      <c r="O10">
        <v>6</v>
      </c>
      <c r="P10" t="s">
        <v>64</v>
      </c>
      <c r="Q10">
        <v>1</v>
      </c>
      <c r="R10" t="s">
        <v>98</v>
      </c>
      <c r="T10">
        <v>6</v>
      </c>
      <c r="U10" t="s">
        <v>64</v>
      </c>
      <c r="X10">
        <v>1.25</v>
      </c>
      <c r="Z10">
        <v>22</v>
      </c>
      <c r="AA10">
        <v>1</v>
      </c>
    </row>
    <row r="11" spans="1:27">
      <c r="L11" t="s">
        <v>70</v>
      </c>
      <c r="M11">
        <v>7</v>
      </c>
      <c r="N11" t="s">
        <v>70</v>
      </c>
      <c r="O11">
        <v>7</v>
      </c>
      <c r="P11" t="s">
        <v>70</v>
      </c>
      <c r="Q11">
        <v>2</v>
      </c>
      <c r="R11" t="s">
        <v>95</v>
      </c>
      <c r="T11">
        <v>7</v>
      </c>
      <c r="U11" t="s">
        <v>70</v>
      </c>
      <c r="X11">
        <v>1.5</v>
      </c>
      <c r="Z11">
        <v>23</v>
      </c>
      <c r="AA11">
        <v>1</v>
      </c>
    </row>
    <row r="12" spans="1:27">
      <c r="L12" t="s">
        <v>61</v>
      </c>
      <c r="M12">
        <v>8</v>
      </c>
      <c r="N12" t="s">
        <v>61</v>
      </c>
      <c r="O12">
        <v>8</v>
      </c>
      <c r="P12" t="s">
        <v>61</v>
      </c>
      <c r="Q12">
        <v>3</v>
      </c>
      <c r="R12" t="s">
        <v>155</v>
      </c>
      <c r="T12">
        <v>8</v>
      </c>
      <c r="U12" t="s">
        <v>61</v>
      </c>
      <c r="X12">
        <v>1.75</v>
      </c>
      <c r="Z12">
        <v>24</v>
      </c>
      <c r="AA12">
        <v>1</v>
      </c>
    </row>
    <row r="13" spans="1:27">
      <c r="A13" s="4" t="s">
        <v>94</v>
      </c>
      <c r="F13" t="s">
        <v>191</v>
      </c>
      <c r="L13" t="s">
        <v>71</v>
      </c>
      <c r="M13">
        <v>9</v>
      </c>
      <c r="N13" t="s">
        <v>71</v>
      </c>
      <c r="O13">
        <v>9</v>
      </c>
      <c r="P13" t="s">
        <v>71</v>
      </c>
      <c r="T13">
        <v>9</v>
      </c>
      <c r="U13" t="s">
        <v>71</v>
      </c>
      <c r="X13">
        <v>2</v>
      </c>
      <c r="Z13">
        <v>25</v>
      </c>
      <c r="AA13">
        <v>1</v>
      </c>
    </row>
    <row r="14" spans="1:27">
      <c r="A14" s="4"/>
      <c r="B14" t="s">
        <v>180</v>
      </c>
      <c r="C14" s="1">
        <v>19</v>
      </c>
      <c r="D14" s="44" t="s">
        <v>190</v>
      </c>
      <c r="E14" s="1">
        <f>VLOOKUP(D1, $Q$5:$R$7, 2, FALSE)</f>
        <v>0</v>
      </c>
      <c r="F14">
        <f>1+SQRT(C14+E14)*7/100</f>
        <v>1.3051229260478472</v>
      </c>
      <c r="L14" t="s">
        <v>62</v>
      </c>
      <c r="M14">
        <v>10</v>
      </c>
      <c r="N14" t="s">
        <v>62</v>
      </c>
      <c r="O14">
        <v>10</v>
      </c>
      <c r="P14" t="s">
        <v>62</v>
      </c>
      <c r="Q14">
        <v>0</v>
      </c>
      <c r="R14" t="s">
        <v>154</v>
      </c>
      <c r="S14">
        <v>0</v>
      </c>
      <c r="T14">
        <v>10</v>
      </c>
      <c r="U14" t="s">
        <v>62</v>
      </c>
      <c r="X14">
        <v>2.25</v>
      </c>
      <c r="Z14">
        <v>26</v>
      </c>
      <c r="AA14">
        <v>1</v>
      </c>
    </row>
    <row r="15" spans="1:27">
      <c r="B15" t="s">
        <v>1</v>
      </c>
      <c r="C15" s="1">
        <f>VLOOKUP(C2, $N$5:$O$24, 2, FALSE)</f>
        <v>5</v>
      </c>
      <c r="D15" s="44" t="s">
        <v>99</v>
      </c>
      <c r="E15" s="1">
        <f>VLOOKUP(D2, $Q$5:$R$7, 2, FALSE)</f>
        <v>0.5</v>
      </c>
      <c r="F15">
        <f>SQRT(C15+E15)/SQRT(7)</f>
        <v>0.88640526042791834</v>
      </c>
      <c r="L15" t="s">
        <v>66</v>
      </c>
      <c r="M15">
        <v>11</v>
      </c>
      <c r="N15" t="s">
        <v>66</v>
      </c>
      <c r="O15">
        <v>11</v>
      </c>
      <c r="P15" t="s">
        <v>66</v>
      </c>
      <c r="Q15">
        <v>0.25</v>
      </c>
      <c r="R15" t="s">
        <v>98</v>
      </c>
      <c r="S15">
        <v>0.25</v>
      </c>
      <c r="T15">
        <v>11</v>
      </c>
      <c r="U15" t="s">
        <v>66</v>
      </c>
      <c r="X15">
        <v>2.5</v>
      </c>
      <c r="Z15">
        <v>27</v>
      </c>
      <c r="AA15">
        <v>1</v>
      </c>
    </row>
    <row r="16" spans="1:27">
      <c r="B16" t="s">
        <v>189</v>
      </c>
      <c r="C16" s="1">
        <f>C3</f>
        <v>0</v>
      </c>
      <c r="E16" s="1"/>
      <c r="F16">
        <f>SQRT(C18+C16)/SQRT(7)</f>
        <v>1.0690449676496976</v>
      </c>
      <c r="L16" t="s">
        <v>72</v>
      </c>
      <c r="M16">
        <v>12</v>
      </c>
      <c r="N16" t="s">
        <v>72</v>
      </c>
      <c r="O16">
        <v>12</v>
      </c>
      <c r="P16" t="s">
        <v>72</v>
      </c>
      <c r="Q16">
        <v>0.5</v>
      </c>
      <c r="R16" t="s">
        <v>95</v>
      </c>
      <c r="S16">
        <v>0.5</v>
      </c>
      <c r="T16">
        <v>12</v>
      </c>
      <c r="U16" t="s">
        <v>72</v>
      </c>
      <c r="X16">
        <v>2.75</v>
      </c>
      <c r="Z16">
        <v>28</v>
      </c>
      <c r="AA16">
        <v>1</v>
      </c>
    </row>
    <row r="17" spans="1:28">
      <c r="L17" t="s">
        <v>73</v>
      </c>
      <c r="M17">
        <v>13</v>
      </c>
      <c r="N17" t="s">
        <v>73</v>
      </c>
      <c r="O17">
        <v>13</v>
      </c>
      <c r="P17" t="s">
        <v>73</v>
      </c>
      <c r="Q17">
        <v>0.75</v>
      </c>
      <c r="R17" t="s">
        <v>155</v>
      </c>
      <c r="S17">
        <v>0.75</v>
      </c>
      <c r="T17">
        <v>13</v>
      </c>
      <c r="U17" t="s">
        <v>73</v>
      </c>
      <c r="X17">
        <v>3</v>
      </c>
      <c r="Z17">
        <v>29</v>
      </c>
      <c r="AA17">
        <f>8/7</f>
        <v>1.1428571428571428</v>
      </c>
    </row>
    <row r="18" spans="1:28">
      <c r="B18" t="s">
        <v>84</v>
      </c>
      <c r="C18" s="1">
        <f>VLOOKUP(C5, $N$5:$O$24, 2, FALSE)</f>
        <v>8</v>
      </c>
      <c r="D18" s="44" t="s">
        <v>89</v>
      </c>
      <c r="E18" s="1">
        <f>VLOOKUP(E5, $N$5:$O$24, 2, FALSE)</f>
        <v>1</v>
      </c>
      <c r="H18" s="1"/>
      <c r="L18" t="s">
        <v>74</v>
      </c>
      <c r="M18">
        <v>14</v>
      </c>
      <c r="N18" t="s">
        <v>74</v>
      </c>
      <c r="O18">
        <v>14</v>
      </c>
      <c r="P18" t="s">
        <v>74</v>
      </c>
      <c r="T18">
        <v>14</v>
      </c>
      <c r="U18" t="s">
        <v>74</v>
      </c>
      <c r="X18">
        <v>3.25</v>
      </c>
      <c r="Z18">
        <v>30</v>
      </c>
      <c r="AA18">
        <f>AA17*7/6</f>
        <v>1.3333333333333333</v>
      </c>
    </row>
    <row r="19" spans="1:28">
      <c r="B19" t="s">
        <v>85</v>
      </c>
      <c r="C19" s="1">
        <f>VLOOKUP(C6, $N$5:$O$24, 2, FALSE)</f>
        <v>5</v>
      </c>
      <c r="D19" s="44" t="s">
        <v>90</v>
      </c>
      <c r="E19" s="1">
        <f>VLOOKUP(E6, $N$5:$O$24, 2, FALSE)</f>
        <v>5</v>
      </c>
      <c r="L19" t="s">
        <v>75</v>
      </c>
      <c r="M19">
        <v>15</v>
      </c>
      <c r="N19" t="s">
        <v>75</v>
      </c>
      <c r="O19">
        <v>15</v>
      </c>
      <c r="P19" t="s">
        <v>75</v>
      </c>
      <c r="T19">
        <v>15</v>
      </c>
      <c r="U19" t="s">
        <v>75</v>
      </c>
      <c r="X19">
        <v>3.5</v>
      </c>
      <c r="Z19">
        <v>31</v>
      </c>
      <c r="AA19">
        <f>AA18*6/5</f>
        <v>1.6</v>
      </c>
      <c r="AB19" t="s">
        <v>431</v>
      </c>
    </row>
    <row r="20" spans="1:28">
      <c r="B20" t="s">
        <v>86</v>
      </c>
      <c r="C20" s="1">
        <f>VLOOKUP(C7, $N$5:$O$24, 2, FALSE)</f>
        <v>10</v>
      </c>
      <c r="D20" s="44" t="s">
        <v>91</v>
      </c>
      <c r="E20" s="1">
        <f>VLOOKUP(E7, $N$5:$O$24, 2, FALSE)</f>
        <v>12</v>
      </c>
      <c r="L20" t="s">
        <v>76</v>
      </c>
      <c r="M20">
        <v>16</v>
      </c>
      <c r="N20" t="s">
        <v>76</v>
      </c>
      <c r="O20">
        <v>16</v>
      </c>
      <c r="P20" t="s">
        <v>76</v>
      </c>
      <c r="T20">
        <v>16</v>
      </c>
      <c r="U20" t="s">
        <v>76</v>
      </c>
      <c r="X20">
        <v>3.75</v>
      </c>
      <c r="Z20">
        <v>32</v>
      </c>
      <c r="AA20">
        <f>AA19*5/4</f>
        <v>2</v>
      </c>
    </row>
    <row r="21" spans="1:28">
      <c r="B21" t="s">
        <v>87</v>
      </c>
      <c r="C21" s="1">
        <f>VLOOKUP(C8, $N$5:$O$24, 2, FALSE)</f>
        <v>5</v>
      </c>
      <c r="D21" s="44" t="s">
        <v>88</v>
      </c>
      <c r="E21" s="1">
        <f>VLOOKUP(E8, $N$5:$O$24, 2, FALSE)</f>
        <v>6</v>
      </c>
      <c r="L21" t="s">
        <v>77</v>
      </c>
      <c r="M21">
        <v>17</v>
      </c>
      <c r="N21" t="s">
        <v>77</v>
      </c>
      <c r="O21">
        <v>17</v>
      </c>
      <c r="P21" t="s">
        <v>77</v>
      </c>
      <c r="T21">
        <v>17</v>
      </c>
      <c r="U21" t="s">
        <v>77</v>
      </c>
      <c r="X21">
        <v>4</v>
      </c>
      <c r="Z21">
        <v>33</v>
      </c>
      <c r="AA21">
        <f>AA20*4/3</f>
        <v>2.6666666666666665</v>
      </c>
    </row>
    <row r="22" spans="1:28">
      <c r="L22" t="s">
        <v>78</v>
      </c>
      <c r="M22">
        <v>18</v>
      </c>
      <c r="N22" t="s">
        <v>78</v>
      </c>
      <c r="O22">
        <v>18</v>
      </c>
      <c r="P22" t="s">
        <v>78</v>
      </c>
      <c r="T22">
        <v>18</v>
      </c>
      <c r="U22" t="s">
        <v>78</v>
      </c>
      <c r="X22">
        <v>4.25</v>
      </c>
      <c r="Z22">
        <v>34</v>
      </c>
      <c r="AA22">
        <f>AA21*3/2</f>
        <v>4</v>
      </c>
    </row>
    <row r="23" spans="1:28" ht="13.8" thickBot="1">
      <c r="A23" s="4" t="s">
        <v>92</v>
      </c>
      <c r="L23" t="s">
        <v>79</v>
      </c>
      <c r="M23">
        <v>19</v>
      </c>
      <c r="N23" t="s">
        <v>79</v>
      </c>
      <c r="O23">
        <v>19</v>
      </c>
      <c r="P23" t="s">
        <v>79</v>
      </c>
      <c r="T23">
        <v>19</v>
      </c>
      <c r="U23" t="s">
        <v>79</v>
      </c>
      <c r="X23">
        <v>4.5</v>
      </c>
      <c r="Z23">
        <v>35</v>
      </c>
      <c r="AA23">
        <f>AA22*2/1</f>
        <v>8</v>
      </c>
    </row>
    <row r="24" spans="1:28">
      <c r="B24" t="s">
        <v>84</v>
      </c>
      <c r="C24" s="8">
        <f>C18</f>
        <v>8</v>
      </c>
      <c r="D24" s="44" t="s">
        <v>89</v>
      </c>
      <c r="E24" s="8">
        <f>E18*$F$14*$F$15*$F$16</f>
        <v>1.236743728854705</v>
      </c>
      <c r="G24" s="53" t="s">
        <v>84</v>
      </c>
      <c r="H24" s="48" t="str">
        <f>VLOOKUP(FLOOR(C24,1), $O$5:$P$24,2, FALSE)</f>
        <v>fenomenal</v>
      </c>
      <c r="I24" s="56" t="s">
        <v>89</v>
      </c>
      <c r="J24" s="49" t="str">
        <f>VLOOKUP(FLOOR(E24,1), $O$5:$P$24,2, FALSE)</f>
        <v>katastrofal</v>
      </c>
      <c r="L24" t="s">
        <v>80</v>
      </c>
      <c r="M24">
        <v>20</v>
      </c>
      <c r="N24" t="s">
        <v>80</v>
      </c>
      <c r="O24">
        <v>20</v>
      </c>
      <c r="P24" t="s">
        <v>80</v>
      </c>
      <c r="T24">
        <v>20</v>
      </c>
      <c r="U24" t="s">
        <v>80</v>
      </c>
      <c r="X24">
        <v>4.75</v>
      </c>
      <c r="Z24">
        <v>36</v>
      </c>
      <c r="AA24">
        <f>AA23</f>
        <v>8</v>
      </c>
    </row>
    <row r="25" spans="1:28">
      <c r="B25" t="s">
        <v>85</v>
      </c>
      <c r="C25" s="8">
        <f>C19*$F$14*$F$15*$F$16</f>
        <v>6.183718644273525</v>
      </c>
      <c r="D25" s="44" t="s">
        <v>90</v>
      </c>
      <c r="E25" s="8">
        <f>E19*$F$14*$F$15*$F$16</f>
        <v>6.183718644273525</v>
      </c>
      <c r="G25" s="54" t="s">
        <v>85</v>
      </c>
      <c r="H25" s="47" t="str">
        <f>VLOOKUP(FLOOR(C25,1), $O$5:$P$24,2, FALSE)</f>
        <v>ypperlig</v>
      </c>
      <c r="I25" s="57" t="s">
        <v>90</v>
      </c>
      <c r="J25" s="50" t="str">
        <f>VLOOKUP(FLOOR(E25,1), $O$5:$P$24,2, FALSE)</f>
        <v>ypperlig</v>
      </c>
      <c r="L25" t="s">
        <v>156</v>
      </c>
      <c r="M25">
        <v>21</v>
      </c>
      <c r="N25" t="s">
        <v>156</v>
      </c>
      <c r="O25">
        <v>21</v>
      </c>
      <c r="P25" t="s">
        <v>156</v>
      </c>
      <c r="T25">
        <v>21</v>
      </c>
      <c r="U25" t="s">
        <v>156</v>
      </c>
      <c r="X25">
        <v>5</v>
      </c>
      <c r="Z25">
        <v>37</v>
      </c>
      <c r="AA25">
        <f t="shared" ref="AA25:AA33" si="0">AA24</f>
        <v>8</v>
      </c>
    </row>
    <row r="26" spans="1:28">
      <c r="B26" t="s">
        <v>86</v>
      </c>
      <c r="C26" s="8">
        <f>C20*$F$14*$F$15*$F$16</f>
        <v>12.36743728854705</v>
      </c>
      <c r="D26" s="44" t="s">
        <v>91</v>
      </c>
      <c r="E26" s="8">
        <f>E20*$F$14*$F$15*$F$16</f>
        <v>14.840924746256459</v>
      </c>
      <c r="G26" s="54" t="s">
        <v>86</v>
      </c>
      <c r="H26" s="47" t="str">
        <f>VLOOKUP(FLOOR(C26,1), $O$5:$P$24,2, FALSE)</f>
        <v>övernaturlig</v>
      </c>
      <c r="I26" s="57" t="s">
        <v>91</v>
      </c>
      <c r="J26" s="50" t="str">
        <f>VLOOKUP(FLOOR(E26,1), $O$5:$P$24,2, FALSE)</f>
        <v>himmelsk</v>
      </c>
      <c r="L26" t="s">
        <v>157</v>
      </c>
      <c r="M26">
        <v>22</v>
      </c>
      <c r="N26" t="s">
        <v>157</v>
      </c>
      <c r="O26">
        <v>22</v>
      </c>
      <c r="P26" t="s">
        <v>157</v>
      </c>
      <c r="T26">
        <v>22</v>
      </c>
      <c r="U26" t="s">
        <v>157</v>
      </c>
      <c r="X26">
        <v>5.25</v>
      </c>
      <c r="Z26">
        <v>38</v>
      </c>
      <c r="AA26">
        <f t="shared" si="0"/>
        <v>8</v>
      </c>
    </row>
    <row r="27" spans="1:28" ht="13.8" thickBot="1">
      <c r="B27" t="s">
        <v>87</v>
      </c>
      <c r="C27" s="8">
        <f>C21*$F$14*$F$15*$F$16</f>
        <v>6.183718644273525</v>
      </c>
      <c r="D27" s="44" t="s">
        <v>88</v>
      </c>
      <c r="E27" s="8">
        <f>E21*$F$14*$F$15*$F$16</f>
        <v>7.4204623731282293</v>
      </c>
      <c r="G27" s="55" t="s">
        <v>87</v>
      </c>
      <c r="H27" s="51" t="str">
        <f>VLOOKUP(FLOOR(C27,1), $O$5:$P$24,2, FALSE)</f>
        <v>ypperlig</v>
      </c>
      <c r="I27" s="58" t="s">
        <v>88</v>
      </c>
      <c r="J27" s="52" t="str">
        <f>VLOOKUP(FLOOR(E27,1), $O$5:$P$24,2, FALSE)</f>
        <v>enastående</v>
      </c>
      <c r="L27" t="s">
        <v>158</v>
      </c>
      <c r="M27">
        <v>23</v>
      </c>
      <c r="N27" t="s">
        <v>158</v>
      </c>
      <c r="O27">
        <v>23</v>
      </c>
      <c r="P27" t="s">
        <v>158</v>
      </c>
      <c r="T27">
        <v>23</v>
      </c>
      <c r="U27" t="s">
        <v>158</v>
      </c>
      <c r="X27">
        <v>5.5</v>
      </c>
      <c r="Z27">
        <v>39</v>
      </c>
      <c r="AA27">
        <f t="shared" si="0"/>
        <v>8</v>
      </c>
    </row>
    <row r="28" spans="1:28">
      <c r="A28" s="4"/>
      <c r="L28" t="s">
        <v>159</v>
      </c>
      <c r="M28">
        <v>24</v>
      </c>
      <c r="N28" t="s">
        <v>159</v>
      </c>
      <c r="O28">
        <v>24</v>
      </c>
      <c r="P28" t="s">
        <v>159</v>
      </c>
      <c r="T28">
        <v>24</v>
      </c>
      <c r="U28" t="s">
        <v>159</v>
      </c>
      <c r="X28">
        <v>5.75</v>
      </c>
      <c r="Z28">
        <v>40</v>
      </c>
      <c r="AA28">
        <f t="shared" si="0"/>
        <v>8</v>
      </c>
    </row>
    <row r="29" spans="1:28">
      <c r="E29" s="7"/>
      <c r="L29" t="s">
        <v>160</v>
      </c>
      <c r="M29">
        <v>25</v>
      </c>
      <c r="N29" t="s">
        <v>160</v>
      </c>
      <c r="O29">
        <v>25</v>
      </c>
      <c r="P29" t="s">
        <v>160</v>
      </c>
      <c r="T29">
        <v>25</v>
      </c>
      <c r="U29" t="s">
        <v>160</v>
      </c>
      <c r="X29">
        <v>6</v>
      </c>
      <c r="Z29">
        <v>41</v>
      </c>
      <c r="AA29">
        <f t="shared" si="0"/>
        <v>8</v>
      </c>
    </row>
    <row r="30" spans="1:28">
      <c r="C30" s="7"/>
      <c r="E30" s="7"/>
      <c r="L30" t="s">
        <v>161</v>
      </c>
      <c r="M30">
        <v>26</v>
      </c>
      <c r="N30" t="s">
        <v>161</v>
      </c>
      <c r="O30">
        <v>26</v>
      </c>
      <c r="P30" t="s">
        <v>161</v>
      </c>
      <c r="T30">
        <v>26</v>
      </c>
      <c r="U30" t="s">
        <v>161</v>
      </c>
      <c r="X30">
        <v>6.25</v>
      </c>
      <c r="Z30">
        <v>42</v>
      </c>
      <c r="AA30">
        <f t="shared" si="0"/>
        <v>8</v>
      </c>
    </row>
    <row r="31" spans="1:28">
      <c r="L31" t="s">
        <v>162</v>
      </c>
      <c r="M31">
        <v>27</v>
      </c>
      <c r="N31" t="s">
        <v>162</v>
      </c>
      <c r="O31">
        <v>27</v>
      </c>
      <c r="P31" t="s">
        <v>162</v>
      </c>
      <c r="T31">
        <v>27</v>
      </c>
      <c r="U31" t="s">
        <v>162</v>
      </c>
      <c r="X31">
        <v>6.5</v>
      </c>
      <c r="Z31">
        <v>43</v>
      </c>
      <c r="AA31">
        <f t="shared" si="0"/>
        <v>8</v>
      </c>
    </row>
    <row r="32" spans="1:28">
      <c r="C32" s="1"/>
      <c r="E32" s="1"/>
      <c r="L32" t="s">
        <v>163</v>
      </c>
      <c r="M32">
        <v>28</v>
      </c>
      <c r="N32" t="s">
        <v>163</v>
      </c>
      <c r="O32">
        <v>28</v>
      </c>
      <c r="P32" t="s">
        <v>163</v>
      </c>
      <c r="T32">
        <v>28</v>
      </c>
      <c r="U32" t="s">
        <v>163</v>
      </c>
      <c r="X32">
        <v>6.75</v>
      </c>
      <c r="Z32">
        <v>44</v>
      </c>
      <c r="AA32">
        <f t="shared" si="0"/>
        <v>8</v>
      </c>
    </row>
    <row r="33" spans="12:27">
      <c r="L33" t="s">
        <v>164</v>
      </c>
      <c r="M33">
        <v>29</v>
      </c>
      <c r="N33" t="s">
        <v>164</v>
      </c>
      <c r="O33">
        <v>29</v>
      </c>
      <c r="P33" t="s">
        <v>164</v>
      </c>
      <c r="T33">
        <v>29</v>
      </c>
      <c r="U33" t="s">
        <v>164</v>
      </c>
      <c r="X33">
        <v>7</v>
      </c>
      <c r="Z33">
        <v>45</v>
      </c>
      <c r="AA33">
        <f t="shared" si="0"/>
        <v>8</v>
      </c>
    </row>
    <row r="34" spans="12:27">
      <c r="L34" t="s">
        <v>165</v>
      </c>
      <c r="M34">
        <v>30</v>
      </c>
      <c r="N34" t="s">
        <v>165</v>
      </c>
      <c r="O34">
        <v>30</v>
      </c>
      <c r="P34" t="s">
        <v>165</v>
      </c>
      <c r="T34">
        <v>30</v>
      </c>
      <c r="U34" t="s">
        <v>165</v>
      </c>
      <c r="X34">
        <v>7.25</v>
      </c>
    </row>
    <row r="35" spans="12:27">
      <c r="L35" t="s">
        <v>166</v>
      </c>
      <c r="M35">
        <v>31</v>
      </c>
      <c r="N35" t="s">
        <v>166</v>
      </c>
      <c r="O35">
        <v>31</v>
      </c>
      <c r="P35" t="s">
        <v>166</v>
      </c>
      <c r="T35">
        <v>31</v>
      </c>
      <c r="U35" t="s">
        <v>166</v>
      </c>
      <c r="X35">
        <v>7.5</v>
      </c>
    </row>
    <row r="36" spans="12:27">
      <c r="L36" t="s">
        <v>167</v>
      </c>
      <c r="M36">
        <v>32</v>
      </c>
      <c r="N36" t="s">
        <v>167</v>
      </c>
      <c r="O36">
        <v>32</v>
      </c>
      <c r="P36" t="s">
        <v>167</v>
      </c>
      <c r="T36">
        <v>32</v>
      </c>
      <c r="U36" t="s">
        <v>167</v>
      </c>
      <c r="X36">
        <v>7.75</v>
      </c>
    </row>
    <row r="37" spans="12:27">
      <c r="L37" t="s">
        <v>168</v>
      </c>
      <c r="M37">
        <v>33</v>
      </c>
      <c r="N37" t="s">
        <v>168</v>
      </c>
      <c r="O37">
        <v>33</v>
      </c>
      <c r="P37" t="s">
        <v>168</v>
      </c>
      <c r="T37">
        <v>33</v>
      </c>
      <c r="U37" t="s">
        <v>168</v>
      </c>
      <c r="X37">
        <v>8</v>
      </c>
    </row>
    <row r="38" spans="12:27">
      <c r="L38" t="s">
        <v>169</v>
      </c>
      <c r="M38">
        <v>34</v>
      </c>
      <c r="N38" t="s">
        <v>169</v>
      </c>
      <c r="O38">
        <v>34</v>
      </c>
      <c r="P38" t="s">
        <v>169</v>
      </c>
      <c r="T38">
        <v>34</v>
      </c>
      <c r="U38" t="s">
        <v>169</v>
      </c>
      <c r="X38">
        <v>8.25</v>
      </c>
    </row>
    <row r="39" spans="12:27">
      <c r="L39" t="s">
        <v>170</v>
      </c>
      <c r="M39">
        <v>35</v>
      </c>
      <c r="N39" t="s">
        <v>170</v>
      </c>
      <c r="O39">
        <v>35</v>
      </c>
      <c r="P39" t="s">
        <v>170</v>
      </c>
      <c r="T39">
        <v>35</v>
      </c>
      <c r="U39" t="s">
        <v>170</v>
      </c>
      <c r="X39">
        <v>8.5</v>
      </c>
    </row>
    <row r="40" spans="12:27">
      <c r="L40" t="s">
        <v>171</v>
      </c>
      <c r="M40">
        <v>36</v>
      </c>
      <c r="N40" t="s">
        <v>171</v>
      </c>
      <c r="O40">
        <v>36</v>
      </c>
      <c r="P40" t="s">
        <v>171</v>
      </c>
      <c r="T40">
        <v>36</v>
      </c>
      <c r="U40" t="s">
        <v>171</v>
      </c>
      <c r="X40">
        <v>8.75</v>
      </c>
    </row>
    <row r="41" spans="12:27">
      <c r="L41" t="s">
        <v>172</v>
      </c>
      <c r="M41">
        <v>37</v>
      </c>
      <c r="N41" t="s">
        <v>172</v>
      </c>
      <c r="O41">
        <v>37</v>
      </c>
      <c r="P41" t="s">
        <v>172</v>
      </c>
      <c r="T41">
        <v>37</v>
      </c>
      <c r="U41" t="s">
        <v>172</v>
      </c>
      <c r="X41">
        <v>9</v>
      </c>
    </row>
    <row r="42" spans="12:27">
      <c r="L42" t="s">
        <v>173</v>
      </c>
      <c r="M42">
        <v>38</v>
      </c>
      <c r="N42" t="s">
        <v>173</v>
      </c>
      <c r="O42">
        <v>38</v>
      </c>
      <c r="P42" t="s">
        <v>173</v>
      </c>
      <c r="T42">
        <v>38</v>
      </c>
      <c r="U42" t="s">
        <v>173</v>
      </c>
      <c r="X42">
        <v>9.25</v>
      </c>
    </row>
    <row r="43" spans="12:27">
      <c r="L43" t="s">
        <v>174</v>
      </c>
      <c r="M43">
        <v>39</v>
      </c>
      <c r="N43" t="s">
        <v>174</v>
      </c>
      <c r="O43">
        <v>39</v>
      </c>
      <c r="P43" t="s">
        <v>174</v>
      </c>
      <c r="T43">
        <v>39</v>
      </c>
      <c r="U43" t="s">
        <v>174</v>
      </c>
      <c r="X43">
        <v>9.5</v>
      </c>
    </row>
    <row r="44" spans="12:27">
      <c r="L44" t="s">
        <v>175</v>
      </c>
      <c r="M44">
        <v>40</v>
      </c>
      <c r="N44" t="s">
        <v>175</v>
      </c>
      <c r="O44">
        <v>40</v>
      </c>
      <c r="P44" t="s">
        <v>175</v>
      </c>
      <c r="T44">
        <v>40</v>
      </c>
      <c r="U44" t="s">
        <v>175</v>
      </c>
      <c r="X44">
        <v>9.75</v>
      </c>
    </row>
    <row r="45" spans="12:27">
      <c r="X45">
        <v>10</v>
      </c>
    </row>
    <row r="46" spans="12:27">
      <c r="X46">
        <v>10.25</v>
      </c>
    </row>
    <row r="47" spans="12:27">
      <c r="X47">
        <v>10.5</v>
      </c>
    </row>
    <row r="48" spans="12:27">
      <c r="X48">
        <v>10.75</v>
      </c>
    </row>
    <row r="49" spans="24:24">
      <c r="X49">
        <v>11</v>
      </c>
    </row>
    <row r="50" spans="24:24">
      <c r="X50">
        <v>11.25</v>
      </c>
    </row>
    <row r="51" spans="24:24">
      <c r="X51">
        <v>11.5</v>
      </c>
    </row>
    <row r="52" spans="24:24">
      <c r="X52">
        <v>11.75</v>
      </c>
    </row>
    <row r="53" spans="24:24">
      <c r="X53">
        <v>12</v>
      </c>
    </row>
    <row r="54" spans="24:24">
      <c r="X54">
        <v>12.25</v>
      </c>
    </row>
    <row r="55" spans="24:24">
      <c r="X55">
        <v>12.5</v>
      </c>
    </row>
    <row r="56" spans="24:24">
      <c r="X56">
        <v>12.75</v>
      </c>
    </row>
    <row r="57" spans="24:24">
      <c r="X57">
        <v>13</v>
      </c>
    </row>
    <row r="58" spans="24:24">
      <c r="X58">
        <v>13.25</v>
      </c>
    </row>
    <row r="59" spans="24:24">
      <c r="X59">
        <v>13.5</v>
      </c>
    </row>
    <row r="60" spans="24:24">
      <c r="X60">
        <v>13.75</v>
      </c>
    </row>
    <row r="61" spans="24:24">
      <c r="X61">
        <v>14</v>
      </c>
    </row>
    <row r="62" spans="24:24">
      <c r="X62">
        <v>14.25</v>
      </c>
    </row>
    <row r="63" spans="24:24">
      <c r="X63">
        <v>14.5</v>
      </c>
    </row>
    <row r="64" spans="24:24">
      <c r="X64">
        <v>14.75</v>
      </c>
    </row>
    <row r="65" spans="24:24">
      <c r="X65">
        <v>15</v>
      </c>
    </row>
    <row r="66" spans="24:24">
      <c r="X66">
        <v>15.25</v>
      </c>
    </row>
    <row r="67" spans="24:24">
      <c r="X67">
        <v>15.5</v>
      </c>
    </row>
    <row r="68" spans="24:24">
      <c r="X68">
        <v>15.75</v>
      </c>
    </row>
    <row r="69" spans="24:24">
      <c r="X69">
        <v>16</v>
      </c>
    </row>
    <row r="70" spans="24:24">
      <c r="X70">
        <v>16.25</v>
      </c>
    </row>
    <row r="71" spans="24:24">
      <c r="X71">
        <v>16.5</v>
      </c>
    </row>
    <row r="72" spans="24:24">
      <c r="X72">
        <v>16.75</v>
      </c>
    </row>
    <row r="73" spans="24:24">
      <c r="X73">
        <v>17</v>
      </c>
    </row>
    <row r="74" spans="24:24">
      <c r="X74">
        <v>17.25</v>
      </c>
    </row>
    <row r="75" spans="24:24">
      <c r="X75">
        <v>17.5</v>
      </c>
    </row>
    <row r="76" spans="24:24">
      <c r="X76">
        <v>17.75</v>
      </c>
    </row>
    <row r="77" spans="24:24">
      <c r="X77">
        <v>18</v>
      </c>
    </row>
    <row r="78" spans="24:24">
      <c r="X78">
        <v>18.25</v>
      </c>
    </row>
    <row r="79" spans="24:24">
      <c r="X79">
        <v>18.5</v>
      </c>
    </row>
    <row r="80" spans="24:24">
      <c r="X80">
        <v>18.75</v>
      </c>
    </row>
    <row r="81" spans="24:24">
      <c r="X81">
        <v>19</v>
      </c>
    </row>
    <row r="82" spans="24:24">
      <c r="X82">
        <v>19.25</v>
      </c>
    </row>
    <row r="83" spans="24:24">
      <c r="X83">
        <v>19.5</v>
      </c>
    </row>
    <row r="84" spans="24:24">
      <c r="X84">
        <v>19.75</v>
      </c>
    </row>
    <row r="85" spans="24:24">
      <c r="X85">
        <v>20</v>
      </c>
    </row>
  </sheetData>
  <phoneticPr fontId="7" type="noConversion"/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22"/>
  <sheetViews>
    <sheetView zoomScale="70" workbookViewId="0">
      <selection activeCell="D41" sqref="D41"/>
    </sheetView>
  </sheetViews>
  <sheetFormatPr defaultRowHeight="13.2"/>
  <cols>
    <col min="1" max="1" width="13.88671875" bestFit="1" customWidth="1"/>
    <col min="4" max="4" width="9.33203125" customWidth="1"/>
    <col min="12" max="12" width="9.109375" style="1" customWidth="1"/>
    <col min="13" max="13" width="9.109375" style="152" customWidth="1"/>
    <col min="14" max="14" width="10.33203125" style="1" customWidth="1"/>
    <col min="19" max="19" width="14.21875" bestFit="1" customWidth="1"/>
    <col min="21" max="21" width="6" bestFit="1" customWidth="1"/>
    <col min="22" max="22" width="22.44140625" bestFit="1" customWidth="1"/>
  </cols>
  <sheetData>
    <row r="1" spans="1:22">
      <c r="A1" t="s">
        <v>0</v>
      </c>
      <c r="B1" t="s">
        <v>82</v>
      </c>
      <c r="D1" t="s">
        <v>83</v>
      </c>
      <c r="F1" t="s">
        <v>96</v>
      </c>
      <c r="G1" t="s">
        <v>82</v>
      </c>
      <c r="L1" s="1" t="s">
        <v>453</v>
      </c>
      <c r="M1" s="152" t="s">
        <v>454</v>
      </c>
      <c r="N1" s="90" t="s">
        <v>455</v>
      </c>
      <c r="P1" t="s">
        <v>304</v>
      </c>
      <c r="Q1" t="s">
        <v>305</v>
      </c>
      <c r="V1" s="4" t="s">
        <v>559</v>
      </c>
    </row>
    <row r="2" spans="1:22">
      <c r="A2" t="s">
        <v>456</v>
      </c>
      <c r="B2">
        <v>0</v>
      </c>
      <c r="C2" t="s">
        <v>456</v>
      </c>
      <c r="D2">
        <v>1</v>
      </c>
      <c r="E2" t="s">
        <v>63</v>
      </c>
      <c r="F2" t="s">
        <v>95</v>
      </c>
      <c r="G2">
        <v>1</v>
      </c>
      <c r="I2">
        <v>1</v>
      </c>
      <c r="J2" t="s">
        <v>63</v>
      </c>
      <c r="L2" s="1">
        <v>12</v>
      </c>
      <c r="M2" s="152">
        <f>1/N2</f>
        <v>-2</v>
      </c>
      <c r="N2" s="1">
        <v>-0.5</v>
      </c>
      <c r="P2">
        <v>17</v>
      </c>
      <c r="Q2">
        <v>1</v>
      </c>
      <c r="U2">
        <v>0</v>
      </c>
      <c r="V2" t="s">
        <v>456</v>
      </c>
    </row>
    <row r="3" spans="1:22">
      <c r="A3" t="s">
        <v>63</v>
      </c>
      <c r="B3">
        <v>1</v>
      </c>
      <c r="C3" t="s">
        <v>63</v>
      </c>
      <c r="D3">
        <v>2</v>
      </c>
      <c r="E3" t="s">
        <v>69</v>
      </c>
      <c r="F3" t="s">
        <v>97</v>
      </c>
      <c r="G3">
        <v>0.5</v>
      </c>
      <c r="I3">
        <v>2</v>
      </c>
      <c r="J3" t="s">
        <v>69</v>
      </c>
      <c r="L3" s="1">
        <v>11</v>
      </c>
      <c r="M3" s="152">
        <f>1/N3</f>
        <v>-1</v>
      </c>
      <c r="N3" s="1">
        <v>-1</v>
      </c>
      <c r="P3">
        <v>18</v>
      </c>
      <c r="Q3">
        <v>1</v>
      </c>
      <c r="S3" t="str">
        <f>A3</f>
        <v>katastrofal</v>
      </c>
      <c r="T3" t="s">
        <v>154</v>
      </c>
      <c r="U3">
        <v>1</v>
      </c>
      <c r="V3" t="str">
        <f>CONCATENATE(S3," (",T3,")")</f>
        <v>katastrofal (mkt låg)</v>
      </c>
    </row>
    <row r="4" spans="1:22">
      <c r="A4" t="s">
        <v>69</v>
      </c>
      <c r="B4">
        <v>2</v>
      </c>
      <c r="C4" t="s">
        <v>69</v>
      </c>
      <c r="D4">
        <v>3</v>
      </c>
      <c r="E4" t="s">
        <v>68</v>
      </c>
      <c r="F4" t="s">
        <v>98</v>
      </c>
      <c r="G4">
        <v>0</v>
      </c>
      <c r="I4">
        <v>3</v>
      </c>
      <c r="J4" t="s">
        <v>68</v>
      </c>
      <c r="L4" s="1">
        <v>10</v>
      </c>
      <c r="M4" s="152">
        <f>1/N4</f>
        <v>-0.33333333333333331</v>
      </c>
      <c r="N4" s="1">
        <v>-3</v>
      </c>
      <c r="P4">
        <v>19</v>
      </c>
      <c r="Q4">
        <v>1</v>
      </c>
      <c r="S4" t="str">
        <f>S3</f>
        <v>katastrofal</v>
      </c>
      <c r="T4" t="s">
        <v>98</v>
      </c>
      <c r="U4">
        <f t="shared" ref="U4:U67" si="0">U3+0.25</f>
        <v>1.25</v>
      </c>
      <c r="V4" t="str">
        <f t="shared" ref="V4:V67" si="1">CONCATENATE(S4," (",T4,")")</f>
        <v>katastrofal (låg)</v>
      </c>
    </row>
    <row r="5" spans="1:22">
      <c r="A5" t="s">
        <v>68</v>
      </c>
      <c r="B5">
        <v>3</v>
      </c>
      <c r="C5" t="s">
        <v>68</v>
      </c>
      <c r="D5">
        <v>4</v>
      </c>
      <c r="E5" t="s">
        <v>67</v>
      </c>
      <c r="I5">
        <v>4</v>
      </c>
      <c r="J5" t="s">
        <v>67</v>
      </c>
      <c r="L5" s="1">
        <v>9</v>
      </c>
      <c r="M5" s="152">
        <f>1/N5</f>
        <v>-0.2</v>
      </c>
      <c r="N5" s="1">
        <v>-5</v>
      </c>
      <c r="P5">
        <v>20</v>
      </c>
      <c r="Q5">
        <v>1</v>
      </c>
      <c r="S5" t="str">
        <f>S4</f>
        <v>katastrofal</v>
      </c>
      <c r="T5" t="s">
        <v>95</v>
      </c>
      <c r="U5">
        <f t="shared" si="0"/>
        <v>1.5</v>
      </c>
      <c r="V5" t="str">
        <f t="shared" si="1"/>
        <v>katastrofal (hög)</v>
      </c>
    </row>
    <row r="6" spans="1:22">
      <c r="A6" t="s">
        <v>67</v>
      </c>
      <c r="B6">
        <v>4</v>
      </c>
      <c r="C6" t="s">
        <v>67</v>
      </c>
      <c r="D6">
        <v>5</v>
      </c>
      <c r="E6" t="s">
        <v>65</v>
      </c>
      <c r="F6">
        <v>0</v>
      </c>
      <c r="G6" t="s">
        <v>154</v>
      </c>
      <c r="I6">
        <v>5</v>
      </c>
      <c r="J6" t="s">
        <v>65</v>
      </c>
      <c r="L6" s="1">
        <v>8</v>
      </c>
      <c r="M6" s="152">
        <f t="shared" ref="M6:M13" si="2">1/N6</f>
        <v>-0.14285714285714285</v>
      </c>
      <c r="N6" s="1">
        <v>-7</v>
      </c>
      <c r="P6">
        <v>21</v>
      </c>
      <c r="Q6">
        <v>1</v>
      </c>
      <c r="S6" t="str">
        <f>S5</f>
        <v>katastrofal</v>
      </c>
      <c r="T6" t="s">
        <v>155</v>
      </c>
      <c r="U6">
        <f t="shared" si="0"/>
        <v>1.75</v>
      </c>
      <c r="V6" t="str">
        <f t="shared" si="1"/>
        <v>katastrofal (mkt hög)</v>
      </c>
    </row>
    <row r="7" spans="1:22">
      <c r="A7" t="s">
        <v>65</v>
      </c>
      <c r="B7">
        <v>5</v>
      </c>
      <c r="C7" t="s">
        <v>65</v>
      </c>
      <c r="D7">
        <v>6</v>
      </c>
      <c r="E7" t="s">
        <v>64</v>
      </c>
      <c r="F7">
        <v>1</v>
      </c>
      <c r="G7" t="s">
        <v>98</v>
      </c>
      <c r="I7">
        <v>6</v>
      </c>
      <c r="J7" t="s">
        <v>64</v>
      </c>
      <c r="L7" s="1">
        <v>7</v>
      </c>
      <c r="M7" s="152">
        <f t="shared" si="2"/>
        <v>-7.6923076923076927E-2</v>
      </c>
      <c r="N7" s="1">
        <v>-13</v>
      </c>
      <c r="P7">
        <v>22</v>
      </c>
      <c r="Q7">
        <v>1</v>
      </c>
      <c r="S7" t="s">
        <v>69</v>
      </c>
      <c r="T7" t="s">
        <v>154</v>
      </c>
      <c r="U7">
        <f t="shared" si="0"/>
        <v>2</v>
      </c>
      <c r="V7" t="str">
        <f t="shared" si="1"/>
        <v>usel (mkt låg)</v>
      </c>
    </row>
    <row r="8" spans="1:22">
      <c r="A8" t="s">
        <v>64</v>
      </c>
      <c r="B8">
        <v>6</v>
      </c>
      <c r="C8" t="s">
        <v>64</v>
      </c>
      <c r="D8">
        <v>7</v>
      </c>
      <c r="E8" t="s">
        <v>70</v>
      </c>
      <c r="F8">
        <v>2</v>
      </c>
      <c r="G8" t="s">
        <v>95</v>
      </c>
      <c r="I8">
        <v>7</v>
      </c>
      <c r="J8" t="s">
        <v>70</v>
      </c>
      <c r="L8" s="1">
        <v>6</v>
      </c>
      <c r="M8" s="152">
        <f t="shared" si="2"/>
        <v>-3.0303030303030304E-2</v>
      </c>
      <c r="N8" s="1">
        <v>-33</v>
      </c>
      <c r="P8">
        <v>23</v>
      </c>
      <c r="Q8">
        <v>1</v>
      </c>
      <c r="S8" t="str">
        <f>S7</f>
        <v>usel</v>
      </c>
      <c r="T8" t="s">
        <v>98</v>
      </c>
      <c r="U8">
        <f t="shared" si="0"/>
        <v>2.25</v>
      </c>
      <c r="V8" t="str">
        <f t="shared" si="1"/>
        <v>usel (låg)</v>
      </c>
    </row>
    <row r="9" spans="1:22">
      <c r="A9" t="s">
        <v>70</v>
      </c>
      <c r="B9">
        <v>7</v>
      </c>
      <c r="C9" t="s">
        <v>70</v>
      </c>
      <c r="D9">
        <v>8</v>
      </c>
      <c r="E9" t="s">
        <v>61</v>
      </c>
      <c r="F9">
        <v>3</v>
      </c>
      <c r="G9" t="s">
        <v>155</v>
      </c>
      <c r="I9">
        <v>8</v>
      </c>
      <c r="J9" t="s">
        <v>61</v>
      </c>
      <c r="L9" s="1">
        <v>5</v>
      </c>
      <c r="M9" s="152">
        <f t="shared" si="2"/>
        <v>-1.5873015873015872E-2</v>
      </c>
      <c r="N9" s="1">
        <v>-63</v>
      </c>
      <c r="P9">
        <v>24</v>
      </c>
      <c r="Q9">
        <v>1</v>
      </c>
      <c r="S9" t="str">
        <f>S8</f>
        <v>usel</v>
      </c>
      <c r="T9" t="s">
        <v>95</v>
      </c>
      <c r="U9">
        <f t="shared" si="0"/>
        <v>2.5</v>
      </c>
      <c r="V9" t="str">
        <f t="shared" si="1"/>
        <v>usel (hög)</v>
      </c>
    </row>
    <row r="10" spans="1:22">
      <c r="A10" t="s">
        <v>61</v>
      </c>
      <c r="B10">
        <v>8</v>
      </c>
      <c r="C10" t="s">
        <v>61</v>
      </c>
      <c r="D10">
        <v>9</v>
      </c>
      <c r="E10" t="s">
        <v>71</v>
      </c>
      <c r="I10">
        <v>9</v>
      </c>
      <c r="J10" t="s">
        <v>71</v>
      </c>
      <c r="L10" s="1">
        <v>4</v>
      </c>
      <c r="M10" s="152">
        <f t="shared" si="2"/>
        <v>1.5873015873015872E-2</v>
      </c>
      <c r="N10" s="1">
        <f>-1*N9</f>
        <v>63</v>
      </c>
      <c r="P10">
        <v>25</v>
      </c>
      <c r="Q10">
        <v>1</v>
      </c>
      <c r="S10" t="str">
        <f>S9</f>
        <v>usel</v>
      </c>
      <c r="T10" t="s">
        <v>155</v>
      </c>
      <c r="U10">
        <f t="shared" si="0"/>
        <v>2.75</v>
      </c>
      <c r="V10" t="str">
        <f t="shared" si="1"/>
        <v>usel (mkt hög)</v>
      </c>
    </row>
    <row r="11" spans="1:22">
      <c r="A11" t="s">
        <v>71</v>
      </c>
      <c r="B11">
        <v>9</v>
      </c>
      <c r="C11" t="s">
        <v>71</v>
      </c>
      <c r="D11">
        <v>10</v>
      </c>
      <c r="E11" t="s">
        <v>62</v>
      </c>
      <c r="F11">
        <v>0</v>
      </c>
      <c r="G11" t="s">
        <v>154</v>
      </c>
      <c r="H11">
        <v>0</v>
      </c>
      <c r="I11">
        <v>10</v>
      </c>
      <c r="J11" t="s">
        <v>62</v>
      </c>
      <c r="L11" s="1">
        <v>3</v>
      </c>
      <c r="M11" s="152">
        <f t="shared" si="2"/>
        <v>3.0303030303030304E-2</v>
      </c>
      <c r="N11" s="1">
        <f>-1*N8</f>
        <v>33</v>
      </c>
      <c r="P11">
        <v>26</v>
      </c>
      <c r="Q11">
        <v>1</v>
      </c>
      <c r="S11" t="s">
        <v>68</v>
      </c>
      <c r="T11" t="s">
        <v>154</v>
      </c>
      <c r="U11">
        <f t="shared" si="0"/>
        <v>3</v>
      </c>
      <c r="V11" t="str">
        <f t="shared" si="1"/>
        <v>dålig (mkt låg)</v>
      </c>
    </row>
    <row r="12" spans="1:22">
      <c r="A12" t="s">
        <v>62</v>
      </c>
      <c r="B12">
        <v>10</v>
      </c>
      <c r="C12" t="s">
        <v>62</v>
      </c>
      <c r="D12">
        <v>11</v>
      </c>
      <c r="E12" t="s">
        <v>66</v>
      </c>
      <c r="F12">
        <v>0.25</v>
      </c>
      <c r="G12" t="s">
        <v>98</v>
      </c>
      <c r="H12">
        <v>0.25</v>
      </c>
      <c r="I12">
        <v>11</v>
      </c>
      <c r="J12" t="s">
        <v>66</v>
      </c>
      <c r="L12" s="1">
        <v>2</v>
      </c>
      <c r="M12" s="152">
        <f t="shared" si="2"/>
        <v>7.6923076923076927E-2</v>
      </c>
      <c r="N12" s="1">
        <f>-1*N7</f>
        <v>13</v>
      </c>
      <c r="P12">
        <v>27</v>
      </c>
      <c r="Q12">
        <v>1</v>
      </c>
      <c r="S12" t="str">
        <f>S11</f>
        <v>dålig</v>
      </c>
      <c r="T12" t="s">
        <v>98</v>
      </c>
      <c r="U12">
        <f t="shared" si="0"/>
        <v>3.25</v>
      </c>
      <c r="V12" t="str">
        <f t="shared" si="1"/>
        <v>dålig (låg)</v>
      </c>
    </row>
    <row r="13" spans="1:22">
      <c r="A13" t="s">
        <v>66</v>
      </c>
      <c r="B13">
        <v>11</v>
      </c>
      <c r="C13" t="s">
        <v>66</v>
      </c>
      <c r="D13">
        <v>12</v>
      </c>
      <c r="E13" t="s">
        <v>72</v>
      </c>
      <c r="F13">
        <v>0.5</v>
      </c>
      <c r="G13" t="s">
        <v>95</v>
      </c>
      <c r="H13">
        <v>0.5</v>
      </c>
      <c r="I13">
        <v>12</v>
      </c>
      <c r="J13" t="s">
        <v>72</v>
      </c>
      <c r="L13" s="1">
        <v>1</v>
      </c>
      <c r="M13" s="152">
        <f t="shared" si="2"/>
        <v>0.14285714285714285</v>
      </c>
      <c r="N13" s="1">
        <f>-1*N6</f>
        <v>7</v>
      </c>
      <c r="P13">
        <v>28</v>
      </c>
      <c r="Q13">
        <v>1</v>
      </c>
      <c r="S13" t="str">
        <f>S12</f>
        <v>dålig</v>
      </c>
      <c r="T13" t="s">
        <v>95</v>
      </c>
      <c r="U13">
        <f t="shared" si="0"/>
        <v>3.5</v>
      </c>
      <c r="V13" t="str">
        <f t="shared" si="1"/>
        <v>dålig (hög)</v>
      </c>
    </row>
    <row r="14" spans="1:22">
      <c r="A14" t="s">
        <v>72</v>
      </c>
      <c r="B14">
        <v>12</v>
      </c>
      <c r="C14" t="s">
        <v>72</v>
      </c>
      <c r="D14">
        <v>13</v>
      </c>
      <c r="E14" t="s">
        <v>73</v>
      </c>
      <c r="F14">
        <v>0.75</v>
      </c>
      <c r="G14" t="s">
        <v>155</v>
      </c>
      <c r="H14">
        <v>0.75</v>
      </c>
      <c r="I14">
        <v>13</v>
      </c>
      <c r="J14" t="s">
        <v>73</v>
      </c>
      <c r="L14" s="1">
        <v>0</v>
      </c>
      <c r="M14" s="152">
        <v>0.5</v>
      </c>
      <c r="N14" s="1">
        <f>-1*N5</f>
        <v>5</v>
      </c>
      <c r="P14">
        <v>29</v>
      </c>
      <c r="Q14">
        <v>1.1428571428571428</v>
      </c>
      <c r="S14" t="str">
        <f>S13</f>
        <v>dålig</v>
      </c>
      <c r="T14" t="s">
        <v>155</v>
      </c>
      <c r="U14">
        <f t="shared" si="0"/>
        <v>3.75</v>
      </c>
      <c r="V14" t="str">
        <f t="shared" si="1"/>
        <v>dålig (mkt hög)</v>
      </c>
    </row>
    <row r="15" spans="1:22">
      <c r="A15" t="s">
        <v>73</v>
      </c>
      <c r="B15">
        <v>13</v>
      </c>
      <c r="C15" t="s">
        <v>73</v>
      </c>
      <c r="D15">
        <v>14</v>
      </c>
      <c r="E15" t="s">
        <v>74</v>
      </c>
      <c r="I15">
        <v>14</v>
      </c>
      <c r="J15" t="s">
        <v>74</v>
      </c>
      <c r="P15">
        <v>30</v>
      </c>
      <c r="Q15">
        <v>1.3333333333333333</v>
      </c>
      <c r="S15" t="s">
        <v>67</v>
      </c>
      <c r="T15" t="s">
        <v>154</v>
      </c>
      <c r="U15">
        <f t="shared" si="0"/>
        <v>4</v>
      </c>
      <c r="V15" t="str">
        <f t="shared" si="1"/>
        <v>hyfsad (mkt låg)</v>
      </c>
    </row>
    <row r="16" spans="1:22">
      <c r="A16" t="s">
        <v>74</v>
      </c>
      <c r="B16">
        <v>14</v>
      </c>
      <c r="C16" t="s">
        <v>74</v>
      </c>
      <c r="D16">
        <v>15</v>
      </c>
      <c r="E16" t="s">
        <v>75</v>
      </c>
      <c r="G16" s="4" t="s">
        <v>104</v>
      </c>
      <c r="I16">
        <v>15</v>
      </c>
      <c r="J16" t="s">
        <v>75</v>
      </c>
      <c r="P16">
        <v>31</v>
      </c>
      <c r="Q16">
        <v>1.6</v>
      </c>
      <c r="S16" t="str">
        <f>S15</f>
        <v>hyfsad</v>
      </c>
      <c r="T16" t="s">
        <v>98</v>
      </c>
      <c r="U16">
        <f t="shared" si="0"/>
        <v>4.25</v>
      </c>
      <c r="V16" t="str">
        <f t="shared" si="1"/>
        <v>hyfsad (låg)</v>
      </c>
    </row>
    <row r="17" spans="1:22">
      <c r="A17" t="s">
        <v>75</v>
      </c>
      <c r="B17">
        <v>15</v>
      </c>
      <c r="C17" t="s">
        <v>75</v>
      </c>
      <c r="D17">
        <v>16</v>
      </c>
      <c r="E17" t="s">
        <v>76</v>
      </c>
      <c r="G17" t="s">
        <v>561</v>
      </c>
      <c r="I17">
        <v>16</v>
      </c>
      <c r="J17" t="s">
        <v>76</v>
      </c>
      <c r="P17">
        <v>32</v>
      </c>
      <c r="Q17">
        <v>2</v>
      </c>
      <c r="S17" t="str">
        <f>S16</f>
        <v>hyfsad</v>
      </c>
      <c r="T17" t="s">
        <v>95</v>
      </c>
      <c r="U17">
        <f t="shared" si="0"/>
        <v>4.5</v>
      </c>
      <c r="V17" t="str">
        <f t="shared" si="1"/>
        <v>hyfsad (hög)</v>
      </c>
    </row>
    <row r="18" spans="1:22">
      <c r="A18" t="s">
        <v>76</v>
      </c>
      <c r="B18">
        <v>16</v>
      </c>
      <c r="C18" t="s">
        <v>76</v>
      </c>
      <c r="D18">
        <v>17</v>
      </c>
      <c r="E18" t="s">
        <v>77</v>
      </c>
      <c r="G18" t="s">
        <v>558</v>
      </c>
      <c r="I18">
        <v>17</v>
      </c>
      <c r="J18" t="s">
        <v>77</v>
      </c>
      <c r="P18">
        <v>33</v>
      </c>
      <c r="Q18">
        <v>2.6666666666666665</v>
      </c>
      <c r="S18" t="str">
        <f>S17</f>
        <v>hyfsad</v>
      </c>
      <c r="T18" t="s">
        <v>155</v>
      </c>
      <c r="U18">
        <f t="shared" si="0"/>
        <v>4.75</v>
      </c>
      <c r="V18" t="str">
        <f t="shared" si="1"/>
        <v>hyfsad (mkt hög)</v>
      </c>
    </row>
    <row r="19" spans="1:22">
      <c r="A19" t="s">
        <v>77</v>
      </c>
      <c r="B19">
        <v>17</v>
      </c>
      <c r="C19" t="s">
        <v>77</v>
      </c>
      <c r="D19">
        <v>18</v>
      </c>
      <c r="E19" t="s">
        <v>78</v>
      </c>
      <c r="I19">
        <v>18</v>
      </c>
      <c r="J19" t="s">
        <v>78</v>
      </c>
      <c r="P19">
        <v>34</v>
      </c>
      <c r="Q19">
        <v>4</v>
      </c>
      <c r="S19" t="s">
        <v>65</v>
      </c>
      <c r="T19" t="s">
        <v>154</v>
      </c>
      <c r="U19">
        <f t="shared" si="0"/>
        <v>5</v>
      </c>
      <c r="V19" t="str">
        <f t="shared" si="1"/>
        <v>bra (mkt låg)</v>
      </c>
    </row>
    <row r="20" spans="1:22">
      <c r="A20" t="s">
        <v>78</v>
      </c>
      <c r="B20">
        <v>18</v>
      </c>
      <c r="C20" t="s">
        <v>78</v>
      </c>
      <c r="D20">
        <v>19</v>
      </c>
      <c r="E20" t="s">
        <v>79</v>
      </c>
      <c r="I20">
        <v>19</v>
      </c>
      <c r="J20" t="s">
        <v>79</v>
      </c>
      <c r="P20">
        <v>35</v>
      </c>
      <c r="Q20">
        <v>8</v>
      </c>
      <c r="S20" t="str">
        <f>S19</f>
        <v>bra</v>
      </c>
      <c r="T20" t="s">
        <v>98</v>
      </c>
      <c r="U20">
        <f t="shared" si="0"/>
        <v>5.25</v>
      </c>
      <c r="V20" t="str">
        <f t="shared" si="1"/>
        <v>bra (låg)</v>
      </c>
    </row>
    <row r="21" spans="1:22">
      <c r="A21" t="s">
        <v>79</v>
      </c>
      <c r="B21">
        <v>19</v>
      </c>
      <c r="C21" t="s">
        <v>79</v>
      </c>
      <c r="D21">
        <v>20</v>
      </c>
      <c r="E21" t="s">
        <v>80</v>
      </c>
      <c r="I21">
        <v>20</v>
      </c>
      <c r="J21" t="s">
        <v>80</v>
      </c>
      <c r="P21">
        <v>36</v>
      </c>
      <c r="Q21">
        <v>8</v>
      </c>
      <c r="S21" t="str">
        <f>S20</f>
        <v>bra</v>
      </c>
      <c r="T21" t="s">
        <v>95</v>
      </c>
      <c r="U21">
        <f t="shared" si="0"/>
        <v>5.5</v>
      </c>
      <c r="V21" t="str">
        <f t="shared" si="1"/>
        <v>bra (hög)</v>
      </c>
    </row>
    <row r="22" spans="1:22">
      <c r="A22" t="s">
        <v>80</v>
      </c>
      <c r="B22">
        <v>20</v>
      </c>
      <c r="C22" t="s">
        <v>80</v>
      </c>
      <c r="D22">
        <v>21</v>
      </c>
      <c r="E22" t="s">
        <v>156</v>
      </c>
      <c r="I22">
        <v>21</v>
      </c>
      <c r="J22" t="s">
        <v>156</v>
      </c>
      <c r="P22">
        <v>37</v>
      </c>
      <c r="Q22">
        <v>8</v>
      </c>
      <c r="S22" t="str">
        <f>S21</f>
        <v>bra</v>
      </c>
      <c r="T22" t="s">
        <v>155</v>
      </c>
      <c r="U22">
        <f t="shared" si="0"/>
        <v>5.75</v>
      </c>
      <c r="V22" t="str">
        <f t="shared" si="1"/>
        <v>bra (mkt hög)</v>
      </c>
    </row>
    <row r="23" spans="1:22">
      <c r="A23" t="s">
        <v>156</v>
      </c>
      <c r="B23">
        <v>21</v>
      </c>
      <c r="C23" t="s">
        <v>156</v>
      </c>
      <c r="D23">
        <v>22</v>
      </c>
      <c r="E23" t="s">
        <v>157</v>
      </c>
      <c r="I23">
        <v>22</v>
      </c>
      <c r="J23" t="s">
        <v>157</v>
      </c>
      <c r="P23">
        <v>38</v>
      </c>
      <c r="Q23">
        <v>8</v>
      </c>
      <c r="S23" t="s">
        <v>64</v>
      </c>
      <c r="T23" t="s">
        <v>154</v>
      </c>
      <c r="U23">
        <f t="shared" si="0"/>
        <v>6</v>
      </c>
      <c r="V23" t="str">
        <f t="shared" si="1"/>
        <v>ypperlig (mkt låg)</v>
      </c>
    </row>
    <row r="24" spans="1:22">
      <c r="A24" t="s">
        <v>157</v>
      </c>
      <c r="B24">
        <v>22</v>
      </c>
      <c r="C24" t="s">
        <v>157</v>
      </c>
      <c r="D24">
        <v>23</v>
      </c>
      <c r="E24" t="s">
        <v>158</v>
      </c>
      <c r="I24">
        <v>23</v>
      </c>
      <c r="J24" t="s">
        <v>158</v>
      </c>
      <c r="P24">
        <v>39</v>
      </c>
      <c r="Q24">
        <v>8</v>
      </c>
      <c r="S24" t="str">
        <f>S23</f>
        <v>ypperlig</v>
      </c>
      <c r="T24" t="s">
        <v>98</v>
      </c>
      <c r="U24">
        <f t="shared" si="0"/>
        <v>6.25</v>
      </c>
      <c r="V24" t="str">
        <f t="shared" si="1"/>
        <v>ypperlig (låg)</v>
      </c>
    </row>
    <row r="25" spans="1:22">
      <c r="A25" t="s">
        <v>158</v>
      </c>
      <c r="B25">
        <v>23</v>
      </c>
      <c r="C25" t="s">
        <v>158</v>
      </c>
      <c r="D25">
        <v>24</v>
      </c>
      <c r="E25" t="s">
        <v>159</v>
      </c>
      <c r="I25">
        <v>24</v>
      </c>
      <c r="J25" t="s">
        <v>159</v>
      </c>
      <c r="P25">
        <v>40</v>
      </c>
      <c r="Q25">
        <v>8</v>
      </c>
      <c r="S25" t="str">
        <f>S24</f>
        <v>ypperlig</v>
      </c>
      <c r="T25" t="s">
        <v>95</v>
      </c>
      <c r="U25">
        <f t="shared" si="0"/>
        <v>6.5</v>
      </c>
      <c r="V25" t="str">
        <f t="shared" si="1"/>
        <v>ypperlig (hög)</v>
      </c>
    </row>
    <row r="26" spans="1:22">
      <c r="A26" t="s">
        <v>159</v>
      </c>
      <c r="B26">
        <v>24</v>
      </c>
      <c r="C26" t="s">
        <v>159</v>
      </c>
      <c r="D26">
        <v>25</v>
      </c>
      <c r="E26" t="s">
        <v>160</v>
      </c>
      <c r="I26">
        <v>25</v>
      </c>
      <c r="J26" t="s">
        <v>160</v>
      </c>
      <c r="P26">
        <v>41</v>
      </c>
      <c r="Q26">
        <v>8</v>
      </c>
      <c r="S26" t="str">
        <f>S25</f>
        <v>ypperlig</v>
      </c>
      <c r="T26" t="s">
        <v>155</v>
      </c>
      <c r="U26">
        <f t="shared" si="0"/>
        <v>6.75</v>
      </c>
      <c r="V26" t="str">
        <f t="shared" si="1"/>
        <v>ypperlig (mkt hög)</v>
      </c>
    </row>
    <row r="27" spans="1:22">
      <c r="A27" t="s">
        <v>160</v>
      </c>
      <c r="B27">
        <v>25</v>
      </c>
      <c r="C27" t="s">
        <v>160</v>
      </c>
      <c r="D27">
        <v>26</v>
      </c>
      <c r="E27" t="s">
        <v>161</v>
      </c>
      <c r="I27">
        <v>26</v>
      </c>
      <c r="J27" t="s">
        <v>161</v>
      </c>
      <c r="P27">
        <v>42</v>
      </c>
      <c r="Q27">
        <v>8</v>
      </c>
      <c r="S27" t="s">
        <v>70</v>
      </c>
      <c r="T27" t="s">
        <v>154</v>
      </c>
      <c r="U27">
        <f t="shared" si="0"/>
        <v>7</v>
      </c>
      <c r="V27" t="str">
        <f t="shared" si="1"/>
        <v>enastående (mkt låg)</v>
      </c>
    </row>
    <row r="28" spans="1:22">
      <c r="A28" t="s">
        <v>161</v>
      </c>
      <c r="B28">
        <v>26</v>
      </c>
      <c r="C28" t="s">
        <v>161</v>
      </c>
      <c r="D28">
        <v>27</v>
      </c>
      <c r="E28" t="s">
        <v>162</v>
      </c>
      <c r="I28">
        <v>27</v>
      </c>
      <c r="J28" t="s">
        <v>162</v>
      </c>
      <c r="P28">
        <v>43</v>
      </c>
      <c r="Q28">
        <v>8</v>
      </c>
      <c r="S28" t="str">
        <f>S27</f>
        <v>enastående</v>
      </c>
      <c r="T28" t="s">
        <v>98</v>
      </c>
      <c r="U28">
        <f t="shared" si="0"/>
        <v>7.25</v>
      </c>
      <c r="V28" t="str">
        <f t="shared" si="1"/>
        <v>enastående (låg)</v>
      </c>
    </row>
    <row r="29" spans="1:22">
      <c r="A29" t="s">
        <v>162</v>
      </c>
      <c r="B29">
        <v>27</v>
      </c>
      <c r="C29" t="s">
        <v>162</v>
      </c>
      <c r="D29">
        <v>28</v>
      </c>
      <c r="E29" t="s">
        <v>163</v>
      </c>
      <c r="I29">
        <v>28</v>
      </c>
      <c r="J29" t="s">
        <v>163</v>
      </c>
      <c r="P29">
        <v>44</v>
      </c>
      <c r="Q29">
        <v>8</v>
      </c>
      <c r="S29" t="str">
        <f>S28</f>
        <v>enastående</v>
      </c>
      <c r="T29" t="s">
        <v>95</v>
      </c>
      <c r="U29">
        <f t="shared" si="0"/>
        <v>7.5</v>
      </c>
      <c r="V29" t="str">
        <f t="shared" si="1"/>
        <v>enastående (hög)</v>
      </c>
    </row>
    <row r="30" spans="1:22">
      <c r="A30" t="s">
        <v>163</v>
      </c>
      <c r="B30">
        <v>28</v>
      </c>
      <c r="C30" t="s">
        <v>163</v>
      </c>
      <c r="D30">
        <v>29</v>
      </c>
      <c r="E30" t="s">
        <v>164</v>
      </c>
      <c r="I30">
        <v>29</v>
      </c>
      <c r="J30" t="s">
        <v>164</v>
      </c>
      <c r="P30">
        <v>45</v>
      </c>
      <c r="Q30">
        <v>8</v>
      </c>
      <c r="S30" t="str">
        <f>S29</f>
        <v>enastående</v>
      </c>
      <c r="T30" t="s">
        <v>155</v>
      </c>
      <c r="U30">
        <f t="shared" si="0"/>
        <v>7.75</v>
      </c>
      <c r="V30" t="str">
        <f t="shared" si="1"/>
        <v>enastående (mkt hög)</v>
      </c>
    </row>
    <row r="31" spans="1:22">
      <c r="A31" t="s">
        <v>164</v>
      </c>
      <c r="B31">
        <v>29</v>
      </c>
      <c r="C31" t="s">
        <v>164</v>
      </c>
      <c r="D31">
        <v>30</v>
      </c>
      <c r="E31" t="s">
        <v>165</v>
      </c>
      <c r="I31">
        <v>30</v>
      </c>
      <c r="J31" t="s">
        <v>165</v>
      </c>
      <c r="S31" t="s">
        <v>61</v>
      </c>
      <c r="T31" t="s">
        <v>154</v>
      </c>
      <c r="U31">
        <f t="shared" si="0"/>
        <v>8</v>
      </c>
      <c r="V31" t="str">
        <f t="shared" si="1"/>
        <v>fenomenal (mkt låg)</v>
      </c>
    </row>
    <row r="32" spans="1:22">
      <c r="A32" t="s">
        <v>165</v>
      </c>
      <c r="B32">
        <v>30</v>
      </c>
      <c r="C32" t="s">
        <v>165</v>
      </c>
      <c r="D32">
        <v>31</v>
      </c>
      <c r="E32" t="s">
        <v>166</v>
      </c>
      <c r="I32">
        <v>31</v>
      </c>
      <c r="J32" t="s">
        <v>166</v>
      </c>
      <c r="S32" t="str">
        <f>S31</f>
        <v>fenomenal</v>
      </c>
      <c r="T32" t="s">
        <v>98</v>
      </c>
      <c r="U32">
        <f t="shared" si="0"/>
        <v>8.25</v>
      </c>
      <c r="V32" t="str">
        <f t="shared" si="1"/>
        <v>fenomenal (låg)</v>
      </c>
    </row>
    <row r="33" spans="1:22">
      <c r="A33" t="s">
        <v>166</v>
      </c>
      <c r="B33">
        <v>31</v>
      </c>
      <c r="C33" t="s">
        <v>166</v>
      </c>
      <c r="D33">
        <v>32</v>
      </c>
      <c r="E33" t="s">
        <v>167</v>
      </c>
      <c r="I33">
        <v>32</v>
      </c>
      <c r="J33" t="s">
        <v>167</v>
      </c>
      <c r="S33" t="str">
        <f>S32</f>
        <v>fenomenal</v>
      </c>
      <c r="T33" t="s">
        <v>95</v>
      </c>
      <c r="U33">
        <f t="shared" si="0"/>
        <v>8.5</v>
      </c>
      <c r="V33" t="str">
        <f t="shared" si="1"/>
        <v>fenomenal (hög)</v>
      </c>
    </row>
    <row r="34" spans="1:22">
      <c r="A34" t="s">
        <v>167</v>
      </c>
      <c r="B34">
        <v>32</v>
      </c>
      <c r="C34" t="s">
        <v>167</v>
      </c>
      <c r="D34">
        <v>33</v>
      </c>
      <c r="E34" t="s">
        <v>168</v>
      </c>
      <c r="I34">
        <v>33</v>
      </c>
      <c r="J34" t="s">
        <v>168</v>
      </c>
      <c r="S34" t="str">
        <f>S33</f>
        <v>fenomenal</v>
      </c>
      <c r="T34" t="s">
        <v>155</v>
      </c>
      <c r="U34">
        <f t="shared" si="0"/>
        <v>8.75</v>
      </c>
      <c r="V34" t="str">
        <f t="shared" si="1"/>
        <v>fenomenal (mkt hög)</v>
      </c>
    </row>
    <row r="35" spans="1:22">
      <c r="A35" t="s">
        <v>168</v>
      </c>
      <c r="B35">
        <v>33</v>
      </c>
      <c r="C35" t="s">
        <v>168</v>
      </c>
      <c r="D35">
        <v>34</v>
      </c>
      <c r="E35" t="s">
        <v>169</v>
      </c>
      <c r="I35">
        <v>34</v>
      </c>
      <c r="J35" t="s">
        <v>169</v>
      </c>
      <c r="S35" t="s">
        <v>71</v>
      </c>
      <c r="T35" t="s">
        <v>154</v>
      </c>
      <c r="U35">
        <f t="shared" si="0"/>
        <v>9</v>
      </c>
      <c r="V35" t="str">
        <f t="shared" si="1"/>
        <v>unik (mkt låg)</v>
      </c>
    </row>
    <row r="36" spans="1:22">
      <c r="A36" t="s">
        <v>169</v>
      </c>
      <c r="B36">
        <v>34</v>
      </c>
      <c r="C36" t="s">
        <v>169</v>
      </c>
      <c r="D36">
        <v>35</v>
      </c>
      <c r="E36" t="s">
        <v>170</v>
      </c>
      <c r="I36">
        <v>35</v>
      </c>
      <c r="J36" t="s">
        <v>170</v>
      </c>
      <c r="S36" t="str">
        <f>S35</f>
        <v>unik</v>
      </c>
      <c r="T36" t="s">
        <v>98</v>
      </c>
      <c r="U36">
        <f t="shared" si="0"/>
        <v>9.25</v>
      </c>
      <c r="V36" t="str">
        <f t="shared" si="1"/>
        <v>unik (låg)</v>
      </c>
    </row>
    <row r="37" spans="1:22">
      <c r="A37" t="s">
        <v>170</v>
      </c>
      <c r="B37">
        <v>35</v>
      </c>
      <c r="C37" t="s">
        <v>170</v>
      </c>
      <c r="D37">
        <v>36</v>
      </c>
      <c r="E37" t="s">
        <v>171</v>
      </c>
      <c r="I37">
        <v>36</v>
      </c>
      <c r="J37" t="s">
        <v>171</v>
      </c>
      <c r="S37" t="str">
        <f>S36</f>
        <v>unik</v>
      </c>
      <c r="T37" t="s">
        <v>95</v>
      </c>
      <c r="U37">
        <f t="shared" si="0"/>
        <v>9.5</v>
      </c>
      <c r="V37" t="str">
        <f t="shared" si="1"/>
        <v>unik (hög)</v>
      </c>
    </row>
    <row r="38" spans="1:22">
      <c r="A38" t="s">
        <v>171</v>
      </c>
      <c r="B38">
        <v>36</v>
      </c>
      <c r="C38" t="s">
        <v>171</v>
      </c>
      <c r="D38">
        <v>37</v>
      </c>
      <c r="E38" t="s">
        <v>172</v>
      </c>
      <c r="I38">
        <v>37</v>
      </c>
      <c r="J38" t="s">
        <v>172</v>
      </c>
      <c r="S38" t="str">
        <f>S37</f>
        <v>unik</v>
      </c>
      <c r="T38" t="s">
        <v>155</v>
      </c>
      <c r="U38">
        <f t="shared" si="0"/>
        <v>9.75</v>
      </c>
      <c r="V38" t="str">
        <f t="shared" si="1"/>
        <v>unik (mkt hög)</v>
      </c>
    </row>
    <row r="39" spans="1:22">
      <c r="A39" t="s">
        <v>172</v>
      </c>
      <c r="B39">
        <v>37</v>
      </c>
      <c r="C39" t="s">
        <v>172</v>
      </c>
      <c r="D39">
        <v>38</v>
      </c>
      <c r="E39" t="s">
        <v>173</v>
      </c>
      <c r="I39">
        <v>38</v>
      </c>
      <c r="J39" t="s">
        <v>173</v>
      </c>
      <c r="S39" t="s">
        <v>62</v>
      </c>
      <c r="T39" t="s">
        <v>154</v>
      </c>
      <c r="U39">
        <f t="shared" si="0"/>
        <v>10</v>
      </c>
      <c r="V39" t="str">
        <f t="shared" si="1"/>
        <v>legendarisk (mkt låg)</v>
      </c>
    </row>
    <row r="40" spans="1:22">
      <c r="A40" t="s">
        <v>173</v>
      </c>
      <c r="B40">
        <v>38</v>
      </c>
      <c r="C40" t="s">
        <v>173</v>
      </c>
      <c r="D40">
        <v>39</v>
      </c>
      <c r="E40" t="s">
        <v>174</v>
      </c>
      <c r="I40">
        <v>39</v>
      </c>
      <c r="J40" t="s">
        <v>174</v>
      </c>
      <c r="S40" t="str">
        <f>S39</f>
        <v>legendarisk</v>
      </c>
      <c r="T40" t="s">
        <v>98</v>
      </c>
      <c r="U40">
        <f t="shared" si="0"/>
        <v>10.25</v>
      </c>
      <c r="V40" t="str">
        <f t="shared" si="1"/>
        <v>legendarisk (låg)</v>
      </c>
    </row>
    <row r="41" spans="1:22">
      <c r="A41" t="s">
        <v>174</v>
      </c>
      <c r="B41">
        <v>39</v>
      </c>
      <c r="C41" t="s">
        <v>174</v>
      </c>
      <c r="D41">
        <v>40</v>
      </c>
      <c r="E41" t="s">
        <v>175</v>
      </c>
      <c r="I41">
        <v>40</v>
      </c>
      <c r="J41" t="s">
        <v>175</v>
      </c>
      <c r="S41" t="str">
        <f>S40</f>
        <v>legendarisk</v>
      </c>
      <c r="T41" t="s">
        <v>95</v>
      </c>
      <c r="U41">
        <f t="shared" si="0"/>
        <v>10.5</v>
      </c>
      <c r="V41" t="str">
        <f t="shared" si="1"/>
        <v>legendarisk (hög)</v>
      </c>
    </row>
    <row r="42" spans="1:22">
      <c r="A42" t="s">
        <v>175</v>
      </c>
      <c r="B42">
        <v>40</v>
      </c>
      <c r="C42" t="s">
        <v>175</v>
      </c>
      <c r="S42" t="str">
        <f>S41</f>
        <v>legendarisk</v>
      </c>
      <c r="T42" t="s">
        <v>155</v>
      </c>
      <c r="U42">
        <f t="shared" si="0"/>
        <v>10.75</v>
      </c>
      <c r="V42" t="str">
        <f t="shared" si="1"/>
        <v>legendarisk (mkt hög)</v>
      </c>
    </row>
    <row r="43" spans="1:22">
      <c r="S43" t="s">
        <v>66</v>
      </c>
      <c r="T43" t="s">
        <v>154</v>
      </c>
      <c r="U43">
        <f t="shared" si="0"/>
        <v>11</v>
      </c>
      <c r="V43" t="str">
        <f t="shared" si="1"/>
        <v>gudabenådad (mkt låg)</v>
      </c>
    </row>
    <row r="44" spans="1:22">
      <c r="S44" t="str">
        <f>S43</f>
        <v>gudabenådad</v>
      </c>
      <c r="T44" t="s">
        <v>98</v>
      </c>
      <c r="U44">
        <f t="shared" si="0"/>
        <v>11.25</v>
      </c>
      <c r="V44" t="str">
        <f t="shared" si="1"/>
        <v>gudabenådad (låg)</v>
      </c>
    </row>
    <row r="45" spans="1:22">
      <c r="S45" t="str">
        <f>S44</f>
        <v>gudabenådad</v>
      </c>
      <c r="T45" t="s">
        <v>95</v>
      </c>
      <c r="U45">
        <f t="shared" si="0"/>
        <v>11.5</v>
      </c>
      <c r="V45" t="str">
        <f t="shared" si="1"/>
        <v>gudabenådad (hög)</v>
      </c>
    </row>
    <row r="46" spans="1:22">
      <c r="S46" t="str">
        <f>S45</f>
        <v>gudabenådad</v>
      </c>
      <c r="T46" t="s">
        <v>155</v>
      </c>
      <c r="U46">
        <f t="shared" si="0"/>
        <v>11.75</v>
      </c>
      <c r="V46" t="str">
        <f t="shared" si="1"/>
        <v>gudabenådad (mkt hög)</v>
      </c>
    </row>
    <row r="47" spans="1:22">
      <c r="S47" t="s">
        <v>72</v>
      </c>
      <c r="T47" t="s">
        <v>154</v>
      </c>
      <c r="U47">
        <f t="shared" si="0"/>
        <v>12</v>
      </c>
      <c r="V47" t="str">
        <f t="shared" si="1"/>
        <v>övernaturlig (mkt låg)</v>
      </c>
    </row>
    <row r="48" spans="1:22">
      <c r="S48" t="str">
        <f>S47</f>
        <v>övernaturlig</v>
      </c>
      <c r="T48" t="s">
        <v>98</v>
      </c>
      <c r="U48">
        <f t="shared" si="0"/>
        <v>12.25</v>
      </c>
      <c r="V48" t="str">
        <f t="shared" si="1"/>
        <v>övernaturlig (låg)</v>
      </c>
    </row>
    <row r="49" spans="19:22">
      <c r="S49" t="str">
        <f>S48</f>
        <v>övernaturlig</v>
      </c>
      <c r="T49" t="s">
        <v>95</v>
      </c>
      <c r="U49">
        <f t="shared" si="0"/>
        <v>12.5</v>
      </c>
      <c r="V49" t="str">
        <f t="shared" si="1"/>
        <v>övernaturlig (hög)</v>
      </c>
    </row>
    <row r="50" spans="19:22">
      <c r="S50" t="str">
        <f>S49</f>
        <v>övernaturlig</v>
      </c>
      <c r="T50" t="s">
        <v>155</v>
      </c>
      <c r="U50">
        <f t="shared" si="0"/>
        <v>12.75</v>
      </c>
      <c r="V50" t="str">
        <f t="shared" si="1"/>
        <v>övernaturlig (mkt hög)</v>
      </c>
    </row>
    <row r="51" spans="19:22">
      <c r="S51" t="s">
        <v>73</v>
      </c>
      <c r="T51" t="s">
        <v>154</v>
      </c>
      <c r="U51">
        <f t="shared" si="0"/>
        <v>13</v>
      </c>
      <c r="V51" t="str">
        <f t="shared" si="1"/>
        <v>oförglömlig (mkt låg)</v>
      </c>
    </row>
    <row r="52" spans="19:22">
      <c r="S52" t="str">
        <f>S51</f>
        <v>oförglömlig</v>
      </c>
      <c r="T52" t="s">
        <v>98</v>
      </c>
      <c r="U52">
        <f t="shared" si="0"/>
        <v>13.25</v>
      </c>
      <c r="V52" t="str">
        <f t="shared" si="1"/>
        <v>oförglömlig (låg)</v>
      </c>
    </row>
    <row r="53" spans="19:22">
      <c r="S53" t="str">
        <f>S52</f>
        <v>oförglömlig</v>
      </c>
      <c r="T53" t="s">
        <v>95</v>
      </c>
      <c r="U53">
        <f t="shared" si="0"/>
        <v>13.5</v>
      </c>
      <c r="V53" t="str">
        <f t="shared" si="1"/>
        <v>oförglömlig (hög)</v>
      </c>
    </row>
    <row r="54" spans="19:22">
      <c r="S54" t="str">
        <f>S53</f>
        <v>oförglömlig</v>
      </c>
      <c r="T54" t="s">
        <v>155</v>
      </c>
      <c r="U54">
        <f t="shared" si="0"/>
        <v>13.75</v>
      </c>
      <c r="V54" t="str">
        <f t="shared" si="1"/>
        <v>oförglömlig (mkt hög)</v>
      </c>
    </row>
    <row r="55" spans="19:22">
      <c r="S55" t="s">
        <v>74</v>
      </c>
      <c r="T55" t="s">
        <v>154</v>
      </c>
      <c r="U55">
        <f t="shared" si="0"/>
        <v>14</v>
      </c>
      <c r="V55" t="str">
        <f t="shared" si="1"/>
        <v>himmelsk (mkt låg)</v>
      </c>
    </row>
    <row r="56" spans="19:22">
      <c r="S56" t="str">
        <f>S55</f>
        <v>himmelsk</v>
      </c>
      <c r="T56" t="s">
        <v>98</v>
      </c>
      <c r="U56">
        <f t="shared" si="0"/>
        <v>14.25</v>
      </c>
      <c r="V56" t="str">
        <f t="shared" si="1"/>
        <v>himmelsk (låg)</v>
      </c>
    </row>
    <row r="57" spans="19:22">
      <c r="S57" t="str">
        <f>S56</f>
        <v>himmelsk</v>
      </c>
      <c r="T57" t="s">
        <v>95</v>
      </c>
      <c r="U57">
        <f t="shared" si="0"/>
        <v>14.5</v>
      </c>
      <c r="V57" t="str">
        <f t="shared" si="1"/>
        <v>himmelsk (hög)</v>
      </c>
    </row>
    <row r="58" spans="19:22">
      <c r="S58" t="str">
        <f>S57</f>
        <v>himmelsk</v>
      </c>
      <c r="T58" t="s">
        <v>155</v>
      </c>
      <c r="U58">
        <f t="shared" si="0"/>
        <v>14.75</v>
      </c>
      <c r="V58" t="str">
        <f t="shared" si="1"/>
        <v>himmelsk (mkt hög)</v>
      </c>
    </row>
    <row r="59" spans="19:22">
      <c r="S59" t="s">
        <v>75</v>
      </c>
      <c r="T59" t="s">
        <v>154</v>
      </c>
      <c r="U59">
        <f t="shared" si="0"/>
        <v>15</v>
      </c>
      <c r="V59" t="str">
        <f t="shared" si="1"/>
        <v>titanisk (mkt låg)</v>
      </c>
    </row>
    <row r="60" spans="19:22">
      <c r="S60" t="str">
        <f>S59</f>
        <v>titanisk</v>
      </c>
      <c r="T60" t="s">
        <v>98</v>
      </c>
      <c r="U60">
        <f t="shared" si="0"/>
        <v>15.25</v>
      </c>
      <c r="V60" t="str">
        <f t="shared" si="1"/>
        <v>titanisk (låg)</v>
      </c>
    </row>
    <row r="61" spans="19:22">
      <c r="S61" t="str">
        <f>S60</f>
        <v>titanisk</v>
      </c>
      <c r="T61" t="s">
        <v>95</v>
      </c>
      <c r="U61">
        <f t="shared" si="0"/>
        <v>15.5</v>
      </c>
      <c r="V61" t="str">
        <f t="shared" si="1"/>
        <v>titanisk (hög)</v>
      </c>
    </row>
    <row r="62" spans="19:22">
      <c r="S62" t="str">
        <f>S61</f>
        <v>titanisk</v>
      </c>
      <c r="T62" t="s">
        <v>155</v>
      </c>
      <c r="U62">
        <f t="shared" si="0"/>
        <v>15.75</v>
      </c>
      <c r="V62" t="str">
        <f t="shared" si="1"/>
        <v>titanisk (mkt hög)</v>
      </c>
    </row>
    <row r="63" spans="19:22">
      <c r="S63" t="s">
        <v>76</v>
      </c>
      <c r="T63" t="s">
        <v>154</v>
      </c>
      <c r="U63">
        <f t="shared" si="0"/>
        <v>16</v>
      </c>
      <c r="V63" t="str">
        <f t="shared" si="1"/>
        <v>utomjordisk (mkt låg)</v>
      </c>
    </row>
    <row r="64" spans="19:22">
      <c r="S64" t="str">
        <f>S63</f>
        <v>utomjordisk</v>
      </c>
      <c r="T64" t="s">
        <v>98</v>
      </c>
      <c r="U64">
        <f t="shared" si="0"/>
        <v>16.25</v>
      </c>
      <c r="V64" t="str">
        <f t="shared" si="1"/>
        <v>utomjordisk (låg)</v>
      </c>
    </row>
    <row r="65" spans="19:22">
      <c r="S65" t="str">
        <f>S64</f>
        <v>utomjordisk</v>
      </c>
      <c r="T65" t="s">
        <v>95</v>
      </c>
      <c r="U65">
        <f t="shared" si="0"/>
        <v>16.5</v>
      </c>
      <c r="V65" t="str">
        <f t="shared" si="1"/>
        <v>utomjordisk (hög)</v>
      </c>
    </row>
    <row r="66" spans="19:22">
      <c r="S66" t="str">
        <f>S65</f>
        <v>utomjordisk</v>
      </c>
      <c r="T66" t="s">
        <v>155</v>
      </c>
      <c r="U66">
        <f t="shared" si="0"/>
        <v>16.75</v>
      </c>
      <c r="V66" t="str">
        <f t="shared" si="1"/>
        <v>utomjordisk (mkt hög)</v>
      </c>
    </row>
    <row r="67" spans="19:22">
      <c r="S67" t="s">
        <v>77</v>
      </c>
      <c r="T67" t="s">
        <v>154</v>
      </c>
      <c r="U67">
        <f t="shared" si="0"/>
        <v>17</v>
      </c>
      <c r="V67" t="str">
        <f t="shared" si="1"/>
        <v>mytomspunnen (mkt låg)</v>
      </c>
    </row>
    <row r="68" spans="19:22">
      <c r="S68" t="str">
        <f>S67</f>
        <v>mytomspunnen</v>
      </c>
      <c r="T68" t="s">
        <v>98</v>
      </c>
      <c r="U68">
        <f t="shared" ref="U68:U122" si="3">U67+0.25</f>
        <v>17.25</v>
      </c>
      <c r="V68" t="str">
        <f t="shared" ref="V68:V122" si="4">CONCATENATE(S68," (",T68,")")</f>
        <v>mytomspunnen (låg)</v>
      </c>
    </row>
    <row r="69" spans="19:22">
      <c r="S69" t="str">
        <f>S68</f>
        <v>mytomspunnen</v>
      </c>
      <c r="T69" t="s">
        <v>95</v>
      </c>
      <c r="U69">
        <f t="shared" si="3"/>
        <v>17.5</v>
      </c>
      <c r="V69" t="str">
        <f t="shared" si="4"/>
        <v>mytomspunnen (hög)</v>
      </c>
    </row>
    <row r="70" spans="19:22">
      <c r="S70" t="str">
        <f>S69</f>
        <v>mytomspunnen</v>
      </c>
      <c r="T70" t="s">
        <v>155</v>
      </c>
      <c r="U70">
        <f t="shared" si="3"/>
        <v>17.75</v>
      </c>
      <c r="V70" t="str">
        <f t="shared" si="4"/>
        <v>mytomspunnen (mkt hög)</v>
      </c>
    </row>
    <row r="71" spans="19:22">
      <c r="S71" t="s">
        <v>78</v>
      </c>
      <c r="T71" t="s">
        <v>154</v>
      </c>
      <c r="U71">
        <f t="shared" si="3"/>
        <v>18</v>
      </c>
      <c r="V71" t="str">
        <f t="shared" si="4"/>
        <v>magisk (mkt låg)</v>
      </c>
    </row>
    <row r="72" spans="19:22">
      <c r="S72" t="str">
        <f>S71</f>
        <v>magisk</v>
      </c>
      <c r="T72" t="s">
        <v>98</v>
      </c>
      <c r="U72">
        <f t="shared" si="3"/>
        <v>18.25</v>
      </c>
      <c r="V72" t="str">
        <f t="shared" si="4"/>
        <v>magisk (låg)</v>
      </c>
    </row>
    <row r="73" spans="19:22">
      <c r="S73" t="str">
        <f>S72</f>
        <v>magisk</v>
      </c>
      <c r="T73" t="s">
        <v>95</v>
      </c>
      <c r="U73">
        <f t="shared" si="3"/>
        <v>18.5</v>
      </c>
      <c r="V73" t="str">
        <f t="shared" si="4"/>
        <v>magisk (hög)</v>
      </c>
    </row>
    <row r="74" spans="19:22">
      <c r="S74" t="str">
        <f>S73</f>
        <v>magisk</v>
      </c>
      <c r="T74" t="s">
        <v>155</v>
      </c>
      <c r="U74">
        <f t="shared" si="3"/>
        <v>18.75</v>
      </c>
      <c r="V74" t="str">
        <f t="shared" si="4"/>
        <v>magisk (mkt hög)</v>
      </c>
    </row>
    <row r="75" spans="19:22">
      <c r="S75" t="s">
        <v>79</v>
      </c>
      <c r="T75" t="s">
        <v>154</v>
      </c>
      <c r="U75">
        <f t="shared" si="3"/>
        <v>19</v>
      </c>
      <c r="V75" t="str">
        <f t="shared" si="4"/>
        <v>utopisk (mkt låg)</v>
      </c>
    </row>
    <row r="76" spans="19:22">
      <c r="S76" t="str">
        <f>S75</f>
        <v>utopisk</v>
      </c>
      <c r="T76" t="s">
        <v>98</v>
      </c>
      <c r="U76">
        <f t="shared" si="3"/>
        <v>19.25</v>
      </c>
      <c r="V76" t="str">
        <f t="shared" si="4"/>
        <v>utopisk (låg)</v>
      </c>
    </row>
    <row r="77" spans="19:22">
      <c r="S77" t="str">
        <f>S76</f>
        <v>utopisk</v>
      </c>
      <c r="T77" t="s">
        <v>95</v>
      </c>
      <c r="U77">
        <f t="shared" si="3"/>
        <v>19.5</v>
      </c>
      <c r="V77" t="str">
        <f t="shared" si="4"/>
        <v>utopisk (hög)</v>
      </c>
    </row>
    <row r="78" spans="19:22">
      <c r="S78" t="str">
        <f>S77</f>
        <v>utopisk</v>
      </c>
      <c r="T78" t="s">
        <v>155</v>
      </c>
      <c r="U78">
        <f t="shared" si="3"/>
        <v>19.75</v>
      </c>
      <c r="V78" t="str">
        <f t="shared" si="4"/>
        <v>utopisk (mkt hög)</v>
      </c>
    </row>
    <row r="79" spans="19:22">
      <c r="S79" t="s">
        <v>80</v>
      </c>
      <c r="T79" t="s">
        <v>154</v>
      </c>
      <c r="U79">
        <f t="shared" si="3"/>
        <v>20</v>
      </c>
      <c r="V79" t="str">
        <f t="shared" si="4"/>
        <v>gudomlig (mkt låg)</v>
      </c>
    </row>
    <row r="80" spans="19:22">
      <c r="S80" t="str">
        <f>S79</f>
        <v>gudomlig</v>
      </c>
      <c r="T80" t="s">
        <v>98</v>
      </c>
      <c r="U80">
        <f t="shared" si="3"/>
        <v>20.25</v>
      </c>
      <c r="V80" t="str">
        <f t="shared" si="4"/>
        <v>gudomlig (låg)</v>
      </c>
    </row>
    <row r="81" spans="19:22">
      <c r="S81" t="str">
        <f>S80</f>
        <v>gudomlig</v>
      </c>
      <c r="T81" t="s">
        <v>95</v>
      </c>
      <c r="U81">
        <f t="shared" si="3"/>
        <v>20.5</v>
      </c>
      <c r="V81" t="str">
        <f t="shared" si="4"/>
        <v>gudomlig (hög)</v>
      </c>
    </row>
    <row r="82" spans="19:22">
      <c r="S82" t="str">
        <f>S81</f>
        <v>gudomlig</v>
      </c>
      <c r="T82" t="s">
        <v>155</v>
      </c>
      <c r="U82">
        <f t="shared" si="3"/>
        <v>20.75</v>
      </c>
      <c r="V82" t="str">
        <f t="shared" si="4"/>
        <v>gudomlig (mkt hög)</v>
      </c>
    </row>
    <row r="83" spans="19:22">
      <c r="S83" t="s">
        <v>156</v>
      </c>
      <c r="T83" t="s">
        <v>154</v>
      </c>
      <c r="U83">
        <f t="shared" si="3"/>
        <v>21</v>
      </c>
      <c r="V83" t="str">
        <f t="shared" si="4"/>
        <v>gudomlig+1 (mkt låg)</v>
      </c>
    </row>
    <row r="84" spans="19:22">
      <c r="S84" t="str">
        <f>S83</f>
        <v>gudomlig+1</v>
      </c>
      <c r="T84" t="s">
        <v>98</v>
      </c>
      <c r="U84">
        <f t="shared" si="3"/>
        <v>21.25</v>
      </c>
      <c r="V84" t="str">
        <f t="shared" si="4"/>
        <v>gudomlig+1 (låg)</v>
      </c>
    </row>
    <row r="85" spans="19:22">
      <c r="S85" t="str">
        <f>S84</f>
        <v>gudomlig+1</v>
      </c>
      <c r="T85" t="s">
        <v>95</v>
      </c>
      <c r="U85">
        <f t="shared" si="3"/>
        <v>21.5</v>
      </c>
      <c r="V85" t="str">
        <f t="shared" si="4"/>
        <v>gudomlig+1 (hög)</v>
      </c>
    </row>
    <row r="86" spans="19:22">
      <c r="S86" t="str">
        <f>S85</f>
        <v>gudomlig+1</v>
      </c>
      <c r="T86" t="s">
        <v>155</v>
      </c>
      <c r="U86">
        <f t="shared" si="3"/>
        <v>21.75</v>
      </c>
      <c r="V86" t="str">
        <f t="shared" si="4"/>
        <v>gudomlig+1 (mkt hög)</v>
      </c>
    </row>
    <row r="87" spans="19:22">
      <c r="S87" t="s">
        <v>157</v>
      </c>
      <c r="T87" t="s">
        <v>154</v>
      </c>
      <c r="U87">
        <f t="shared" si="3"/>
        <v>22</v>
      </c>
      <c r="V87" t="str">
        <f t="shared" si="4"/>
        <v>gudomlig+2 (mkt låg)</v>
      </c>
    </row>
    <row r="88" spans="19:22">
      <c r="S88" t="str">
        <f>S87</f>
        <v>gudomlig+2</v>
      </c>
      <c r="T88" t="s">
        <v>98</v>
      </c>
      <c r="U88">
        <f t="shared" si="3"/>
        <v>22.25</v>
      </c>
      <c r="V88" t="str">
        <f t="shared" si="4"/>
        <v>gudomlig+2 (låg)</v>
      </c>
    </row>
    <row r="89" spans="19:22">
      <c r="S89" t="str">
        <f>S88</f>
        <v>gudomlig+2</v>
      </c>
      <c r="T89" t="s">
        <v>95</v>
      </c>
      <c r="U89">
        <f t="shared" si="3"/>
        <v>22.5</v>
      </c>
      <c r="V89" t="str">
        <f t="shared" si="4"/>
        <v>gudomlig+2 (hög)</v>
      </c>
    </row>
    <row r="90" spans="19:22">
      <c r="S90" t="str">
        <f>S89</f>
        <v>gudomlig+2</v>
      </c>
      <c r="T90" t="s">
        <v>155</v>
      </c>
      <c r="U90">
        <f t="shared" si="3"/>
        <v>22.75</v>
      </c>
      <c r="V90" t="str">
        <f t="shared" si="4"/>
        <v>gudomlig+2 (mkt hög)</v>
      </c>
    </row>
    <row r="91" spans="19:22">
      <c r="S91" t="s">
        <v>158</v>
      </c>
      <c r="T91" t="s">
        <v>154</v>
      </c>
      <c r="U91">
        <f t="shared" si="3"/>
        <v>23</v>
      </c>
      <c r="V91" t="str">
        <f t="shared" si="4"/>
        <v>gudomlig+3 (mkt låg)</v>
      </c>
    </row>
    <row r="92" spans="19:22">
      <c r="S92" t="str">
        <f>S91</f>
        <v>gudomlig+3</v>
      </c>
      <c r="T92" t="s">
        <v>98</v>
      </c>
      <c r="U92">
        <f t="shared" si="3"/>
        <v>23.25</v>
      </c>
      <c r="V92" t="str">
        <f t="shared" si="4"/>
        <v>gudomlig+3 (låg)</v>
      </c>
    </row>
    <row r="93" spans="19:22">
      <c r="S93" t="str">
        <f>S92</f>
        <v>gudomlig+3</v>
      </c>
      <c r="T93" t="s">
        <v>95</v>
      </c>
      <c r="U93">
        <f t="shared" si="3"/>
        <v>23.5</v>
      </c>
      <c r="V93" t="str">
        <f t="shared" si="4"/>
        <v>gudomlig+3 (hög)</v>
      </c>
    </row>
    <row r="94" spans="19:22">
      <c r="S94" t="str">
        <f>S93</f>
        <v>gudomlig+3</v>
      </c>
      <c r="T94" t="s">
        <v>155</v>
      </c>
      <c r="U94">
        <f t="shared" si="3"/>
        <v>23.75</v>
      </c>
      <c r="V94" t="str">
        <f t="shared" si="4"/>
        <v>gudomlig+3 (mkt hög)</v>
      </c>
    </row>
    <row r="95" spans="19:22">
      <c r="S95" t="s">
        <v>159</v>
      </c>
      <c r="T95" t="s">
        <v>154</v>
      </c>
      <c r="U95">
        <f t="shared" si="3"/>
        <v>24</v>
      </c>
      <c r="V95" t="str">
        <f t="shared" si="4"/>
        <v>gudomlig+4 (mkt låg)</v>
      </c>
    </row>
    <row r="96" spans="19:22">
      <c r="S96" t="str">
        <f>S95</f>
        <v>gudomlig+4</v>
      </c>
      <c r="T96" t="s">
        <v>98</v>
      </c>
      <c r="U96">
        <f t="shared" si="3"/>
        <v>24.25</v>
      </c>
      <c r="V96" t="str">
        <f t="shared" si="4"/>
        <v>gudomlig+4 (låg)</v>
      </c>
    </row>
    <row r="97" spans="19:22">
      <c r="S97" t="str">
        <f>S96</f>
        <v>gudomlig+4</v>
      </c>
      <c r="T97" t="s">
        <v>95</v>
      </c>
      <c r="U97">
        <f t="shared" si="3"/>
        <v>24.5</v>
      </c>
      <c r="V97" t="str">
        <f t="shared" si="4"/>
        <v>gudomlig+4 (hög)</v>
      </c>
    </row>
    <row r="98" spans="19:22">
      <c r="S98" t="str">
        <f>S97</f>
        <v>gudomlig+4</v>
      </c>
      <c r="T98" t="s">
        <v>155</v>
      </c>
      <c r="U98">
        <f t="shared" si="3"/>
        <v>24.75</v>
      </c>
      <c r="V98" t="str">
        <f t="shared" si="4"/>
        <v>gudomlig+4 (mkt hög)</v>
      </c>
    </row>
    <row r="99" spans="19:22">
      <c r="S99" t="s">
        <v>160</v>
      </c>
      <c r="T99" t="s">
        <v>154</v>
      </c>
      <c r="U99">
        <f t="shared" si="3"/>
        <v>25</v>
      </c>
      <c r="V99" t="str">
        <f t="shared" si="4"/>
        <v>gudomlig+5 (mkt låg)</v>
      </c>
    </row>
    <row r="100" spans="19:22">
      <c r="S100" t="str">
        <f>S99</f>
        <v>gudomlig+5</v>
      </c>
      <c r="T100" t="s">
        <v>98</v>
      </c>
      <c r="U100">
        <f t="shared" si="3"/>
        <v>25.25</v>
      </c>
      <c r="V100" t="str">
        <f t="shared" si="4"/>
        <v>gudomlig+5 (låg)</v>
      </c>
    </row>
    <row r="101" spans="19:22">
      <c r="S101" t="str">
        <f>S100</f>
        <v>gudomlig+5</v>
      </c>
      <c r="T101" t="s">
        <v>95</v>
      </c>
      <c r="U101">
        <f t="shared" si="3"/>
        <v>25.5</v>
      </c>
      <c r="V101" t="str">
        <f t="shared" si="4"/>
        <v>gudomlig+5 (hög)</v>
      </c>
    </row>
    <row r="102" spans="19:22">
      <c r="S102" t="str">
        <f>S101</f>
        <v>gudomlig+5</v>
      </c>
      <c r="T102" t="s">
        <v>155</v>
      </c>
      <c r="U102">
        <f t="shared" si="3"/>
        <v>25.75</v>
      </c>
      <c r="V102" t="str">
        <f t="shared" si="4"/>
        <v>gudomlig+5 (mkt hög)</v>
      </c>
    </row>
    <row r="103" spans="19:22">
      <c r="S103" t="s">
        <v>161</v>
      </c>
      <c r="T103" t="s">
        <v>154</v>
      </c>
      <c r="U103">
        <f t="shared" si="3"/>
        <v>26</v>
      </c>
      <c r="V103" t="str">
        <f t="shared" si="4"/>
        <v>gudomlig+6 (mkt låg)</v>
      </c>
    </row>
    <row r="104" spans="19:22">
      <c r="S104" t="str">
        <f>S103</f>
        <v>gudomlig+6</v>
      </c>
      <c r="T104" t="s">
        <v>98</v>
      </c>
      <c r="U104">
        <f t="shared" si="3"/>
        <v>26.25</v>
      </c>
      <c r="V104" t="str">
        <f t="shared" si="4"/>
        <v>gudomlig+6 (låg)</v>
      </c>
    </row>
    <row r="105" spans="19:22">
      <c r="S105" t="str">
        <f>S104</f>
        <v>gudomlig+6</v>
      </c>
      <c r="T105" t="s">
        <v>95</v>
      </c>
      <c r="U105">
        <f t="shared" si="3"/>
        <v>26.5</v>
      </c>
      <c r="V105" t="str">
        <f t="shared" si="4"/>
        <v>gudomlig+6 (hög)</v>
      </c>
    </row>
    <row r="106" spans="19:22">
      <c r="S106" t="str">
        <f>S105</f>
        <v>gudomlig+6</v>
      </c>
      <c r="T106" t="s">
        <v>155</v>
      </c>
      <c r="U106">
        <f t="shared" si="3"/>
        <v>26.75</v>
      </c>
      <c r="V106" t="str">
        <f t="shared" si="4"/>
        <v>gudomlig+6 (mkt hög)</v>
      </c>
    </row>
    <row r="107" spans="19:22">
      <c r="S107" t="s">
        <v>162</v>
      </c>
      <c r="T107" t="s">
        <v>154</v>
      </c>
      <c r="U107">
        <f t="shared" si="3"/>
        <v>27</v>
      </c>
      <c r="V107" t="str">
        <f t="shared" si="4"/>
        <v>gudomlig+7 (mkt låg)</v>
      </c>
    </row>
    <row r="108" spans="19:22">
      <c r="S108" t="str">
        <f>S107</f>
        <v>gudomlig+7</v>
      </c>
      <c r="T108" t="s">
        <v>98</v>
      </c>
      <c r="U108">
        <f t="shared" si="3"/>
        <v>27.25</v>
      </c>
      <c r="V108" t="str">
        <f t="shared" si="4"/>
        <v>gudomlig+7 (låg)</v>
      </c>
    </row>
    <row r="109" spans="19:22">
      <c r="S109" t="str">
        <f>S108</f>
        <v>gudomlig+7</v>
      </c>
      <c r="T109" t="s">
        <v>95</v>
      </c>
      <c r="U109">
        <f t="shared" si="3"/>
        <v>27.5</v>
      </c>
      <c r="V109" t="str">
        <f t="shared" si="4"/>
        <v>gudomlig+7 (hög)</v>
      </c>
    </row>
    <row r="110" spans="19:22">
      <c r="S110" t="str">
        <f>S109</f>
        <v>gudomlig+7</v>
      </c>
      <c r="T110" t="s">
        <v>155</v>
      </c>
      <c r="U110">
        <f t="shared" si="3"/>
        <v>27.75</v>
      </c>
      <c r="V110" t="str">
        <f t="shared" si="4"/>
        <v>gudomlig+7 (mkt hög)</v>
      </c>
    </row>
    <row r="111" spans="19:22">
      <c r="S111" t="s">
        <v>163</v>
      </c>
      <c r="T111" t="s">
        <v>154</v>
      </c>
      <c r="U111">
        <f t="shared" si="3"/>
        <v>28</v>
      </c>
      <c r="V111" t="str">
        <f t="shared" si="4"/>
        <v>gudomlig+8 (mkt låg)</v>
      </c>
    </row>
    <row r="112" spans="19:22">
      <c r="S112" t="str">
        <f>S111</f>
        <v>gudomlig+8</v>
      </c>
      <c r="T112" t="s">
        <v>98</v>
      </c>
      <c r="U112">
        <f t="shared" si="3"/>
        <v>28.25</v>
      </c>
      <c r="V112" t="str">
        <f t="shared" si="4"/>
        <v>gudomlig+8 (låg)</v>
      </c>
    </row>
    <row r="113" spans="19:22">
      <c r="S113" t="str">
        <f>S112</f>
        <v>gudomlig+8</v>
      </c>
      <c r="T113" t="s">
        <v>95</v>
      </c>
      <c r="U113">
        <f t="shared" si="3"/>
        <v>28.5</v>
      </c>
      <c r="V113" t="str">
        <f t="shared" si="4"/>
        <v>gudomlig+8 (hög)</v>
      </c>
    </row>
    <row r="114" spans="19:22">
      <c r="S114" t="str">
        <f>S113</f>
        <v>gudomlig+8</v>
      </c>
      <c r="T114" t="s">
        <v>155</v>
      </c>
      <c r="U114">
        <f t="shared" si="3"/>
        <v>28.75</v>
      </c>
      <c r="V114" t="str">
        <f t="shared" si="4"/>
        <v>gudomlig+8 (mkt hög)</v>
      </c>
    </row>
    <row r="115" spans="19:22">
      <c r="S115" t="s">
        <v>164</v>
      </c>
      <c r="T115" t="s">
        <v>154</v>
      </c>
      <c r="U115">
        <f t="shared" si="3"/>
        <v>29</v>
      </c>
      <c r="V115" t="str">
        <f t="shared" si="4"/>
        <v>gudomlig+9 (mkt låg)</v>
      </c>
    </row>
    <row r="116" spans="19:22">
      <c r="S116" t="str">
        <f>S115</f>
        <v>gudomlig+9</v>
      </c>
      <c r="T116" t="s">
        <v>98</v>
      </c>
      <c r="U116">
        <f t="shared" si="3"/>
        <v>29.25</v>
      </c>
      <c r="V116" t="str">
        <f t="shared" si="4"/>
        <v>gudomlig+9 (låg)</v>
      </c>
    </row>
    <row r="117" spans="19:22">
      <c r="S117" t="str">
        <f>S116</f>
        <v>gudomlig+9</v>
      </c>
      <c r="T117" t="s">
        <v>95</v>
      </c>
      <c r="U117">
        <f t="shared" si="3"/>
        <v>29.5</v>
      </c>
      <c r="V117" t="str">
        <f t="shared" si="4"/>
        <v>gudomlig+9 (hög)</v>
      </c>
    </row>
    <row r="118" spans="19:22">
      <c r="S118" t="str">
        <f>S117</f>
        <v>gudomlig+9</v>
      </c>
      <c r="T118" t="s">
        <v>155</v>
      </c>
      <c r="U118">
        <f t="shared" si="3"/>
        <v>29.75</v>
      </c>
      <c r="V118" t="str">
        <f t="shared" si="4"/>
        <v>gudomlig+9 (mkt hög)</v>
      </c>
    </row>
    <row r="119" spans="19:22">
      <c r="S119" t="s">
        <v>165</v>
      </c>
      <c r="T119" t="s">
        <v>154</v>
      </c>
      <c r="U119">
        <f t="shared" si="3"/>
        <v>30</v>
      </c>
      <c r="V119" t="str">
        <f t="shared" si="4"/>
        <v>gudomlig+10 (mkt låg)</v>
      </c>
    </row>
    <row r="120" spans="19:22">
      <c r="S120" t="str">
        <f>S119</f>
        <v>gudomlig+10</v>
      </c>
      <c r="T120" t="s">
        <v>98</v>
      </c>
      <c r="U120">
        <f t="shared" si="3"/>
        <v>30.25</v>
      </c>
      <c r="V120" t="str">
        <f t="shared" si="4"/>
        <v>gudomlig+10 (låg)</v>
      </c>
    </row>
    <row r="121" spans="19:22">
      <c r="S121" t="str">
        <f>S120</f>
        <v>gudomlig+10</v>
      </c>
      <c r="T121" t="s">
        <v>95</v>
      </c>
      <c r="U121">
        <f t="shared" si="3"/>
        <v>30.5</v>
      </c>
      <c r="V121" t="str">
        <f t="shared" si="4"/>
        <v>gudomlig+10 (hög)</v>
      </c>
    </row>
    <row r="122" spans="19:22">
      <c r="S122" t="str">
        <f>S121</f>
        <v>gudomlig+10</v>
      </c>
      <c r="T122" t="s">
        <v>155</v>
      </c>
      <c r="U122">
        <f t="shared" si="3"/>
        <v>30.75</v>
      </c>
      <c r="V122" t="str">
        <f t="shared" si="4"/>
        <v>gudomlig+10 (mkt hög)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56"/>
  <sheetViews>
    <sheetView zoomScale="85" workbookViewId="0">
      <selection activeCell="B16" sqref="B16"/>
    </sheetView>
  </sheetViews>
  <sheetFormatPr defaultColWidth="9.109375" defaultRowHeight="13.2"/>
  <cols>
    <col min="1" max="1" width="56.6640625" style="70" customWidth="1"/>
    <col min="2" max="2" width="13.5546875" style="65" customWidth="1"/>
    <col min="3" max="3" width="14.33203125" style="65" customWidth="1"/>
    <col min="4" max="4" width="14.5546875" style="65" customWidth="1"/>
    <col min="5" max="5" width="9.5546875" style="66" customWidth="1"/>
    <col min="6" max="6" width="4.109375" style="65" customWidth="1"/>
    <col min="7" max="7" width="4.44140625" style="65" customWidth="1"/>
    <col min="8" max="8" width="24.44140625" style="65" customWidth="1"/>
    <col min="9" max="9" width="19.109375" style="65" customWidth="1"/>
    <col min="10" max="10" width="15.88671875" style="65" customWidth="1"/>
    <col min="11" max="11" width="17.109375" style="65" customWidth="1"/>
    <col min="12" max="12" width="9.44140625" style="65" customWidth="1"/>
    <col min="13" max="16384" width="9.109375" style="65"/>
  </cols>
  <sheetData>
    <row r="1" spans="1:12">
      <c r="A1" s="82" t="s">
        <v>245</v>
      </c>
      <c r="B1"/>
      <c r="C1"/>
      <c r="D1"/>
      <c r="H1" s="82" t="s">
        <v>245</v>
      </c>
      <c r="I1"/>
      <c r="J1"/>
      <c r="K1"/>
      <c r="L1" s="66"/>
    </row>
    <row r="2" spans="1:12">
      <c r="A2" s="84" t="s">
        <v>246</v>
      </c>
      <c r="B2"/>
      <c r="C2"/>
      <c r="D2"/>
      <c r="H2" s="84" t="s">
        <v>246</v>
      </c>
      <c r="I2"/>
      <c r="J2"/>
      <c r="K2"/>
      <c r="L2" s="66"/>
    </row>
    <row r="3" spans="1:12">
      <c r="A3" s="84" t="s">
        <v>244</v>
      </c>
      <c r="B3"/>
      <c r="C3"/>
      <c r="D3"/>
      <c r="H3" s="84" t="s">
        <v>244</v>
      </c>
      <c r="I3"/>
      <c r="J3"/>
      <c r="K3"/>
      <c r="L3" s="66"/>
    </row>
    <row r="4" spans="1:12">
      <c r="A4" s="84" t="s">
        <v>247</v>
      </c>
      <c r="B4"/>
      <c r="C4"/>
      <c r="D4"/>
      <c r="H4" s="84" t="s">
        <v>247</v>
      </c>
      <c r="I4"/>
      <c r="J4"/>
      <c r="K4"/>
      <c r="L4" s="66"/>
    </row>
    <row r="5" spans="1:12">
      <c r="A5" s="82" t="s">
        <v>248</v>
      </c>
      <c r="B5"/>
      <c r="C5"/>
      <c r="D5"/>
      <c r="H5" s="82" t="s">
        <v>248</v>
      </c>
      <c r="I5"/>
      <c r="J5"/>
      <c r="K5"/>
      <c r="L5" s="66"/>
    </row>
    <row r="6" spans="1:12">
      <c r="A6" s="84"/>
      <c r="B6"/>
      <c r="C6"/>
      <c r="D6"/>
      <c r="H6" s="84"/>
      <c r="I6"/>
      <c r="J6"/>
      <c r="K6"/>
      <c r="L6" s="66"/>
    </row>
    <row r="7" spans="1:12">
      <c r="A7" s="85" t="s">
        <v>181</v>
      </c>
      <c r="B7" s="86" t="s">
        <v>70</v>
      </c>
      <c r="C7" s="85" t="s">
        <v>182</v>
      </c>
      <c r="D7" s="86" t="s">
        <v>63</v>
      </c>
      <c r="H7" s="85" t="s">
        <v>181</v>
      </c>
      <c r="I7" s="86" t="s">
        <v>70</v>
      </c>
      <c r="J7" s="85" t="s">
        <v>182</v>
      </c>
      <c r="K7" s="86" t="s">
        <v>63</v>
      </c>
      <c r="L7" s="66"/>
    </row>
    <row r="8" spans="1:12">
      <c r="A8" s="85" t="s">
        <v>183</v>
      </c>
      <c r="B8" s="86" t="s">
        <v>79</v>
      </c>
      <c r="C8" s="85" t="s">
        <v>184</v>
      </c>
      <c r="D8" s="86" t="s">
        <v>61</v>
      </c>
      <c r="H8" s="85" t="s">
        <v>183</v>
      </c>
      <c r="I8" s="86" t="s">
        <v>79</v>
      </c>
      <c r="J8" s="85" t="s">
        <v>184</v>
      </c>
      <c r="K8" s="86" t="s">
        <v>61</v>
      </c>
      <c r="L8" s="66"/>
    </row>
    <row r="9" spans="1:12">
      <c r="A9" s="85" t="s">
        <v>185</v>
      </c>
      <c r="B9" s="86" t="s">
        <v>67</v>
      </c>
      <c r="C9" s="85" t="s">
        <v>186</v>
      </c>
      <c r="D9" s="86" t="s">
        <v>61</v>
      </c>
      <c r="H9" s="85" t="s">
        <v>185</v>
      </c>
      <c r="I9" s="86" t="s">
        <v>67</v>
      </c>
      <c r="J9" s="85" t="s">
        <v>186</v>
      </c>
      <c r="K9" s="86" t="s">
        <v>61</v>
      </c>
      <c r="L9" s="66"/>
    </row>
    <row r="10" spans="1:12">
      <c r="A10" s="85" t="s">
        <v>187</v>
      </c>
      <c r="B10" s="86" t="s">
        <v>65</v>
      </c>
      <c r="C10" s="85" t="s">
        <v>188</v>
      </c>
      <c r="D10" s="86" t="s">
        <v>67</v>
      </c>
      <c r="H10" s="85" t="s">
        <v>187</v>
      </c>
      <c r="I10" s="86" t="s">
        <v>65</v>
      </c>
      <c r="J10" s="85" t="s">
        <v>188</v>
      </c>
      <c r="K10" s="86" t="s">
        <v>67</v>
      </c>
      <c r="L10" s="66"/>
    </row>
    <row r="11" spans="1:12" s="68" customFormat="1" ht="15.6">
      <c r="A11" s="83"/>
      <c r="B11" s="60"/>
      <c r="C11" s="83"/>
      <c r="D11" s="60"/>
      <c r="E11" s="67"/>
      <c r="H11" s="85"/>
      <c r="I11" s="86"/>
      <c r="J11" s="85"/>
      <c r="K11" s="86"/>
      <c r="L11" s="67"/>
    </row>
    <row r="12" spans="1:12">
      <c r="B12" s="70"/>
      <c r="D12" s="70"/>
    </row>
    <row r="13" spans="1:12">
      <c r="B13" s="76" t="str">
        <f>A1</f>
        <v xml:space="preserve">Hugo Svensson </v>
      </c>
      <c r="D13" s="70"/>
      <c r="H13" s="70"/>
      <c r="I13" s="76" t="str">
        <f>H1</f>
        <v xml:space="preserve">Hugo Svensson </v>
      </c>
      <c r="K13" s="70"/>
      <c r="L13" s="66"/>
    </row>
    <row r="14" spans="1:12">
      <c r="A14" s="72" t="s">
        <v>1</v>
      </c>
      <c r="B14" s="70" t="str">
        <f>MID(MID(MID(SUBSTITUTE(A3," ","^",1),1,256),FIND("^",SUBSTITUTE(A3," ","^",1)),256),2,FIND(" ",MID(MID(SUBSTITUTE(A3," ","^",1),1,256),FIND("^",SUBSTITUTE(A3," ","^",1)),256))-2)</f>
        <v>ypperlig</v>
      </c>
      <c r="C14" s="69" t="s">
        <v>96</v>
      </c>
      <c r="D14" s="70">
        <v>0.9</v>
      </c>
      <c r="E14" s="66">
        <f>SQRT((VLOOKUP(B14, Parser!$N$5:'Parser'!$O$24, 2, FALSE))+D14)/SQRT(7)</f>
        <v>0.99283144879394591</v>
      </c>
      <c r="H14" s="72" t="s">
        <v>1</v>
      </c>
      <c r="I14" s="70" t="str">
        <f>MID(MID(MID(SUBSTITUTE(H3," ","^",1),1,256),FIND("^",SUBSTITUTE(H3," ","^",1)),256),2,FIND(" ",MID(MID(SUBSTITUTE(H3," ","^",1),1,256),FIND("^",SUBSTITUTE(H3," ","^",1)),256))-2)</f>
        <v>ypperlig</v>
      </c>
      <c r="J14" s="69" t="s">
        <v>96</v>
      </c>
      <c r="K14" s="70">
        <v>0</v>
      </c>
      <c r="L14" s="66">
        <f>SQRT((VLOOKUP(I14, Parser!$N$5:'Parser'!$O$24, 2, FALSE))+K14)/SQRT(7)</f>
        <v>0.92582009977255131</v>
      </c>
    </row>
    <row r="15" spans="1:12">
      <c r="A15" s="72" t="s">
        <v>180</v>
      </c>
      <c r="B15" s="70" t="str">
        <f>MID(MID(MID(SUBSTITUTE(A4," ","^",1),1,256),FIND("^",SUBSTITUTE(A4," ","^",1)),256),2,FIND(" ",MID(MID(SUBSTITUTE(A4," ","^",1),1,256),FIND("^",SUBSTITUTE(A4," ","^",1)),256))-2)</f>
        <v>legendarisk</v>
      </c>
      <c r="C15" s="69" t="s">
        <v>210</v>
      </c>
      <c r="D15" s="70">
        <v>0.9</v>
      </c>
      <c r="E15" s="66">
        <f>1+SQRT((VLOOKUP(B15, Parser!$N$5:'Parser'!$O$24, 2, FALSE)+D15))*7/100</f>
        <v>1.2311060362690684</v>
      </c>
      <c r="H15" s="72" t="s">
        <v>180</v>
      </c>
      <c r="I15" s="70" t="str">
        <f>MID(MID(MID(SUBSTITUTE(H4," ","^",1),1,256),FIND("^",SUBSTITUTE(H4," ","^",1)),256),2,FIND(" ",MID(MID(SUBSTITUTE(H4," ","^",1),1,256),FIND("^",SUBSTITUTE(H4," ","^",1)),256))-2)</f>
        <v>legendarisk</v>
      </c>
      <c r="J15" s="69" t="s">
        <v>210</v>
      </c>
      <c r="K15" s="70">
        <v>0</v>
      </c>
      <c r="L15" s="66">
        <f>1+SQRT((VLOOKUP(I15, Parser!$N$5:'Parser'!$O$24, 2, FALSE)+K15))*7/100</f>
        <v>1.2213594362117866</v>
      </c>
    </row>
    <row r="16" spans="1:12">
      <c r="A16" s="72" t="s">
        <v>84</v>
      </c>
      <c r="B16" s="65" t="s">
        <v>64</v>
      </c>
      <c r="C16" s="69" t="s">
        <v>211</v>
      </c>
      <c r="D16" s="70">
        <v>0.5</v>
      </c>
      <c r="E16" s="66">
        <f>SQRT((VLOOKUP(B16, Parser!$N$5:'Parser'!$O$24, 2, FALSE))+D16)/SQRT(8.5)</f>
        <v>0.87447463219520616</v>
      </c>
      <c r="H16" s="72" t="s">
        <v>84</v>
      </c>
      <c r="I16" s="65" t="str">
        <f>MID(MID(MID(SUBSTITUTE(H3," ","^",4),1,256),FIND("^",SUBSTITUTE(H3," ","^",4)),256),2,FIND(" ",MID(MID(SUBSTITUTE(H3," ","^",4),1,256),FIND("^",SUBSTITUTE(H3," ","^",4)),256))-2)</f>
        <v>enastående</v>
      </c>
      <c r="J16" s="69" t="s">
        <v>211</v>
      </c>
      <c r="K16" s="70">
        <v>0</v>
      </c>
      <c r="L16" s="66">
        <f>SQRT((VLOOKUP(I16, Parser!$N$5:'Parser'!$O$24, 2, FALSE))+K16)/SQRT(7)</f>
        <v>1</v>
      </c>
    </row>
    <row r="17" spans="1:12">
      <c r="A17" s="73"/>
      <c r="B17" s="70"/>
      <c r="D17" s="70"/>
      <c r="H17" s="73"/>
      <c r="I17" s="70"/>
      <c r="K17" s="70"/>
      <c r="L17" s="66"/>
    </row>
    <row r="18" spans="1:12">
      <c r="A18" s="74" t="s">
        <v>212</v>
      </c>
      <c r="B18" s="70"/>
      <c r="D18" s="70"/>
      <c r="H18" s="74" t="s">
        <v>212</v>
      </c>
      <c r="I18" s="70"/>
      <c r="K18" s="70"/>
      <c r="L18" s="66"/>
    </row>
    <row r="19" spans="1:12">
      <c r="A19" s="72" t="s">
        <v>181</v>
      </c>
      <c r="B19" s="70" t="str">
        <f>B16</f>
        <v>ypperlig</v>
      </c>
      <c r="C19" s="69" t="s">
        <v>182</v>
      </c>
      <c r="D19" s="77">
        <f>VLOOKUP(TRIM(D7), Parser!$N$5:'Parser'!$O$24, 2, FALSE)*$E$14*$E$15*$E$16</f>
        <v>1.0688535439317144</v>
      </c>
      <c r="H19" s="72" t="s">
        <v>181</v>
      </c>
      <c r="I19" s="70" t="str">
        <f>I16</f>
        <v>enastående</v>
      </c>
      <c r="J19" s="69" t="s">
        <v>182</v>
      </c>
      <c r="K19" s="77">
        <f>VLOOKUP(TRIM(K7), Parser!$N$5:'Parser'!$O$24, 2, FALSE)*$L$14*$L$15*$L$16</f>
        <v>1.1307591150917433</v>
      </c>
      <c r="L19" s="66"/>
    </row>
    <row r="20" spans="1:12">
      <c r="A20" s="72" t="s">
        <v>183</v>
      </c>
      <c r="B20" s="77">
        <f>VLOOKUP(TRIM(B8), Parser!$N$5:'Parser'!$O$24, 2, FALSE)*$E$14*$E$15*$E$16</f>
        <v>20.308217334702572</v>
      </c>
      <c r="C20" s="69" t="s">
        <v>184</v>
      </c>
      <c r="D20" s="77">
        <f>VLOOKUP(TRIM(D8), Parser!$N$5:'Parser'!$O$24, 2, FALSE)*$E$14*$E$15*$E$16</f>
        <v>8.5508283514537151</v>
      </c>
      <c r="H20" s="72" t="s">
        <v>183</v>
      </c>
      <c r="I20" s="77">
        <f>VLOOKUP(TRIM(I8), Parser!$N$5:'Parser'!$O$24, 2, FALSE)*$L$14*$L$15*$L$16</f>
        <v>21.484423186743122</v>
      </c>
      <c r="J20" s="69" t="s">
        <v>184</v>
      </c>
      <c r="K20" s="77">
        <f>VLOOKUP(TRIM(K8), Parser!$N$5:'Parser'!$O$24, 2, FALSE)*$L$14*$L$15*$L$16</f>
        <v>9.0460729207339465</v>
      </c>
      <c r="L20" s="66"/>
    </row>
    <row r="21" spans="1:12">
      <c r="A21" s="72" t="s">
        <v>185</v>
      </c>
      <c r="B21" s="77">
        <f>VLOOKUP(TRIM(B9), Parser!$N$5:'Parser'!$O$24, 2, FALSE)*$E$14*$E$15*$E$16</f>
        <v>4.2754141757268576</v>
      </c>
      <c r="C21" s="69" t="s">
        <v>186</v>
      </c>
      <c r="D21" s="77">
        <f>VLOOKUP(TRIM(D9), Parser!$N$5:'Parser'!$O$24, 2, FALSE)*$E$14*$E$15*$E$16</f>
        <v>8.5508283514537151</v>
      </c>
      <c r="H21" s="72" t="s">
        <v>185</v>
      </c>
      <c r="I21" s="77">
        <f>VLOOKUP(TRIM(I9), Parser!$N$5:'Parser'!$O$24, 2, FALSE)*$L$14*$L$15*$L$16</f>
        <v>4.5230364603669733</v>
      </c>
      <c r="J21" s="69" t="s">
        <v>186</v>
      </c>
      <c r="K21" s="77">
        <f>VLOOKUP(TRIM(K9), Parser!$N$5:'Parser'!$O$24, 2, FALSE)*$L$14*$L$15*$L$16</f>
        <v>9.0460729207339465</v>
      </c>
      <c r="L21" s="66"/>
    </row>
    <row r="22" spans="1:12">
      <c r="A22" s="72" t="s">
        <v>187</v>
      </c>
      <c r="B22" s="77">
        <f>VLOOKUP(TRIM(B10), Parser!$N$5:'Parser'!$O$24, 2, FALSE)*$E$14*$E$15*$E$16</f>
        <v>5.3442677196585722</v>
      </c>
      <c r="C22" s="69" t="s">
        <v>188</v>
      </c>
      <c r="D22" s="77">
        <f>VLOOKUP(TRIM(D10), Parser!$N$5:'Parser'!$O$24, 2, FALSE)*$E$14*$E$15*$E$16</f>
        <v>4.2754141757268576</v>
      </c>
      <c r="H22" s="72" t="s">
        <v>187</v>
      </c>
      <c r="I22" s="77">
        <f>VLOOKUP(TRIM(I10), Parser!$N$5:'Parser'!$O$24, 2, FALSE)*$L$14*$L$15*$L$16</f>
        <v>5.6537955754587159</v>
      </c>
      <c r="J22" s="69" t="s">
        <v>188</v>
      </c>
      <c r="K22" s="77">
        <f>VLOOKUP(TRIM(K10), Parser!$N$5:'Parser'!$O$24, 2, FALSE)*$L$14*$L$15*$L$16</f>
        <v>4.5230364603669733</v>
      </c>
      <c r="L22" s="66"/>
    </row>
    <row r="23" spans="1:12">
      <c r="A23" s="73"/>
      <c r="B23" s="70"/>
      <c r="D23" s="70"/>
      <c r="H23" s="73"/>
      <c r="I23" s="70"/>
      <c r="K23" s="70"/>
      <c r="L23" s="66"/>
    </row>
    <row r="24" spans="1:12">
      <c r="A24" s="74" t="s">
        <v>213</v>
      </c>
      <c r="B24" s="70"/>
      <c r="D24" s="70"/>
      <c r="H24" s="74" t="s">
        <v>213</v>
      </c>
      <c r="I24" s="70"/>
      <c r="K24" s="70"/>
      <c r="L24" s="66"/>
    </row>
    <row r="25" spans="1:12">
      <c r="A25" s="72" t="s">
        <v>181</v>
      </c>
      <c r="B25" s="70" t="str">
        <f>B16</f>
        <v>ypperlig</v>
      </c>
      <c r="C25" s="69" t="s">
        <v>182</v>
      </c>
      <c r="D25" s="70" t="str">
        <f>VLOOKUP(FLOOR(D19,1), Parser!$O$5:'Parser'!$P$24, 2, FALSE)</f>
        <v>katastrofal</v>
      </c>
      <c r="H25" s="72" t="s">
        <v>181</v>
      </c>
      <c r="I25" s="70" t="str">
        <f>I16</f>
        <v>enastående</v>
      </c>
      <c r="J25" s="69" t="s">
        <v>182</v>
      </c>
      <c r="K25" s="70" t="str">
        <f>VLOOKUP(FLOOR(K19,1), Parser!$O$5:'Parser'!$P$24, 2, FALSE)</f>
        <v>katastrofal</v>
      </c>
      <c r="L25" s="66"/>
    </row>
    <row r="26" spans="1:12">
      <c r="A26" s="72" t="s">
        <v>183</v>
      </c>
      <c r="B26" s="70" t="str">
        <f>VLOOKUP(FLOOR(B20,1), Parser!$O$5:'Parser'!$P$24, 2, FALSE)</f>
        <v>gudomlig</v>
      </c>
      <c r="C26" s="69" t="s">
        <v>184</v>
      </c>
      <c r="D26" s="70" t="str">
        <f>VLOOKUP(FLOOR(D20,1), Parser!$O$5:'Parser'!$P$24, 2, FALSE)</f>
        <v>fenomenal</v>
      </c>
      <c r="H26" s="72" t="s">
        <v>183</v>
      </c>
      <c r="I26" s="70" t="str">
        <f>VLOOKUP(FLOOR(I20,1), Parser!$O$5:'Parser'!$P$34, 2, FALSE)</f>
        <v>gudomlig+1</v>
      </c>
      <c r="J26" s="69" t="s">
        <v>184</v>
      </c>
      <c r="K26" s="70" t="str">
        <f>VLOOKUP(FLOOR(K20,1), Parser!$O$5:'Parser'!$P$24, 2, FALSE)</f>
        <v>unik</v>
      </c>
      <c r="L26" s="66"/>
    </row>
    <row r="27" spans="1:12">
      <c r="A27" s="72" t="s">
        <v>185</v>
      </c>
      <c r="B27" s="70" t="str">
        <f>VLOOKUP(FLOOR(B21,1), Parser!$O$5:'Parser'!$P$24, 2, FALSE)</f>
        <v>hyfsad</v>
      </c>
      <c r="C27" s="69" t="s">
        <v>186</v>
      </c>
      <c r="D27" s="70" t="str">
        <f>VLOOKUP(FLOOR(D21,1), Parser!$O$5:'Parser'!$P$24, 2, FALSE)</f>
        <v>fenomenal</v>
      </c>
      <c r="H27" s="72" t="s">
        <v>185</v>
      </c>
      <c r="I27" s="70" t="str">
        <f>VLOOKUP(FLOOR(I21,1), Parser!$O$5:'Parser'!$P$24, 2, FALSE)</f>
        <v>hyfsad</v>
      </c>
      <c r="J27" s="69" t="s">
        <v>186</v>
      </c>
      <c r="K27" s="70" t="str">
        <f>VLOOKUP(FLOOR(K21,1), Parser!$O$5:'Parser'!$P$24, 2, FALSE)</f>
        <v>unik</v>
      </c>
      <c r="L27" s="66"/>
    </row>
    <row r="28" spans="1:12">
      <c r="A28" s="72" t="s">
        <v>187</v>
      </c>
      <c r="B28" s="70" t="str">
        <f>VLOOKUP(FLOOR(B22,1), Parser!$O$5:'Parser'!$P$24, 2, FALSE)</f>
        <v>bra</v>
      </c>
      <c r="C28" s="69" t="s">
        <v>188</v>
      </c>
      <c r="D28" s="70" t="str">
        <f>VLOOKUP(FLOOR(D22,1), Parser!$O$5:'Parser'!$P$24, 2, FALSE)</f>
        <v>hyfsad</v>
      </c>
      <c r="H28" s="72" t="s">
        <v>187</v>
      </c>
      <c r="I28" s="70" t="str">
        <f>VLOOKUP(FLOOR(I22,1), Parser!$O$5:'Parser'!$P$24, 2, FALSE)</f>
        <v>bra</v>
      </c>
      <c r="J28" s="69" t="s">
        <v>188</v>
      </c>
      <c r="K28" s="70" t="str">
        <f>VLOOKUP(FLOOR(K22,1), Parser!$O$5:'Parser'!$P$24, 2, FALSE)</f>
        <v>hyfsad</v>
      </c>
      <c r="L28" s="66"/>
    </row>
    <row r="29" spans="1:12" s="68" customFormat="1">
      <c r="A29" s="75"/>
      <c r="B29" s="71"/>
      <c r="D29" s="71"/>
      <c r="E29" s="67"/>
      <c r="H29" s="75"/>
      <c r="I29" s="71"/>
      <c r="K29" s="71"/>
      <c r="L29" s="67"/>
    </row>
    <row r="30" spans="1:12">
      <c r="H30" s="70"/>
      <c r="L30" s="66"/>
    </row>
    <row r="31" spans="1:12">
      <c r="H31" s="70"/>
      <c r="L31" s="66"/>
    </row>
    <row r="32" spans="1:12">
      <c r="A32" s="78" t="s">
        <v>214</v>
      </c>
      <c r="C32" s="70"/>
      <c r="H32" s="78" t="s">
        <v>214</v>
      </c>
      <c r="J32" s="70"/>
      <c r="L32" s="66"/>
    </row>
    <row r="33" spans="1:12">
      <c r="A33" s="73" t="s">
        <v>219</v>
      </c>
      <c r="B33" s="80">
        <v>1</v>
      </c>
      <c r="C33" s="81">
        <f>$B$20*B33</f>
        <v>20.308217334702572</v>
      </c>
      <c r="D33" s="73" t="str">
        <f>VLOOKUP(FLOOR(C33,1), Parser!$O$5:'Parser'!$P$24, 2, FALSE)</f>
        <v>gudomlig</v>
      </c>
      <c r="E33" s="79" t="str">
        <f>VLOOKUP(FLOOR(4*(C33-FLOOR(C33,1)),1), Parser!$Q$9:'Parser'!$R$12, 2, FALSE)</f>
        <v>låg</v>
      </c>
      <c r="H33" s="73" t="s">
        <v>219</v>
      </c>
      <c r="I33" s="80">
        <v>1</v>
      </c>
      <c r="J33" s="81">
        <f>$I$20*I33</f>
        <v>21.484423186743122</v>
      </c>
      <c r="K33" s="73" t="e">
        <f>VLOOKUP(FLOOR(J33,1), Parser!$O$5:'Parser'!$P$24, 2, FALSE)</f>
        <v>#N/A</v>
      </c>
      <c r="L33" s="79" t="str">
        <f>VLOOKUP(FLOOR(4*(J33-FLOOR(J33,1)),1), Parser!$Q$9:'Parser'!$R$12, 2, FALSE)</f>
        <v>låg</v>
      </c>
    </row>
    <row r="34" spans="1:12">
      <c r="A34" s="73" t="s">
        <v>220</v>
      </c>
      <c r="B34" s="80">
        <v>0.97</v>
      </c>
      <c r="C34" s="81">
        <f t="shared" ref="C34:C46" si="0">$B$20*B34</f>
        <v>19.698970814661493</v>
      </c>
      <c r="D34" s="73" t="str">
        <f>VLOOKUP(FLOOR(C34,1), Parser!$O$5:'Parser'!$P$24, 2, FALSE)</f>
        <v>utopisk</v>
      </c>
      <c r="E34" s="79" t="str">
        <f>VLOOKUP(FLOOR(4*(C34-FLOOR(C34,1)),1), Parser!$Q$9:'Parser'!$R$12, 2, FALSE)</f>
        <v>hög</v>
      </c>
      <c r="H34" s="73" t="s">
        <v>220</v>
      </c>
      <c r="I34" s="80">
        <v>0.97</v>
      </c>
      <c r="J34" s="81">
        <f t="shared" ref="J34:J46" si="1">$I$20*I34</f>
        <v>20.839890491140828</v>
      </c>
      <c r="K34" s="73" t="str">
        <f>VLOOKUP(FLOOR(J34,1), Parser!$O$5:'Parser'!$P$24, 2, FALSE)</f>
        <v>gudomlig</v>
      </c>
      <c r="L34" s="79" t="str">
        <f>VLOOKUP(FLOOR(4*(J34-FLOOR(J34,1)),1), Parser!$Q$9:'Parser'!$R$12, 2, FALSE)</f>
        <v>mkt hög</v>
      </c>
    </row>
    <row r="35" spans="1:12">
      <c r="A35" s="73" t="s">
        <v>218</v>
      </c>
      <c r="B35" s="80">
        <v>0.8</v>
      </c>
      <c r="C35" s="81">
        <f t="shared" si="0"/>
        <v>16.246573867762059</v>
      </c>
      <c r="D35" s="73" t="str">
        <f>VLOOKUP(FLOOR(C35,1), Parser!$O$5:'Parser'!$P$24, 2, FALSE)</f>
        <v>utomjordisk</v>
      </c>
      <c r="E35" s="79" t="str">
        <f>VLOOKUP(FLOOR(4*(C35-FLOOR(C35,1)),1), Parser!$Q$9:'Parser'!$R$12, 2, FALSE)</f>
        <v>mkt låg</v>
      </c>
      <c r="H35" s="73" t="s">
        <v>218</v>
      </c>
      <c r="I35" s="80">
        <v>0.8</v>
      </c>
      <c r="J35" s="81">
        <f t="shared" si="1"/>
        <v>17.1875385493945</v>
      </c>
      <c r="K35" s="73" t="str">
        <f>VLOOKUP(FLOOR(J35,1), Parser!$O$5:'Parser'!$P$24, 2, FALSE)</f>
        <v>mytomspunnen</v>
      </c>
      <c r="L35" s="79" t="str">
        <f>VLOOKUP(FLOOR(4*(J35-FLOOR(J35,1)),1), Parser!$Q$9:'Parser'!$R$12, 2, FALSE)</f>
        <v>mkt låg</v>
      </c>
    </row>
    <row r="36" spans="1:12">
      <c r="A36" s="73" t="s">
        <v>227</v>
      </c>
      <c r="B36" s="80">
        <v>0.85</v>
      </c>
      <c r="C36" s="81">
        <f t="shared" si="0"/>
        <v>17.261984734497187</v>
      </c>
      <c r="D36" s="73" t="str">
        <f>VLOOKUP(FLOOR(C36,1), Parser!$O$5:'Parser'!$P$24, 2, FALSE)</f>
        <v>mytomspunnen</v>
      </c>
      <c r="E36" s="79" t="str">
        <f>VLOOKUP(FLOOR(4*(C36-FLOOR(C36,1)),1), Parser!$Q$9:'Parser'!$R$12, 2, FALSE)</f>
        <v>låg</v>
      </c>
      <c r="H36" s="73" t="s">
        <v>227</v>
      </c>
      <c r="I36" s="80">
        <v>0.85</v>
      </c>
      <c r="J36" s="81">
        <f t="shared" si="1"/>
        <v>18.261759708731653</v>
      </c>
      <c r="K36" s="73" t="str">
        <f>VLOOKUP(FLOOR(J36,1), Parser!$O$5:'Parser'!$P$24, 2, FALSE)</f>
        <v>magisk</v>
      </c>
      <c r="L36" s="79" t="str">
        <f>VLOOKUP(FLOOR(4*(J36-FLOOR(J36,1)),1), Parser!$Q$9:'Parser'!$R$12, 2, FALSE)</f>
        <v>låg</v>
      </c>
    </row>
    <row r="37" spans="1:12">
      <c r="A37" s="73" t="s">
        <v>215</v>
      </c>
      <c r="B37" s="80">
        <v>0.6</v>
      </c>
      <c r="C37" s="81">
        <f t="shared" si="0"/>
        <v>12.184930400821543</v>
      </c>
      <c r="D37" s="73" t="str">
        <f>VLOOKUP(FLOOR(C37,1), Parser!$O$5:'Parser'!$P$24, 2, FALSE)</f>
        <v>övernaturlig</v>
      </c>
      <c r="E37" s="79" t="str">
        <f>VLOOKUP(FLOOR(4*(C37-FLOOR(C37,1)),1), Parser!$Q$9:'Parser'!$R$12, 2, FALSE)</f>
        <v>mkt låg</v>
      </c>
      <c r="H37" s="73" t="s">
        <v>215</v>
      </c>
      <c r="I37" s="80">
        <v>0.6</v>
      </c>
      <c r="J37" s="81">
        <f t="shared" si="1"/>
        <v>12.890653912045872</v>
      </c>
      <c r="K37" s="73" t="str">
        <f>VLOOKUP(FLOOR(J37,1), Parser!$O$5:'Parser'!$P$24, 2, FALSE)</f>
        <v>övernaturlig</v>
      </c>
      <c r="L37" s="79" t="str">
        <f>VLOOKUP(FLOOR(4*(J37-FLOOR(J37,1)),1), Parser!$Q$9:'Parser'!$R$12, 2, FALSE)</f>
        <v>mkt hög</v>
      </c>
    </row>
    <row r="38" spans="1:12">
      <c r="A38" s="73" t="s">
        <v>217</v>
      </c>
      <c r="B38" s="80">
        <v>0.35</v>
      </c>
      <c r="C38" s="81">
        <f t="shared" si="0"/>
        <v>7.1078760671458996</v>
      </c>
      <c r="D38" s="73" t="str">
        <f>VLOOKUP(FLOOR(C38,1), Parser!$O$5:'Parser'!$P$24, 2, FALSE)</f>
        <v>enastående</v>
      </c>
      <c r="E38" s="79" t="str">
        <f>VLOOKUP(FLOOR(4*(C38-FLOOR(C38,1)),1), Parser!$Q$9:'Parser'!$R$12, 2, FALSE)</f>
        <v>mkt låg</v>
      </c>
      <c r="H38" s="73" t="s">
        <v>217</v>
      </c>
      <c r="I38" s="80">
        <v>0.35</v>
      </c>
      <c r="J38" s="81">
        <f t="shared" si="1"/>
        <v>7.5195481153600925</v>
      </c>
      <c r="K38" s="73" t="str">
        <f>VLOOKUP(FLOOR(J38,1), Parser!$O$5:'Parser'!$P$24, 2, FALSE)</f>
        <v>enastående</v>
      </c>
      <c r="L38" s="79" t="str">
        <f>VLOOKUP(FLOOR(4*(J38-FLOOR(J38,1)),1), Parser!$Q$9:'Parser'!$R$12, 2, FALSE)</f>
        <v>hög</v>
      </c>
    </row>
    <row r="39" spans="1:12">
      <c r="A39" s="73" t="s">
        <v>216</v>
      </c>
      <c r="B39" s="80">
        <v>0.5</v>
      </c>
      <c r="C39" s="81">
        <f t="shared" si="0"/>
        <v>10.154108667351286</v>
      </c>
      <c r="D39" s="73" t="str">
        <f>VLOOKUP(FLOOR(C39,1), Parser!$O$5:'Parser'!$P$24, 2, FALSE)</f>
        <v>legendarisk</v>
      </c>
      <c r="E39" s="79" t="str">
        <f>VLOOKUP(FLOOR(4*(C39-FLOOR(C39,1)),1), Parser!$Q$9:'Parser'!$R$12, 2, FALSE)</f>
        <v>mkt låg</v>
      </c>
      <c r="H39" s="73" t="s">
        <v>216</v>
      </c>
      <c r="I39" s="80">
        <v>0.5</v>
      </c>
      <c r="J39" s="81">
        <f t="shared" si="1"/>
        <v>10.742211593371561</v>
      </c>
      <c r="K39" s="73" t="str">
        <f>VLOOKUP(FLOOR(J39,1), Parser!$O$5:'Parser'!$P$24, 2, FALSE)</f>
        <v>legendarisk</v>
      </c>
      <c r="L39" s="79" t="str">
        <f>VLOOKUP(FLOOR(4*(J39-FLOOR(J39,1)),1), Parser!$Q$9:'Parser'!$R$12, 2, FALSE)</f>
        <v>hög</v>
      </c>
    </row>
    <row r="40" spans="1:12">
      <c r="A40" s="73" t="s">
        <v>221</v>
      </c>
      <c r="B40" s="80">
        <v>0.45</v>
      </c>
      <c r="C40" s="81">
        <f t="shared" si="0"/>
        <v>9.138697800616157</v>
      </c>
      <c r="D40" s="73" t="str">
        <f>VLOOKUP(FLOOR(C40,1), Parser!$O$5:'Parser'!$P$24, 2, FALSE)</f>
        <v>unik</v>
      </c>
      <c r="E40" s="79" t="str">
        <f>VLOOKUP(FLOOR(4*(C40-FLOOR(C40,1)),1), Parser!$Q$9:'Parser'!$R$12, 2, FALSE)</f>
        <v>mkt låg</v>
      </c>
      <c r="H40" s="73" t="s">
        <v>221</v>
      </c>
      <c r="I40" s="80">
        <v>0.45</v>
      </c>
      <c r="J40" s="81">
        <f t="shared" si="1"/>
        <v>9.6679904340344045</v>
      </c>
      <c r="K40" s="73" t="str">
        <f>VLOOKUP(FLOOR(J40,1), Parser!$O$5:'Parser'!$P$24, 2, FALSE)</f>
        <v>unik</v>
      </c>
      <c r="L40" s="79" t="str">
        <f>VLOOKUP(FLOOR(4*(J40-FLOOR(J40,1)),1), Parser!$Q$9:'Parser'!$R$12, 2, FALSE)</f>
        <v>hög</v>
      </c>
    </row>
    <row r="41" spans="1:12">
      <c r="A41" s="73" t="s">
        <v>222</v>
      </c>
      <c r="B41" s="80">
        <v>0.45</v>
      </c>
      <c r="C41" s="81">
        <f t="shared" si="0"/>
        <v>9.138697800616157</v>
      </c>
      <c r="D41" s="73" t="str">
        <f>VLOOKUP(FLOOR(C41,1), Parser!$O$5:'Parser'!$P$24, 2, FALSE)</f>
        <v>unik</v>
      </c>
      <c r="E41" s="79" t="str">
        <f>VLOOKUP(FLOOR(4*(C41-FLOOR(C41,1)),1), Parser!$Q$9:'Parser'!$R$12, 2, FALSE)</f>
        <v>mkt låg</v>
      </c>
      <c r="H41" s="73" t="s">
        <v>222</v>
      </c>
      <c r="I41" s="80">
        <v>0.45</v>
      </c>
      <c r="J41" s="81">
        <f t="shared" si="1"/>
        <v>9.6679904340344045</v>
      </c>
      <c r="K41" s="73" t="str">
        <f>VLOOKUP(FLOOR(J41,1), Parser!$O$5:'Parser'!$P$24, 2, FALSE)</f>
        <v>unik</v>
      </c>
      <c r="L41" s="79" t="str">
        <f>VLOOKUP(FLOOR(4*(J41-FLOOR(J41,1)),1), Parser!$Q$9:'Parser'!$R$12, 2, FALSE)</f>
        <v>hög</v>
      </c>
    </row>
    <row r="42" spans="1:12">
      <c r="A42" s="73" t="s">
        <v>225</v>
      </c>
      <c r="B42" s="80">
        <v>0.25</v>
      </c>
      <c r="C42" s="81">
        <f t="shared" si="0"/>
        <v>5.0770543336756431</v>
      </c>
      <c r="D42" s="73" t="str">
        <f>VLOOKUP(FLOOR(C42,1), Parser!$O$5:'Parser'!$P$24, 2, FALSE)</f>
        <v>bra</v>
      </c>
      <c r="E42" s="79" t="str">
        <f>VLOOKUP(FLOOR(4*(C42-FLOOR(C42,1)),1), Parser!$Q$9:'Parser'!$R$12, 2, FALSE)</f>
        <v>mkt låg</v>
      </c>
      <c r="H42" s="73" t="s">
        <v>225</v>
      </c>
      <c r="I42" s="80">
        <v>0.25</v>
      </c>
      <c r="J42" s="81">
        <f t="shared" si="1"/>
        <v>5.3711057966857805</v>
      </c>
      <c r="K42" s="73" t="str">
        <f>VLOOKUP(FLOOR(J42,1), Parser!$O$5:'Parser'!$P$24, 2, FALSE)</f>
        <v>bra</v>
      </c>
      <c r="L42" s="79" t="str">
        <f>VLOOKUP(FLOOR(4*(J42-FLOOR(J42,1)),1), Parser!$Q$9:'Parser'!$R$12, 2, FALSE)</f>
        <v>låg</v>
      </c>
    </row>
    <row r="43" spans="1:12">
      <c r="A43" s="73" t="s">
        <v>226</v>
      </c>
      <c r="B43" s="80">
        <v>0.15</v>
      </c>
      <c r="C43" s="81">
        <f t="shared" si="0"/>
        <v>3.0462326002053857</v>
      </c>
      <c r="D43" s="73" t="str">
        <f>VLOOKUP(FLOOR(C43,1), Parser!$O$5:'Parser'!$P$24, 2, FALSE)</f>
        <v>dålig</v>
      </c>
      <c r="E43" s="79" t="str">
        <f>VLOOKUP(FLOOR(4*(C43-FLOOR(C43,1)),1), Parser!$Q$9:'Parser'!$R$12, 2, FALSE)</f>
        <v>mkt låg</v>
      </c>
      <c r="H43" s="73" t="s">
        <v>226</v>
      </c>
      <c r="I43" s="80">
        <v>0.15</v>
      </c>
      <c r="J43" s="81">
        <f t="shared" si="1"/>
        <v>3.222663478011468</v>
      </c>
      <c r="K43" s="73" t="str">
        <f>VLOOKUP(FLOOR(J43,1), Parser!$O$5:'Parser'!$P$24, 2, FALSE)</f>
        <v>dålig</v>
      </c>
      <c r="L43" s="79" t="str">
        <f>VLOOKUP(FLOOR(4*(J43-FLOOR(J43,1)),1), Parser!$Q$9:'Parser'!$R$12, 2, FALSE)</f>
        <v>mkt låg</v>
      </c>
    </row>
    <row r="44" spans="1:12">
      <c r="A44" s="73" t="s">
        <v>224</v>
      </c>
      <c r="B44" s="80">
        <v>0.2</v>
      </c>
      <c r="C44" s="81">
        <f t="shared" si="0"/>
        <v>4.0616434669405148</v>
      </c>
      <c r="D44" s="73" t="str">
        <f>VLOOKUP(FLOOR(C44,1), Parser!$O$5:'Parser'!$P$24, 2, FALSE)</f>
        <v>hyfsad</v>
      </c>
      <c r="E44" s="79" t="str">
        <f>VLOOKUP(FLOOR(4*(C44-FLOOR(C44,1)),1), Parser!$Q$9:'Parser'!$R$12, 2, FALSE)</f>
        <v>mkt låg</v>
      </c>
      <c r="H44" s="73" t="s">
        <v>224</v>
      </c>
      <c r="I44" s="80">
        <v>0.2</v>
      </c>
      <c r="J44" s="81">
        <f t="shared" si="1"/>
        <v>4.2968846373486249</v>
      </c>
      <c r="K44" s="73" t="str">
        <f>VLOOKUP(FLOOR(J44,1), Parser!$O$5:'Parser'!$P$24, 2, FALSE)</f>
        <v>hyfsad</v>
      </c>
      <c r="L44" s="79" t="str">
        <f>VLOOKUP(FLOOR(4*(J44-FLOOR(J44,1)),1), Parser!$Q$9:'Parser'!$R$12, 2, FALSE)</f>
        <v>låg</v>
      </c>
    </row>
    <row r="45" spans="1:12">
      <c r="A45" s="73" t="s">
        <v>223</v>
      </c>
      <c r="B45" s="80">
        <v>0.15</v>
      </c>
      <c r="C45" s="81">
        <f t="shared" si="0"/>
        <v>3.0462326002053857</v>
      </c>
      <c r="D45" s="73" t="str">
        <f>VLOOKUP(FLOOR(C45,1), Parser!$O$5:'Parser'!$P$24, 2, FALSE)</f>
        <v>dålig</v>
      </c>
      <c r="E45" s="79" t="str">
        <f>VLOOKUP(FLOOR(4*(C45-FLOOR(C45,1)),1), Parser!$Q$9:'Parser'!$R$12, 2, FALSE)</f>
        <v>mkt låg</v>
      </c>
      <c r="H45" s="73" t="s">
        <v>223</v>
      </c>
      <c r="I45" s="80">
        <v>0.15</v>
      </c>
      <c r="J45" s="81">
        <f t="shared" si="1"/>
        <v>3.222663478011468</v>
      </c>
      <c r="K45" s="73" t="str">
        <f>VLOOKUP(FLOOR(J45,1), Parser!$O$5:'Parser'!$P$24, 2, FALSE)</f>
        <v>dålig</v>
      </c>
      <c r="L45" s="79" t="str">
        <f>VLOOKUP(FLOOR(4*(J45-FLOOR(J45,1)),1), Parser!$Q$9:'Parser'!$R$12, 2, FALSE)</f>
        <v>mkt låg</v>
      </c>
    </row>
    <row r="46" spans="1:12">
      <c r="A46" s="73" t="s">
        <v>228</v>
      </c>
      <c r="B46" s="80">
        <v>0.1</v>
      </c>
      <c r="C46" s="81">
        <f t="shared" si="0"/>
        <v>2.0308217334702574</v>
      </c>
      <c r="D46" s="73" t="str">
        <f>VLOOKUP(FLOOR(C46,1), Parser!$O$5:'Parser'!$P$24, 2, FALSE)</f>
        <v>usel</v>
      </c>
      <c r="E46" s="79" t="str">
        <f>VLOOKUP(FLOOR(4*(C46-FLOOR(C46,1)),1), Parser!$Q$9:'Parser'!$R$12, 2, FALSE)</f>
        <v>mkt låg</v>
      </c>
      <c r="H46" s="73" t="s">
        <v>228</v>
      </c>
      <c r="I46" s="80">
        <v>0.1</v>
      </c>
      <c r="J46" s="81">
        <f t="shared" si="1"/>
        <v>2.1484423186743125</v>
      </c>
      <c r="K46" s="73" t="str">
        <f>VLOOKUP(FLOOR(J46,1), Parser!$O$5:'Parser'!$P$24, 2, FALSE)</f>
        <v>usel</v>
      </c>
      <c r="L46" s="79" t="str">
        <f>VLOOKUP(FLOOR(4*(J46-FLOOR(J46,1)),1), Parser!$Q$9:'Parser'!$R$12, 2, FALSE)</f>
        <v>mkt låg</v>
      </c>
    </row>
    <row r="47" spans="1:12">
      <c r="A47" s="73"/>
      <c r="H47" s="73"/>
      <c r="L47" s="66"/>
    </row>
    <row r="48" spans="1:12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3.2"/>
  <cols>
    <col min="1" max="1" width="14" style="4" customWidth="1"/>
    <col min="7" max="7" width="18.33203125" customWidth="1"/>
    <col min="8" max="8" width="10.6640625" customWidth="1"/>
    <col min="12" max="12" width="14.44140625" customWidth="1"/>
  </cols>
  <sheetData>
    <row r="1" spans="1:13" s="4" customFormat="1">
      <c r="G1" s="4" t="s">
        <v>232</v>
      </c>
      <c r="J1" s="4" t="s">
        <v>180</v>
      </c>
      <c r="K1" s="4" t="s">
        <v>242</v>
      </c>
    </row>
    <row r="2" spans="1:13" s="4" customFormat="1">
      <c r="B2" s="4" t="s">
        <v>229</v>
      </c>
      <c r="C2" s="4" t="s">
        <v>230</v>
      </c>
      <c r="D2" s="4" t="s">
        <v>231</v>
      </c>
      <c r="E2" s="4" t="s">
        <v>232</v>
      </c>
      <c r="G2" s="4" t="s">
        <v>241</v>
      </c>
      <c r="H2" s="4" t="s">
        <v>230</v>
      </c>
      <c r="K2" s="4" t="s">
        <v>91</v>
      </c>
      <c r="L2" s="4" t="s">
        <v>243</v>
      </c>
    </row>
    <row r="3" spans="1:13">
      <c r="A3" s="4" t="s">
        <v>233</v>
      </c>
      <c r="B3">
        <v>20</v>
      </c>
      <c r="C3">
        <v>6</v>
      </c>
      <c r="D3">
        <v>20</v>
      </c>
      <c r="E3">
        <v>7</v>
      </c>
      <c r="G3">
        <f t="shared" ref="G3:H8" si="0">B3*(SQRT($E3-1)/SQRT(7))</f>
        <v>18.516401995451027</v>
      </c>
      <c r="H3">
        <f t="shared" si="0"/>
        <v>5.5549205986353076</v>
      </c>
      <c r="J3">
        <f t="shared" ref="J3:J8" si="1">1+SQRT((D3))*7/100</f>
        <v>1.3130495168499705</v>
      </c>
      <c r="K3">
        <f t="shared" ref="K3:K8" si="2">G3*J3</f>
        <v>24.3129526939268</v>
      </c>
      <c r="L3">
        <f t="shared" ref="L3:L8" si="3">H3*J3</f>
        <v>7.2938858081780396</v>
      </c>
    </row>
    <row r="4" spans="1:13">
      <c r="A4" s="4" t="s">
        <v>234</v>
      </c>
      <c r="B4">
        <v>19.5</v>
      </c>
      <c r="C4">
        <v>3</v>
      </c>
      <c r="D4">
        <v>20</v>
      </c>
      <c r="E4">
        <v>6</v>
      </c>
      <c r="G4">
        <f t="shared" si="0"/>
        <v>16.480507967206073</v>
      </c>
      <c r="H4">
        <f t="shared" si="0"/>
        <v>2.5354627641855498</v>
      </c>
      <c r="J4">
        <f t="shared" si="1"/>
        <v>1.3130495168499705</v>
      </c>
      <c r="K4">
        <f t="shared" si="2"/>
        <v>21.639723023782025</v>
      </c>
      <c r="L4">
        <f t="shared" si="3"/>
        <v>3.3291881575049271</v>
      </c>
    </row>
    <row r="5" spans="1:13">
      <c r="A5" s="4" t="s">
        <v>235</v>
      </c>
      <c r="B5">
        <v>18</v>
      </c>
      <c r="C5">
        <v>5</v>
      </c>
      <c r="D5">
        <v>13</v>
      </c>
      <c r="E5">
        <v>6</v>
      </c>
      <c r="G5">
        <f t="shared" si="0"/>
        <v>15.212776585113298</v>
      </c>
      <c r="H5">
        <f t="shared" si="0"/>
        <v>4.2257712736425832</v>
      </c>
      <c r="J5">
        <f t="shared" si="1"/>
        <v>1.2523885892824793</v>
      </c>
      <c r="K5">
        <f t="shared" si="2"/>
        <v>19.052307806499577</v>
      </c>
      <c r="L5">
        <f t="shared" si="3"/>
        <v>5.292307724027661</v>
      </c>
    </row>
    <row r="6" spans="1:13">
      <c r="A6" s="4" t="s">
        <v>239</v>
      </c>
      <c r="B6">
        <v>18</v>
      </c>
      <c r="C6">
        <v>3</v>
      </c>
      <c r="D6">
        <v>20</v>
      </c>
      <c r="E6">
        <v>6</v>
      </c>
      <c r="G6">
        <f t="shared" si="0"/>
        <v>15.212776585113298</v>
      </c>
      <c r="H6">
        <f t="shared" si="0"/>
        <v>2.5354627641855498</v>
      </c>
      <c r="J6">
        <f t="shared" si="1"/>
        <v>1.3130495168499705</v>
      </c>
      <c r="K6">
        <f t="shared" si="2"/>
        <v>19.97512894502956</v>
      </c>
      <c r="L6">
        <f t="shared" si="3"/>
        <v>3.3291881575049271</v>
      </c>
    </row>
    <row r="7" spans="1:13">
      <c r="A7" s="4" t="s">
        <v>236</v>
      </c>
      <c r="B7">
        <v>19</v>
      </c>
      <c r="C7">
        <v>9</v>
      </c>
      <c r="D7">
        <v>20</v>
      </c>
      <c r="E7">
        <v>4</v>
      </c>
      <c r="G7">
        <f t="shared" si="0"/>
        <v>12.438419743451565</v>
      </c>
      <c r="H7">
        <f t="shared" si="0"/>
        <v>5.8918830363717936</v>
      </c>
      <c r="J7">
        <f t="shared" si="1"/>
        <v>1.3130495168499705</v>
      </c>
      <c r="K7">
        <f t="shared" si="2"/>
        <v>16.332261034516211</v>
      </c>
      <c r="L7">
        <f t="shared" si="3"/>
        <v>7.7363341742445204</v>
      </c>
    </row>
    <row r="8" spans="1:13">
      <c r="A8" s="4" t="s">
        <v>240</v>
      </c>
      <c r="B8">
        <v>16</v>
      </c>
      <c r="C8">
        <v>4</v>
      </c>
      <c r="D8">
        <v>20</v>
      </c>
      <c r="E8">
        <v>5</v>
      </c>
      <c r="G8">
        <f t="shared" si="0"/>
        <v>12.09486313629527</v>
      </c>
      <c r="H8">
        <f t="shared" si="0"/>
        <v>3.0237157840738176</v>
      </c>
      <c r="J8">
        <f t="shared" si="1"/>
        <v>1.3130495168499705</v>
      </c>
      <c r="K8">
        <f t="shared" si="2"/>
        <v>15.881154197479024</v>
      </c>
      <c r="L8">
        <f t="shared" si="3"/>
        <v>3.9702885493697559</v>
      </c>
    </row>
    <row r="10" spans="1:13">
      <c r="A10" s="4" t="s">
        <v>237</v>
      </c>
      <c r="G10">
        <f>SUM(G3:G6)</f>
        <v>65.422463132883692</v>
      </c>
      <c r="H10">
        <f>2*SUM(H3:H6)</f>
        <v>29.703234801297981</v>
      </c>
      <c r="I10" s="4">
        <f>SUM(G10:H10)</f>
        <v>95.125697934181673</v>
      </c>
      <c r="K10">
        <f>SUM(K3:K6)</f>
        <v>84.980112469237952</v>
      </c>
      <c r="L10">
        <f>2*SUM(L3:L6)</f>
        <v>38.48913969443111</v>
      </c>
      <c r="M10" s="4">
        <f>SUM(K10:L10)</f>
        <v>123.46925216366907</v>
      </c>
    </row>
    <row r="11" spans="1:13">
      <c r="A11" s="4" t="s">
        <v>238</v>
      </c>
      <c r="G11">
        <f>SUM(G3:G7)</f>
        <v>77.860882876335253</v>
      </c>
      <c r="H11">
        <f>2*SUM(H3:H7)</f>
        <v>41.48700087404157</v>
      </c>
      <c r="I11" s="4">
        <f>SUM(G11:H11)</f>
        <v>119.34788375037682</v>
      </c>
      <c r="K11">
        <f>SUM(K3:K7)</f>
        <v>101.31237350375416</v>
      </c>
      <c r="L11">
        <f>2*SUM(L3:L7)</f>
        <v>53.961808042920154</v>
      </c>
      <c r="M11" s="4">
        <f>SUM(K11:L11)</f>
        <v>155.2741815466743</v>
      </c>
    </row>
    <row r="14" spans="1:13">
      <c r="I14">
        <f>I10/8</f>
        <v>11.890712241772709</v>
      </c>
      <c r="M14">
        <f>M10/8</f>
        <v>15.433656520458634</v>
      </c>
    </row>
    <row r="15" spans="1:13">
      <c r="I15">
        <f>I11/8</f>
        <v>14.918485468797103</v>
      </c>
      <c r="M15">
        <f>M11/8</f>
        <v>19.409272693334287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4" sqref="D4"/>
    </sheetView>
  </sheetViews>
  <sheetFormatPr defaultRowHeight="13.2"/>
  <cols>
    <col min="1" max="1" width="45.6640625" customWidth="1"/>
    <col min="2" max="2" width="15.6640625" customWidth="1"/>
    <col min="3" max="3" width="10.6640625" customWidth="1"/>
    <col min="4" max="4" width="15.6640625" customWidth="1"/>
  </cols>
  <sheetData>
    <row r="1" spans="1:4" ht="49.2">
      <c r="A1" s="59" t="s">
        <v>193</v>
      </c>
    </row>
    <row r="2" spans="1:4">
      <c r="A2" s="60" t="s">
        <v>194</v>
      </c>
    </row>
    <row r="3" spans="1:4">
      <c r="A3" s="27"/>
    </row>
    <row r="4" spans="1:4">
      <c r="A4" s="27" t="s">
        <v>195</v>
      </c>
    </row>
    <row r="5" spans="1:4">
      <c r="A5" s="27" t="s">
        <v>196</v>
      </c>
    </row>
    <row r="6" spans="1:4">
      <c r="A6" s="27" t="s">
        <v>197</v>
      </c>
    </row>
    <row r="7" spans="1:4" ht="39.6">
      <c r="A7" s="61" t="s">
        <v>198</v>
      </c>
      <c r="B7" s="62" t="s">
        <v>199</v>
      </c>
    </row>
    <row r="8" spans="1:4">
      <c r="A8" s="61" t="s">
        <v>200</v>
      </c>
      <c r="B8" s="61" t="s">
        <v>201</v>
      </c>
    </row>
    <row r="9" spans="1:4" ht="37.799999999999997">
      <c r="A9" s="61" t="s">
        <v>202</v>
      </c>
      <c r="B9" s="61" t="s">
        <v>203</v>
      </c>
    </row>
    <row r="10" spans="1:4">
      <c r="A10" s="61" t="s">
        <v>204</v>
      </c>
      <c r="B10" s="61">
        <v>0</v>
      </c>
    </row>
    <row r="11" spans="1:4">
      <c r="A11" s="61" t="s">
        <v>205</v>
      </c>
      <c r="B11" s="61" t="s">
        <v>206</v>
      </c>
    </row>
    <row r="12" spans="1:4">
      <c r="A12" s="61" t="s">
        <v>207</v>
      </c>
      <c r="B12" s="61" t="s">
        <v>208</v>
      </c>
    </row>
    <row r="13" spans="1:4" ht="16.8" thickBot="1">
      <c r="A13" s="63" t="s">
        <v>209</v>
      </c>
    </row>
    <row r="14" spans="1:4">
      <c r="A14" s="45" t="s">
        <v>181</v>
      </c>
      <c r="B14" s="46" t="s">
        <v>70</v>
      </c>
      <c r="C14" s="45" t="s">
        <v>182</v>
      </c>
      <c r="D14" s="46" t="s">
        <v>63</v>
      </c>
    </row>
    <row r="15" spans="1:4">
      <c r="A15" s="45" t="s">
        <v>183</v>
      </c>
      <c r="B15" s="46" t="s">
        <v>68</v>
      </c>
      <c r="C15" s="45" t="s">
        <v>184</v>
      </c>
      <c r="D15" s="46" t="s">
        <v>71</v>
      </c>
    </row>
    <row r="16" spans="1:4">
      <c r="A16" s="45" t="s">
        <v>185</v>
      </c>
      <c r="B16" s="46" t="s">
        <v>67</v>
      </c>
      <c r="C16" s="45" t="s">
        <v>186</v>
      </c>
      <c r="D16" s="46" t="s">
        <v>64</v>
      </c>
    </row>
    <row r="17" spans="1:4">
      <c r="A17" s="45" t="s">
        <v>187</v>
      </c>
      <c r="B17" s="46" t="s">
        <v>74</v>
      </c>
      <c r="C17" s="45" t="s">
        <v>188</v>
      </c>
      <c r="D17" s="46" t="s">
        <v>79</v>
      </c>
    </row>
    <row r="19" spans="1:4">
      <c r="A19" s="45" t="s">
        <v>96</v>
      </c>
    </row>
    <row r="20" spans="1:4">
      <c r="A20" s="45" t="s">
        <v>210</v>
      </c>
    </row>
    <row r="21" spans="1:4">
      <c r="A21" s="45" t="s">
        <v>211</v>
      </c>
    </row>
    <row r="23" spans="1:4">
      <c r="A23" s="64" t="s">
        <v>212</v>
      </c>
    </row>
    <row r="24" spans="1:4">
      <c r="A24" s="45" t="s">
        <v>181</v>
      </c>
      <c r="C24" s="45" t="s">
        <v>182</v>
      </c>
    </row>
    <row r="25" spans="1:4">
      <c r="A25" s="45" t="s">
        <v>183</v>
      </c>
      <c r="C25" s="45" t="s">
        <v>184</v>
      </c>
    </row>
    <row r="26" spans="1:4">
      <c r="A26" s="45" t="s">
        <v>185</v>
      </c>
      <c r="C26" s="45" t="s">
        <v>186</v>
      </c>
    </row>
    <row r="27" spans="1:4">
      <c r="A27" s="45" t="s">
        <v>187</v>
      </c>
      <c r="C27" s="45" t="s">
        <v>188</v>
      </c>
    </row>
    <row r="29" spans="1:4">
      <c r="A29" s="64" t="s">
        <v>213</v>
      </c>
    </row>
    <row r="30" spans="1:4">
      <c r="A30" s="45" t="s">
        <v>181</v>
      </c>
      <c r="C30" s="45" t="s">
        <v>182</v>
      </c>
    </row>
    <row r="31" spans="1:4">
      <c r="A31" s="45" t="s">
        <v>183</v>
      </c>
      <c r="C31" s="45" t="s">
        <v>184</v>
      </c>
    </row>
    <row r="32" spans="1:4">
      <c r="A32" s="45" t="s">
        <v>185</v>
      </c>
      <c r="C32" s="45" t="s">
        <v>186</v>
      </c>
    </row>
    <row r="33" spans="1:3">
      <c r="A33" s="45" t="s">
        <v>187</v>
      </c>
      <c r="C33" s="45" t="s">
        <v>188</v>
      </c>
    </row>
  </sheetData>
  <phoneticPr fontId="7" type="noConversion"/>
  <hyperlinks>
    <hyperlink ref="A2" r:id="rId1" display="http://www99.hattrick.org/World/Leagues/League.aspx?LeagueID=12"/>
    <hyperlink ref="B7" r:id="rId2" tooltip="Granviks BK" display="http://www99.hattrick.org/Club/?TeamID=46786"/>
    <hyperlink ref="B14" r:id="rId3" location="skill" display="http://www99.hattrick.org/Help/Rules/AppDenominations.aspx?lt=skill&amp;ll=7 - skill"/>
    <hyperlink ref="D14" r:id="rId4" location="skill" display="http://www99.hattrick.org/Help/Rules/AppDenominations.aspx?lt=skill&amp;ll=1 - skill"/>
    <hyperlink ref="B15" r:id="rId5" location="skill" display="http://www99.hattrick.org/Help/Rules/AppDenominations.aspx?lt=skill&amp;ll=3 - skill"/>
    <hyperlink ref="D15" r:id="rId6" location="skill" display="http://www99.hattrick.org/Help/Rules/AppDenominations.aspx?lt=skill&amp;ll=9 - skill"/>
    <hyperlink ref="B16" r:id="rId7" location="skill" display="http://www99.hattrick.org/Help/Rules/AppDenominations.aspx?lt=skill&amp;ll=4 - skill"/>
    <hyperlink ref="D16" r:id="rId8" location="skill" display="http://www99.hattrick.org/Help/Rules/AppDenominations.aspx?lt=skill&amp;ll=6 - skill"/>
    <hyperlink ref="B17" r:id="rId9" location="skill" display="http://www99.hattrick.org/Help/Rules/AppDenominations.aspx?lt=skill&amp;ll=14 - skill"/>
    <hyperlink ref="D17" r:id="rId10" location="skill" display="http://www99.hattrick.org/Help/Rules/AppDenominations.aspx?lt=skill&amp;ll=19 - skill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A76"/>
  <sheetViews>
    <sheetView workbookViewId="0">
      <selection activeCell="C26" sqref="C26"/>
    </sheetView>
  </sheetViews>
  <sheetFormatPr defaultRowHeight="13.2"/>
  <cols>
    <col min="1" max="1" width="24.88671875" bestFit="1" customWidth="1"/>
  </cols>
  <sheetData>
    <row r="2" spans="1:1">
      <c r="A2" s="135" t="s">
        <v>351</v>
      </c>
    </row>
    <row r="3" spans="1:1">
      <c r="A3" s="135" t="s">
        <v>352</v>
      </c>
    </row>
    <row r="4" spans="1:1">
      <c r="A4" s="135" t="s">
        <v>353</v>
      </c>
    </row>
    <row r="5" spans="1:1">
      <c r="A5" s="135" t="s">
        <v>354</v>
      </c>
    </row>
    <row r="6" spans="1:1">
      <c r="A6" s="135" t="s">
        <v>355</v>
      </c>
    </row>
    <row r="7" spans="1:1">
      <c r="A7" s="135" t="s">
        <v>356</v>
      </c>
    </row>
    <row r="8" spans="1:1">
      <c r="A8" s="135" t="s">
        <v>357</v>
      </c>
    </row>
    <row r="9" spans="1:1">
      <c r="A9" s="135" t="s">
        <v>358</v>
      </c>
    </row>
    <row r="10" spans="1:1">
      <c r="A10" s="135" t="s">
        <v>359</v>
      </c>
    </row>
    <row r="11" spans="1:1">
      <c r="A11" s="135" t="s">
        <v>360</v>
      </c>
    </row>
    <row r="12" spans="1:1">
      <c r="A12" s="135" t="s">
        <v>361</v>
      </c>
    </row>
    <row r="13" spans="1:1">
      <c r="A13" s="135" t="s">
        <v>362</v>
      </c>
    </row>
    <row r="14" spans="1:1">
      <c r="A14" s="135" t="s">
        <v>363</v>
      </c>
    </row>
    <row r="15" spans="1:1">
      <c r="A15" s="135" t="s">
        <v>364</v>
      </c>
    </row>
    <row r="16" spans="1:1">
      <c r="A16" s="135" t="s">
        <v>365</v>
      </c>
    </row>
    <row r="18" spans="1:1">
      <c r="A18" s="135" t="s">
        <v>366</v>
      </c>
    </row>
    <row r="19" spans="1:1">
      <c r="A19" s="135" t="s">
        <v>367</v>
      </c>
    </row>
    <row r="20" spans="1:1">
      <c r="A20" s="135" t="s">
        <v>368</v>
      </c>
    </row>
    <row r="21" spans="1:1">
      <c r="A21" s="135" t="s">
        <v>369</v>
      </c>
    </row>
    <row r="22" spans="1:1">
      <c r="A22" s="135" t="s">
        <v>370</v>
      </c>
    </row>
    <row r="23" spans="1:1">
      <c r="A23" s="135" t="s">
        <v>371</v>
      </c>
    </row>
    <row r="24" spans="1:1">
      <c r="A24" s="135" t="s">
        <v>372</v>
      </c>
    </row>
    <row r="25" spans="1:1">
      <c r="A25" s="135" t="s">
        <v>359</v>
      </c>
    </row>
    <row r="26" spans="1:1">
      <c r="A26" s="135" t="s">
        <v>373</v>
      </c>
    </row>
    <row r="27" spans="1:1">
      <c r="A27" s="135" t="s">
        <v>374</v>
      </c>
    </row>
    <row r="28" spans="1:1">
      <c r="A28" s="135" t="s">
        <v>375</v>
      </c>
    </row>
    <row r="29" spans="1:1">
      <c r="A29" s="135" t="s">
        <v>376</v>
      </c>
    </row>
    <row r="30" spans="1:1">
      <c r="A30" s="135" t="s">
        <v>377</v>
      </c>
    </row>
    <row r="31" spans="1:1">
      <c r="A31" s="135" t="s">
        <v>378</v>
      </c>
    </row>
    <row r="33" spans="1:1">
      <c r="A33" s="135" t="s">
        <v>379</v>
      </c>
    </row>
    <row r="34" spans="1:1">
      <c r="A34" s="135" t="s">
        <v>367</v>
      </c>
    </row>
    <row r="35" spans="1:1">
      <c r="A35" s="135" t="s">
        <v>380</v>
      </c>
    </row>
    <row r="36" spans="1:1">
      <c r="A36" s="135" t="s">
        <v>381</v>
      </c>
    </row>
    <row r="37" spans="1:1">
      <c r="A37" s="135" t="s">
        <v>382</v>
      </c>
    </row>
    <row r="38" spans="1:1">
      <c r="A38" s="135" t="s">
        <v>383</v>
      </c>
    </row>
    <row r="39" spans="1:1">
      <c r="A39" s="135" t="s">
        <v>358</v>
      </c>
    </row>
    <row r="40" spans="1:1">
      <c r="A40" s="135" t="s">
        <v>384</v>
      </c>
    </row>
    <row r="41" spans="1:1">
      <c r="A41" s="135" t="s">
        <v>385</v>
      </c>
    </row>
    <row r="42" spans="1:1">
      <c r="A42" s="135" t="s">
        <v>386</v>
      </c>
    </row>
    <row r="43" spans="1:1">
      <c r="A43" s="135" t="s">
        <v>387</v>
      </c>
    </row>
    <row r="44" spans="1:1">
      <c r="A44" s="135" t="s">
        <v>388</v>
      </c>
    </row>
    <row r="45" spans="1:1">
      <c r="A45" s="135" t="s">
        <v>389</v>
      </c>
    </row>
    <row r="46" spans="1:1">
      <c r="A46" s="135" t="s">
        <v>390</v>
      </c>
    </row>
    <row r="48" spans="1:1">
      <c r="A48" s="135" t="s">
        <v>391</v>
      </c>
    </row>
    <row r="49" spans="1:1">
      <c r="A49" s="135" t="s">
        <v>392</v>
      </c>
    </row>
    <row r="50" spans="1:1">
      <c r="A50" s="135" t="s">
        <v>393</v>
      </c>
    </row>
    <row r="51" spans="1:1">
      <c r="A51" s="135" t="s">
        <v>394</v>
      </c>
    </row>
    <row r="52" spans="1:1">
      <c r="A52" s="135" t="s">
        <v>395</v>
      </c>
    </row>
    <row r="53" spans="1:1">
      <c r="A53" s="135" t="s">
        <v>396</v>
      </c>
    </row>
    <row r="54" spans="1:1">
      <c r="A54" s="135" t="s">
        <v>397</v>
      </c>
    </row>
    <row r="55" spans="1:1">
      <c r="A55" s="135" t="s">
        <v>398</v>
      </c>
    </row>
    <row r="56" spans="1:1">
      <c r="A56" s="135" t="s">
        <v>399</v>
      </c>
    </row>
    <row r="57" spans="1:1">
      <c r="A57" s="135" t="s">
        <v>400</v>
      </c>
    </row>
    <row r="58" spans="1:1">
      <c r="A58" s="135" t="s">
        <v>401</v>
      </c>
    </row>
    <row r="59" spans="1:1">
      <c r="A59" s="135" t="s">
        <v>402</v>
      </c>
    </row>
    <row r="60" spans="1:1">
      <c r="A60" s="135" t="s">
        <v>403</v>
      </c>
    </row>
    <row r="61" spans="1:1">
      <c r="A61" s="135" t="s">
        <v>404</v>
      </c>
    </row>
    <row r="63" spans="1:1">
      <c r="A63" s="135" t="s">
        <v>405</v>
      </c>
    </row>
    <row r="64" spans="1:1">
      <c r="A64" s="135" t="s">
        <v>367</v>
      </c>
    </row>
    <row r="65" spans="1:1">
      <c r="A65" s="135" t="s">
        <v>368</v>
      </c>
    </row>
    <row r="66" spans="1:1">
      <c r="A66" s="135" t="s">
        <v>369</v>
      </c>
    </row>
    <row r="67" spans="1:1">
      <c r="A67" s="135" t="s">
        <v>406</v>
      </c>
    </row>
    <row r="68" spans="1:1">
      <c r="A68" s="135" t="s">
        <v>407</v>
      </c>
    </row>
    <row r="69" spans="1:1">
      <c r="A69" s="135" t="s">
        <v>408</v>
      </c>
    </row>
    <row r="70" spans="1:1">
      <c r="A70" s="135" t="s">
        <v>409</v>
      </c>
    </row>
    <row r="71" spans="1:1">
      <c r="A71" s="135" t="s">
        <v>410</v>
      </c>
    </row>
    <row r="72" spans="1:1">
      <c r="A72" s="135" t="s">
        <v>411</v>
      </c>
    </row>
    <row r="73" spans="1:1">
      <c r="A73" s="135" t="s">
        <v>412</v>
      </c>
    </row>
    <row r="74" spans="1:1">
      <c r="A74" s="135" t="s">
        <v>413</v>
      </c>
    </row>
    <row r="75" spans="1:1">
      <c r="A75" s="135" t="s">
        <v>414</v>
      </c>
    </row>
    <row r="76" spans="1:1">
      <c r="A76" s="135" t="s">
        <v>378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3.2"/>
  <sheetData>
    <row r="1" spans="1:1">
      <c r="A1" t="s">
        <v>275</v>
      </c>
    </row>
  </sheetData>
  <phoneticPr fontId="7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42"/>
  <sheetViews>
    <sheetView topLeftCell="Q1" zoomScale="85" zoomScaleNormal="85" workbookViewId="0">
      <selection activeCell="W4" sqref="W4"/>
    </sheetView>
  </sheetViews>
  <sheetFormatPr defaultRowHeight="13.2"/>
  <cols>
    <col min="1" max="1" width="6.6640625" style="182" customWidth="1"/>
    <col min="2" max="17" width="8.44140625" style="198" bestFit="1" customWidth="1"/>
    <col min="18" max="18" width="9.88671875" style="189" bestFit="1" customWidth="1"/>
    <col min="19" max="19" width="9.88671875" style="199" bestFit="1" customWidth="1"/>
    <col min="20" max="22" width="8.88671875" style="189"/>
    <col min="23" max="23" width="10.33203125" style="189" bestFit="1" customWidth="1"/>
    <col min="24" max="25" width="10.33203125" style="189" customWidth="1"/>
    <col min="26" max="26" width="6.5546875" style="198" bestFit="1" customWidth="1"/>
    <col min="27" max="27" width="13.33203125" style="198" bestFit="1" customWidth="1"/>
    <col min="28" max="28" width="48.109375" style="205" bestFit="1" customWidth="1"/>
    <col min="29" max="29" width="13.5546875" style="189" bestFit="1" customWidth="1"/>
    <col min="30" max="30" width="15.109375" style="189" bestFit="1" customWidth="1"/>
    <col min="31" max="31" width="8.88671875" style="207"/>
    <col min="32" max="16384" width="8.88671875" style="189"/>
  </cols>
  <sheetData>
    <row r="1" spans="1:31" s="184" customFormat="1" ht="13.8" thickBot="1">
      <c r="A1" s="182"/>
      <c r="B1" s="182">
        <v>0.5</v>
      </c>
      <c r="C1" s="182">
        <v>1</v>
      </c>
      <c r="D1" s="182">
        <v>1.5</v>
      </c>
      <c r="E1" s="182">
        <v>2</v>
      </c>
      <c r="F1" s="182">
        <v>2.5</v>
      </c>
      <c r="G1" s="182">
        <v>3</v>
      </c>
      <c r="H1" s="182">
        <v>3.5</v>
      </c>
      <c r="I1" s="182">
        <v>4</v>
      </c>
      <c r="J1" s="182">
        <v>4.5</v>
      </c>
      <c r="K1" s="182">
        <v>5</v>
      </c>
      <c r="L1" s="182">
        <v>5.5</v>
      </c>
      <c r="M1" s="182">
        <v>6</v>
      </c>
      <c r="N1" s="182">
        <v>6.5</v>
      </c>
      <c r="O1" s="182">
        <v>7</v>
      </c>
      <c r="P1" s="182">
        <v>7.5</v>
      </c>
      <c r="Q1" s="182">
        <v>8</v>
      </c>
      <c r="R1" s="182">
        <v>8.5</v>
      </c>
      <c r="S1" s="183">
        <v>9</v>
      </c>
      <c r="T1" s="184" t="s">
        <v>575</v>
      </c>
      <c r="Z1" s="182"/>
      <c r="AA1" s="182"/>
      <c r="AB1" s="204"/>
      <c r="AE1" s="206"/>
    </row>
    <row r="2" spans="1:31">
      <c r="A2" s="182">
        <v>0</v>
      </c>
      <c r="B2" s="185">
        <v>1</v>
      </c>
      <c r="C2" s="186">
        <v>1</v>
      </c>
      <c r="D2" s="186">
        <v>1</v>
      </c>
      <c r="E2" s="186">
        <v>1</v>
      </c>
      <c r="F2" s="186">
        <v>1</v>
      </c>
      <c r="G2" s="186">
        <v>1</v>
      </c>
      <c r="H2" s="186">
        <v>1</v>
      </c>
      <c r="I2" s="186">
        <v>1</v>
      </c>
      <c r="J2" s="186">
        <v>1</v>
      </c>
      <c r="K2" s="186">
        <v>1</v>
      </c>
      <c r="L2" s="186">
        <v>1</v>
      </c>
      <c r="M2" s="186">
        <v>1</v>
      </c>
      <c r="N2" s="186">
        <v>1</v>
      </c>
      <c r="O2" s="186">
        <v>1</v>
      </c>
      <c r="P2" s="186">
        <v>1</v>
      </c>
      <c r="Q2" s="186">
        <v>1</v>
      </c>
      <c r="R2" s="187">
        <v>1</v>
      </c>
      <c r="S2" s="188">
        <v>1</v>
      </c>
    </row>
    <row r="3" spans="1:31">
      <c r="A3" s="182">
        <v>2.5</v>
      </c>
      <c r="B3" s="190">
        <v>1</v>
      </c>
      <c r="C3" s="191">
        <v>1</v>
      </c>
      <c r="D3" s="191">
        <v>1</v>
      </c>
      <c r="E3" s="191">
        <v>1</v>
      </c>
      <c r="F3" s="191">
        <v>1</v>
      </c>
      <c r="G3" s="191">
        <v>1</v>
      </c>
      <c r="H3" s="191">
        <v>1</v>
      </c>
      <c r="I3" s="191">
        <v>1</v>
      </c>
      <c r="J3" s="191">
        <v>1</v>
      </c>
      <c r="K3" s="191">
        <v>1</v>
      </c>
      <c r="L3" s="191">
        <v>1</v>
      </c>
      <c r="M3" s="191">
        <v>1</v>
      </c>
      <c r="N3" s="191">
        <v>1</v>
      </c>
      <c r="O3" s="191">
        <v>1</v>
      </c>
      <c r="P3" s="191">
        <v>1</v>
      </c>
      <c r="Q3" s="191">
        <v>1</v>
      </c>
      <c r="R3" s="192">
        <v>1</v>
      </c>
      <c r="S3" s="193">
        <v>1</v>
      </c>
    </row>
    <row r="4" spans="1:31">
      <c r="A4" s="182">
        <v>5</v>
      </c>
      <c r="B4" s="190">
        <f t="shared" ref="B4:B38" si="0">B3-0.025</f>
        <v>0.97499999999999998</v>
      </c>
      <c r="C4" s="191">
        <v>1</v>
      </c>
      <c r="D4" s="191">
        <v>1</v>
      </c>
      <c r="E4" s="191">
        <v>1</v>
      </c>
      <c r="F4" s="191">
        <v>1</v>
      </c>
      <c r="G4" s="191">
        <v>1</v>
      </c>
      <c r="H4" s="191">
        <v>1</v>
      </c>
      <c r="I4" s="191">
        <v>1</v>
      </c>
      <c r="J4" s="191">
        <v>1</v>
      </c>
      <c r="K4" s="191">
        <v>1</v>
      </c>
      <c r="L4" s="191">
        <v>1</v>
      </c>
      <c r="M4" s="191">
        <v>1</v>
      </c>
      <c r="N4" s="191">
        <v>1</v>
      </c>
      <c r="O4" s="191">
        <v>1</v>
      </c>
      <c r="P4" s="191">
        <v>1</v>
      </c>
      <c r="Q4" s="191">
        <v>1</v>
      </c>
      <c r="R4" s="192">
        <v>1</v>
      </c>
      <c r="S4" s="193">
        <v>1</v>
      </c>
    </row>
    <row r="5" spans="1:31">
      <c r="A5" s="182">
        <v>7.5</v>
      </c>
      <c r="B5" s="190">
        <f>B4-0.025</f>
        <v>0.95</v>
      </c>
      <c r="C5" s="191">
        <f t="shared" ref="C5:P20" si="1">C4-0.025</f>
        <v>0.97499999999999998</v>
      </c>
      <c r="D5" s="191">
        <v>1</v>
      </c>
      <c r="E5" s="191">
        <v>1</v>
      </c>
      <c r="F5" s="191">
        <v>1</v>
      </c>
      <c r="G5" s="191">
        <v>1</v>
      </c>
      <c r="H5" s="191">
        <v>1</v>
      </c>
      <c r="I5" s="191">
        <v>1</v>
      </c>
      <c r="J5" s="191">
        <v>1</v>
      </c>
      <c r="K5" s="191">
        <v>1</v>
      </c>
      <c r="L5" s="191">
        <v>1</v>
      </c>
      <c r="M5" s="191">
        <v>1</v>
      </c>
      <c r="N5" s="191">
        <v>1</v>
      </c>
      <c r="O5" s="191">
        <v>1</v>
      </c>
      <c r="P5" s="191">
        <v>1</v>
      </c>
      <c r="Q5" s="191">
        <v>1</v>
      </c>
      <c r="R5" s="192">
        <v>1</v>
      </c>
      <c r="S5" s="193">
        <v>1</v>
      </c>
      <c r="Z5" s="203" t="s">
        <v>577</v>
      </c>
    </row>
    <row r="6" spans="1:31">
      <c r="A6" s="182">
        <v>10</v>
      </c>
      <c r="B6" s="190">
        <f t="shared" si="0"/>
        <v>0.92499999999999993</v>
      </c>
      <c r="C6" s="191">
        <f t="shared" si="1"/>
        <v>0.95</v>
      </c>
      <c r="D6" s="191">
        <f t="shared" si="1"/>
        <v>0.97499999999999998</v>
      </c>
      <c r="E6" s="191">
        <v>1</v>
      </c>
      <c r="F6" s="191">
        <v>1</v>
      </c>
      <c r="G6" s="191">
        <v>1</v>
      </c>
      <c r="H6" s="191">
        <v>1</v>
      </c>
      <c r="I6" s="191">
        <v>1</v>
      </c>
      <c r="J6" s="191">
        <v>1</v>
      </c>
      <c r="K6" s="191">
        <v>1</v>
      </c>
      <c r="L6" s="191">
        <v>1</v>
      </c>
      <c r="M6" s="191">
        <v>1</v>
      </c>
      <c r="N6" s="191">
        <v>1</v>
      </c>
      <c r="O6" s="191">
        <v>1</v>
      </c>
      <c r="P6" s="191">
        <v>1</v>
      </c>
      <c r="Q6" s="191">
        <v>1</v>
      </c>
      <c r="R6" s="192">
        <v>1</v>
      </c>
      <c r="S6" s="193">
        <v>1</v>
      </c>
      <c r="V6" s="202" t="s">
        <v>582</v>
      </c>
      <c r="W6" s="202" t="s">
        <v>581</v>
      </c>
      <c r="Z6" s="203" t="s">
        <v>576</v>
      </c>
      <c r="AA6" s="189" t="str">
        <f>CONCATENATE("[th]",V6,"[/th]")</f>
        <v>[th]Classic[/th]</v>
      </c>
      <c r="AB6" s="189" t="str">
        <f>CONCATENATE("[td]",W6," %[/td]")</f>
        <v>[td]sqrt(X)/sqrt(max(x)) %[/td]</v>
      </c>
      <c r="AC6" s="208" t="s">
        <v>578</v>
      </c>
    </row>
    <row r="7" spans="1:31">
      <c r="A7" s="182">
        <v>12.5</v>
      </c>
      <c r="B7" s="190">
        <f t="shared" si="0"/>
        <v>0.89999999999999991</v>
      </c>
      <c r="C7" s="191">
        <f t="shared" si="1"/>
        <v>0.92499999999999993</v>
      </c>
      <c r="D7" s="191">
        <f t="shared" si="1"/>
        <v>0.95</v>
      </c>
      <c r="E7" s="191">
        <f t="shared" si="1"/>
        <v>0.97499999999999998</v>
      </c>
      <c r="F7" s="191">
        <v>1</v>
      </c>
      <c r="G7" s="191">
        <v>1</v>
      </c>
      <c r="H7" s="191">
        <v>1</v>
      </c>
      <c r="I7" s="191">
        <v>1</v>
      </c>
      <c r="J7" s="191">
        <v>1</v>
      </c>
      <c r="K7" s="191">
        <v>1</v>
      </c>
      <c r="L7" s="191">
        <v>1</v>
      </c>
      <c r="M7" s="191">
        <v>1</v>
      </c>
      <c r="N7" s="191">
        <v>1</v>
      </c>
      <c r="O7" s="191">
        <v>1</v>
      </c>
      <c r="P7" s="191">
        <v>1</v>
      </c>
      <c r="Q7" s="191">
        <v>1</v>
      </c>
      <c r="R7" s="192">
        <v>1</v>
      </c>
      <c r="S7" s="193">
        <v>1</v>
      </c>
      <c r="V7" s="202" t="s">
        <v>583</v>
      </c>
      <c r="W7" s="202" t="s">
        <v>580</v>
      </c>
      <c r="Z7" s="203" t="s">
        <v>576</v>
      </c>
      <c r="AA7" s="189" t="str">
        <f>CONCATENATE("[th]",V7,"[/th]")</f>
        <v>[th]HO[/th]</v>
      </c>
      <c r="AB7" s="189" t="str">
        <f t="shared" ref="AB7:AB8" si="2">CONCATENATE("[td]",W7," %[/td]")</f>
        <v>[td]((stamina+6.5)/14)^0.6  %[/td]</v>
      </c>
      <c r="AC7" s="208" t="s">
        <v>578</v>
      </c>
    </row>
    <row r="8" spans="1:31">
      <c r="A8" s="182">
        <v>15</v>
      </c>
      <c r="B8" s="190">
        <f t="shared" si="0"/>
        <v>0.87499999999999989</v>
      </c>
      <c r="C8" s="191">
        <f t="shared" si="1"/>
        <v>0.89999999999999991</v>
      </c>
      <c r="D8" s="191">
        <f t="shared" si="1"/>
        <v>0.92499999999999993</v>
      </c>
      <c r="E8" s="191">
        <f t="shared" si="1"/>
        <v>0.95</v>
      </c>
      <c r="F8" s="191">
        <f t="shared" si="1"/>
        <v>0.97499999999999998</v>
      </c>
      <c r="G8" s="191">
        <v>1</v>
      </c>
      <c r="H8" s="191">
        <v>1</v>
      </c>
      <c r="I8" s="191">
        <v>1</v>
      </c>
      <c r="J8" s="191">
        <v>1</v>
      </c>
      <c r="K8" s="191">
        <v>1</v>
      </c>
      <c r="L8" s="191">
        <v>1</v>
      </c>
      <c r="M8" s="191">
        <v>1</v>
      </c>
      <c r="N8" s="191">
        <v>1</v>
      </c>
      <c r="O8" s="191">
        <v>1</v>
      </c>
      <c r="P8" s="191">
        <v>1</v>
      </c>
      <c r="Q8" s="191">
        <v>1</v>
      </c>
      <c r="R8" s="192">
        <v>1</v>
      </c>
      <c r="S8" s="193">
        <v>1</v>
      </c>
      <c r="V8" s="202" t="s">
        <v>584</v>
      </c>
      <c r="W8" s="202" t="s">
        <v>585</v>
      </c>
      <c r="Z8" s="203" t="s">
        <v>576</v>
      </c>
      <c r="AA8" s="189" t="str">
        <f>CONCATENATE("[th]",V8,"[/th]")</f>
        <v>[th]Table[/th]</v>
      </c>
      <c r="AB8" s="189" t="str">
        <f t="shared" si="2"/>
        <v>[td]sum(minutes-step-2.5)/sum(step-2.5-at-100%) %[/td]</v>
      </c>
      <c r="AC8" s="208" t="s">
        <v>578</v>
      </c>
    </row>
    <row r="9" spans="1:31">
      <c r="A9" s="182">
        <v>17.5</v>
      </c>
      <c r="B9" s="190">
        <f t="shared" si="0"/>
        <v>0.84999999999999987</v>
      </c>
      <c r="C9" s="191">
        <f t="shared" si="1"/>
        <v>0.87499999999999989</v>
      </c>
      <c r="D9" s="191">
        <f t="shared" si="1"/>
        <v>0.89999999999999991</v>
      </c>
      <c r="E9" s="191">
        <f t="shared" si="1"/>
        <v>0.92499999999999993</v>
      </c>
      <c r="F9" s="191">
        <f t="shared" si="1"/>
        <v>0.95</v>
      </c>
      <c r="G9" s="191">
        <f t="shared" si="1"/>
        <v>0.97499999999999998</v>
      </c>
      <c r="H9" s="191">
        <v>1</v>
      </c>
      <c r="I9" s="191">
        <v>1</v>
      </c>
      <c r="J9" s="191">
        <v>1</v>
      </c>
      <c r="K9" s="191">
        <v>1</v>
      </c>
      <c r="L9" s="191">
        <v>1</v>
      </c>
      <c r="M9" s="191">
        <v>1</v>
      </c>
      <c r="N9" s="191">
        <v>1</v>
      </c>
      <c r="O9" s="191">
        <v>1</v>
      </c>
      <c r="P9" s="191">
        <v>1</v>
      </c>
      <c r="Q9" s="191">
        <v>1</v>
      </c>
      <c r="R9" s="192">
        <v>1</v>
      </c>
      <c r="S9" s="193">
        <v>1</v>
      </c>
      <c r="Z9" s="203" t="s">
        <v>579</v>
      </c>
    </row>
    <row r="10" spans="1:31">
      <c r="A10" s="182">
        <v>20</v>
      </c>
      <c r="B10" s="190">
        <f t="shared" si="0"/>
        <v>0.82499999999999984</v>
      </c>
      <c r="C10" s="191">
        <f t="shared" si="1"/>
        <v>0.84999999999999987</v>
      </c>
      <c r="D10" s="191">
        <f t="shared" si="1"/>
        <v>0.87499999999999989</v>
      </c>
      <c r="E10" s="191">
        <f t="shared" si="1"/>
        <v>0.89999999999999991</v>
      </c>
      <c r="F10" s="191">
        <f t="shared" si="1"/>
        <v>0.92499999999999993</v>
      </c>
      <c r="G10" s="191">
        <f t="shared" si="1"/>
        <v>0.95</v>
      </c>
      <c r="H10" s="191">
        <f t="shared" si="1"/>
        <v>0.97499999999999998</v>
      </c>
      <c r="I10" s="191">
        <v>1</v>
      </c>
      <c r="J10" s="191">
        <v>1</v>
      </c>
      <c r="K10" s="191">
        <v>1</v>
      </c>
      <c r="L10" s="191">
        <v>1</v>
      </c>
      <c r="M10" s="191">
        <v>1</v>
      </c>
      <c r="N10" s="191">
        <v>1</v>
      </c>
      <c r="O10" s="191">
        <v>1</v>
      </c>
      <c r="P10" s="191">
        <v>1</v>
      </c>
      <c r="Q10" s="191">
        <v>1</v>
      </c>
      <c r="R10" s="192">
        <v>1</v>
      </c>
      <c r="S10" s="193">
        <v>1</v>
      </c>
      <c r="V10" s="198"/>
      <c r="W10" s="198"/>
      <c r="X10" s="198"/>
      <c r="Y10" s="198"/>
      <c r="Z10" s="205"/>
      <c r="AA10" s="189"/>
      <c r="AB10" s="189"/>
      <c r="AC10" s="207"/>
    </row>
    <row r="11" spans="1:31">
      <c r="A11" s="182">
        <v>22.5</v>
      </c>
      <c r="B11" s="190">
        <f t="shared" si="0"/>
        <v>0.79999999999999982</v>
      </c>
      <c r="C11" s="191">
        <f t="shared" si="1"/>
        <v>0.82499999999999984</v>
      </c>
      <c r="D11" s="191">
        <f t="shared" si="1"/>
        <v>0.84999999999999987</v>
      </c>
      <c r="E11" s="191">
        <f t="shared" si="1"/>
        <v>0.87499999999999989</v>
      </c>
      <c r="F11" s="191">
        <f t="shared" si="1"/>
        <v>0.89999999999999991</v>
      </c>
      <c r="G11" s="191">
        <f t="shared" si="1"/>
        <v>0.92499999999999993</v>
      </c>
      <c r="H11" s="191">
        <f t="shared" si="1"/>
        <v>0.95</v>
      </c>
      <c r="I11" s="191">
        <f t="shared" si="1"/>
        <v>0.97499999999999998</v>
      </c>
      <c r="J11" s="191">
        <v>1</v>
      </c>
      <c r="K11" s="191">
        <v>1</v>
      </c>
      <c r="L11" s="191">
        <v>1</v>
      </c>
      <c r="M11" s="191">
        <v>1</v>
      </c>
      <c r="N11" s="191">
        <v>1</v>
      </c>
      <c r="O11" s="191">
        <v>1</v>
      </c>
      <c r="P11" s="191">
        <v>1</v>
      </c>
      <c r="Q11" s="191">
        <v>1</v>
      </c>
      <c r="R11" s="192">
        <v>1</v>
      </c>
      <c r="S11" s="193">
        <v>1</v>
      </c>
      <c r="V11" s="198"/>
      <c r="W11" s="198"/>
      <c r="X11" s="198"/>
      <c r="Y11" s="198"/>
      <c r="Z11" s="203" t="s">
        <v>577</v>
      </c>
      <c r="AA11" s="189"/>
      <c r="AB11" s="189"/>
      <c r="AC11" s="207"/>
    </row>
    <row r="12" spans="1:31">
      <c r="A12" s="182">
        <v>25</v>
      </c>
      <c r="B12" s="190">
        <f t="shared" si="0"/>
        <v>0.7749999999999998</v>
      </c>
      <c r="C12" s="191">
        <f t="shared" si="1"/>
        <v>0.79999999999999982</v>
      </c>
      <c r="D12" s="191">
        <f t="shared" si="1"/>
        <v>0.82499999999999984</v>
      </c>
      <c r="E12" s="191">
        <f t="shared" si="1"/>
        <v>0.84999999999999987</v>
      </c>
      <c r="F12" s="191">
        <f t="shared" si="1"/>
        <v>0.87499999999999989</v>
      </c>
      <c r="G12" s="191">
        <f t="shared" si="1"/>
        <v>0.89999999999999991</v>
      </c>
      <c r="H12" s="191">
        <f t="shared" si="1"/>
        <v>0.92499999999999993</v>
      </c>
      <c r="I12" s="191">
        <f t="shared" si="1"/>
        <v>0.95</v>
      </c>
      <c r="J12" s="191">
        <f t="shared" si="1"/>
        <v>0.97499999999999998</v>
      </c>
      <c r="K12" s="191">
        <v>1</v>
      </c>
      <c r="L12" s="191">
        <v>1</v>
      </c>
      <c r="M12" s="191">
        <v>1</v>
      </c>
      <c r="N12" s="191">
        <v>1</v>
      </c>
      <c r="O12" s="191">
        <v>1</v>
      </c>
      <c r="P12" s="191">
        <v>1</v>
      </c>
      <c r="Q12" s="191">
        <v>1</v>
      </c>
      <c r="R12" s="192">
        <v>1</v>
      </c>
      <c r="S12" s="193">
        <v>1</v>
      </c>
      <c r="V12" s="182" t="s">
        <v>586</v>
      </c>
      <c r="W12" s="182" t="s">
        <v>587</v>
      </c>
      <c r="X12" s="182" t="s">
        <v>588</v>
      </c>
      <c r="Y12" s="182" t="s">
        <v>589</v>
      </c>
      <c r="Z12" s="203" t="s">
        <v>576</v>
      </c>
      <c r="AA12" s="189" t="str">
        <f>CONCATENATE("[th]",V12,"[/th]")</f>
        <v>[th]Stamina[/th]</v>
      </c>
      <c r="AB12" s="189" t="str">
        <f>CONCATENATE("[th]",W12,"[/th]")</f>
        <v>[th]P (classic)[/th]</v>
      </c>
      <c r="AC12" s="189" t="str">
        <f t="shared" ref="AC12" si="3">CONCATENATE("[th]",X12,"[/th]")</f>
        <v>[th]P (HO)[/th]</v>
      </c>
      <c r="AD12" s="189" t="str">
        <f>CONCATENATE("[th]",Y12,"[/th]")</f>
        <v>[th]P (table)[/th]</v>
      </c>
      <c r="AE12" s="208" t="s">
        <v>578</v>
      </c>
    </row>
    <row r="13" spans="1:31">
      <c r="A13" s="182">
        <v>27.5</v>
      </c>
      <c r="B13" s="190">
        <f t="shared" si="0"/>
        <v>0.74999999999999978</v>
      </c>
      <c r="C13" s="191">
        <f t="shared" si="1"/>
        <v>0.7749999999999998</v>
      </c>
      <c r="D13" s="191">
        <f t="shared" si="1"/>
        <v>0.79999999999999982</v>
      </c>
      <c r="E13" s="191">
        <f t="shared" si="1"/>
        <v>0.82499999999999984</v>
      </c>
      <c r="F13" s="191">
        <f t="shared" si="1"/>
        <v>0.84999999999999987</v>
      </c>
      <c r="G13" s="191">
        <f t="shared" si="1"/>
        <v>0.87499999999999989</v>
      </c>
      <c r="H13" s="191">
        <f t="shared" si="1"/>
        <v>0.89999999999999991</v>
      </c>
      <c r="I13" s="191">
        <f t="shared" si="1"/>
        <v>0.92499999999999993</v>
      </c>
      <c r="J13" s="191">
        <f t="shared" si="1"/>
        <v>0.95</v>
      </c>
      <c r="K13" s="191">
        <f t="shared" si="1"/>
        <v>0.97499999999999998</v>
      </c>
      <c r="L13" s="191">
        <v>1</v>
      </c>
      <c r="M13" s="191">
        <v>1</v>
      </c>
      <c r="N13" s="191">
        <v>1</v>
      </c>
      <c r="O13" s="191">
        <v>1</v>
      </c>
      <c r="P13" s="191">
        <v>1</v>
      </c>
      <c r="Q13" s="191">
        <v>1</v>
      </c>
      <c r="R13" s="192">
        <v>1</v>
      </c>
      <c r="S13" s="193">
        <v>1</v>
      </c>
      <c r="V13" s="200">
        <v>8.5</v>
      </c>
      <c r="W13" s="201">
        <f>SQRT(V13)/SQRT(8.5)</f>
        <v>1</v>
      </c>
      <c r="X13" s="201">
        <f>POWER((V13+6.5)/14,0.6)/POWER((15/14),0.6)</f>
        <v>1</v>
      </c>
      <c r="Y13" s="201">
        <f>R42</f>
        <v>1</v>
      </c>
      <c r="Z13" s="203" t="s">
        <v>576</v>
      </c>
      <c r="AA13" s="189" t="str">
        <f>CONCATENATE("[td]",V13,"[/td]")</f>
        <v>[td]8,5[/td]</v>
      </c>
      <c r="AB13" s="189" t="str">
        <f>CONCATENATE("[td]",TEXT((W13*100),"0,0")," %[/td]")</f>
        <v>[td]100,0 %[/td]</v>
      </c>
      <c r="AC13" s="189" t="str">
        <f t="shared" ref="AC13:AD28" si="4">CONCATENATE("[td]",TEXT((X13*100),"0,0")," %[/td]")</f>
        <v>[td]100,0 %[/td]</v>
      </c>
      <c r="AD13" s="189" t="str">
        <f t="shared" si="4"/>
        <v>[td]100,0 %[/td]</v>
      </c>
      <c r="AE13" s="208" t="s">
        <v>578</v>
      </c>
    </row>
    <row r="14" spans="1:31">
      <c r="A14" s="182">
        <v>30</v>
      </c>
      <c r="B14" s="190">
        <f t="shared" si="0"/>
        <v>0.72499999999999976</v>
      </c>
      <c r="C14" s="191">
        <f t="shared" si="1"/>
        <v>0.74999999999999978</v>
      </c>
      <c r="D14" s="191">
        <f t="shared" si="1"/>
        <v>0.7749999999999998</v>
      </c>
      <c r="E14" s="191">
        <f t="shared" si="1"/>
        <v>0.79999999999999982</v>
      </c>
      <c r="F14" s="191">
        <f t="shared" si="1"/>
        <v>0.82499999999999984</v>
      </c>
      <c r="G14" s="191">
        <f t="shared" si="1"/>
        <v>0.84999999999999987</v>
      </c>
      <c r="H14" s="191">
        <f t="shared" si="1"/>
        <v>0.87499999999999989</v>
      </c>
      <c r="I14" s="191">
        <f t="shared" si="1"/>
        <v>0.89999999999999991</v>
      </c>
      <c r="J14" s="191">
        <f t="shared" si="1"/>
        <v>0.92499999999999993</v>
      </c>
      <c r="K14" s="191">
        <f t="shared" si="1"/>
        <v>0.95</v>
      </c>
      <c r="L14" s="191">
        <f t="shared" si="1"/>
        <v>0.97499999999999998</v>
      </c>
      <c r="M14" s="191">
        <v>1</v>
      </c>
      <c r="N14" s="191">
        <v>1</v>
      </c>
      <c r="O14" s="191">
        <v>1</v>
      </c>
      <c r="P14" s="191">
        <v>1</v>
      </c>
      <c r="Q14" s="191">
        <v>1</v>
      </c>
      <c r="R14" s="192">
        <v>1</v>
      </c>
      <c r="S14" s="193">
        <v>1</v>
      </c>
      <c r="V14" s="200">
        <v>8</v>
      </c>
      <c r="W14" s="201">
        <f t="shared" ref="W14:W29" si="5">SQRT(V14)/SQRT(8.5)</f>
        <v>0.97014250014533188</v>
      </c>
      <c r="X14" s="201">
        <f t="shared" ref="X14:X29" si="6">POWER((V14+6.5)/14,0.6)/POWER((15/14),0.6)</f>
        <v>0.97986455014727314</v>
      </c>
      <c r="Y14" s="201">
        <f>Q42</f>
        <v>0.99121621621621614</v>
      </c>
      <c r="Z14" s="203" t="s">
        <v>576</v>
      </c>
      <c r="AA14" s="189" t="str">
        <f t="shared" ref="AA14:AA29" si="7">CONCATENATE("[td]",V14,"[/td]")</f>
        <v>[td]8[/td]</v>
      </c>
      <c r="AB14" s="189" t="str">
        <f t="shared" ref="AB14:AB29" si="8">CONCATENATE("[td]",TEXT((W14*100),"0,0")," %[/td]")</f>
        <v>[td]97,0 %[/td]</v>
      </c>
      <c r="AC14" s="189" t="str">
        <f t="shared" si="4"/>
        <v>[td]98,0 %[/td]</v>
      </c>
      <c r="AD14" s="189" t="str">
        <f t="shared" si="4"/>
        <v>[td]99,1 %[/td]</v>
      </c>
      <c r="AE14" s="208" t="s">
        <v>578</v>
      </c>
    </row>
    <row r="15" spans="1:31">
      <c r="A15" s="182">
        <v>32.5</v>
      </c>
      <c r="B15" s="190">
        <f t="shared" si="0"/>
        <v>0.69999999999999973</v>
      </c>
      <c r="C15" s="191">
        <f t="shared" si="1"/>
        <v>0.72499999999999976</v>
      </c>
      <c r="D15" s="191">
        <f t="shared" si="1"/>
        <v>0.74999999999999978</v>
      </c>
      <c r="E15" s="191">
        <f t="shared" si="1"/>
        <v>0.7749999999999998</v>
      </c>
      <c r="F15" s="191">
        <f t="shared" si="1"/>
        <v>0.79999999999999982</v>
      </c>
      <c r="G15" s="191">
        <f t="shared" si="1"/>
        <v>0.82499999999999984</v>
      </c>
      <c r="H15" s="191">
        <f t="shared" si="1"/>
        <v>0.84999999999999987</v>
      </c>
      <c r="I15" s="191">
        <f t="shared" si="1"/>
        <v>0.87499999999999989</v>
      </c>
      <c r="J15" s="191">
        <f t="shared" si="1"/>
        <v>0.89999999999999991</v>
      </c>
      <c r="K15" s="191">
        <f t="shared" si="1"/>
        <v>0.92499999999999993</v>
      </c>
      <c r="L15" s="191">
        <f t="shared" si="1"/>
        <v>0.95</v>
      </c>
      <c r="M15" s="191">
        <f t="shared" si="1"/>
        <v>0.97499999999999998</v>
      </c>
      <c r="N15" s="191">
        <v>1</v>
      </c>
      <c r="O15" s="191">
        <v>1</v>
      </c>
      <c r="P15" s="191">
        <v>1</v>
      </c>
      <c r="Q15" s="191">
        <v>1</v>
      </c>
      <c r="R15" s="192">
        <v>1</v>
      </c>
      <c r="S15" s="193">
        <v>1</v>
      </c>
      <c r="V15" s="200">
        <v>7.5</v>
      </c>
      <c r="W15" s="201">
        <f t="shared" si="5"/>
        <v>0.93933643662772415</v>
      </c>
      <c r="X15" s="201">
        <f t="shared" si="6"/>
        <v>0.95944937873158653</v>
      </c>
      <c r="Y15" s="201">
        <f>P42</f>
        <v>0.98175675675675689</v>
      </c>
      <c r="Z15" s="203" t="s">
        <v>576</v>
      </c>
      <c r="AA15" s="189" t="str">
        <f t="shared" si="7"/>
        <v>[td]7,5[/td]</v>
      </c>
      <c r="AB15" s="189" t="str">
        <f t="shared" si="8"/>
        <v>[td]93,9 %[/td]</v>
      </c>
      <c r="AC15" s="189" t="str">
        <f t="shared" si="4"/>
        <v>[td]95,9 %[/td]</v>
      </c>
      <c r="AD15" s="189" t="str">
        <f t="shared" si="4"/>
        <v>[td]98,2 %[/td]</v>
      </c>
      <c r="AE15" s="208" t="s">
        <v>578</v>
      </c>
    </row>
    <row r="16" spans="1:31">
      <c r="A16" s="182">
        <v>35</v>
      </c>
      <c r="B16" s="190">
        <f t="shared" si="0"/>
        <v>0.67499999999999971</v>
      </c>
      <c r="C16" s="191">
        <f t="shared" si="1"/>
        <v>0.69999999999999973</v>
      </c>
      <c r="D16" s="191">
        <f t="shared" si="1"/>
        <v>0.72499999999999976</v>
      </c>
      <c r="E16" s="191">
        <f t="shared" si="1"/>
        <v>0.74999999999999978</v>
      </c>
      <c r="F16" s="191">
        <f t="shared" si="1"/>
        <v>0.7749999999999998</v>
      </c>
      <c r="G16" s="191">
        <f t="shared" si="1"/>
        <v>0.79999999999999982</v>
      </c>
      <c r="H16" s="191">
        <f t="shared" si="1"/>
        <v>0.82499999999999984</v>
      </c>
      <c r="I16" s="191">
        <f t="shared" si="1"/>
        <v>0.84999999999999987</v>
      </c>
      <c r="J16" s="191">
        <f t="shared" si="1"/>
        <v>0.87499999999999989</v>
      </c>
      <c r="K16" s="191">
        <f t="shared" si="1"/>
        <v>0.89999999999999991</v>
      </c>
      <c r="L16" s="191">
        <f t="shared" si="1"/>
        <v>0.92499999999999993</v>
      </c>
      <c r="M16" s="191">
        <f t="shared" si="1"/>
        <v>0.95</v>
      </c>
      <c r="N16" s="191">
        <f t="shared" si="1"/>
        <v>0.97499999999999998</v>
      </c>
      <c r="O16" s="191">
        <v>1</v>
      </c>
      <c r="P16" s="191">
        <v>1</v>
      </c>
      <c r="Q16" s="191">
        <v>1</v>
      </c>
      <c r="R16" s="192">
        <v>1</v>
      </c>
      <c r="S16" s="193">
        <v>1</v>
      </c>
      <c r="V16" s="200">
        <v>7</v>
      </c>
      <c r="W16" s="201">
        <f t="shared" si="5"/>
        <v>0.9074852129730302</v>
      </c>
      <c r="X16" s="201">
        <f t="shared" si="6"/>
        <v>0.93874039335956949</v>
      </c>
      <c r="Y16" s="201">
        <f>O42</f>
        <v>0.9689189189189189</v>
      </c>
      <c r="Z16" s="203" t="s">
        <v>576</v>
      </c>
      <c r="AA16" s="189" t="str">
        <f t="shared" si="7"/>
        <v>[td]7[/td]</v>
      </c>
      <c r="AB16" s="189" t="str">
        <f t="shared" si="8"/>
        <v>[td]90,7 %[/td]</v>
      </c>
      <c r="AC16" s="189" t="str">
        <f t="shared" si="4"/>
        <v>[td]93,9 %[/td]</v>
      </c>
      <c r="AD16" s="189" t="str">
        <f t="shared" si="4"/>
        <v>[td]96,9 %[/td]</v>
      </c>
      <c r="AE16" s="208" t="s">
        <v>578</v>
      </c>
    </row>
    <row r="17" spans="1:31">
      <c r="A17" s="182">
        <v>37.5</v>
      </c>
      <c r="B17" s="190">
        <f t="shared" si="0"/>
        <v>0.64999999999999969</v>
      </c>
      <c r="C17" s="191">
        <f t="shared" si="1"/>
        <v>0.67499999999999971</v>
      </c>
      <c r="D17" s="191">
        <f t="shared" si="1"/>
        <v>0.69999999999999973</v>
      </c>
      <c r="E17" s="191">
        <f t="shared" si="1"/>
        <v>0.72499999999999976</v>
      </c>
      <c r="F17" s="191">
        <f t="shared" si="1"/>
        <v>0.74999999999999978</v>
      </c>
      <c r="G17" s="191">
        <f t="shared" si="1"/>
        <v>0.7749999999999998</v>
      </c>
      <c r="H17" s="191">
        <f t="shared" si="1"/>
        <v>0.79999999999999982</v>
      </c>
      <c r="I17" s="191">
        <f t="shared" si="1"/>
        <v>0.82499999999999984</v>
      </c>
      <c r="J17" s="191">
        <f t="shared" si="1"/>
        <v>0.84999999999999987</v>
      </c>
      <c r="K17" s="191">
        <f t="shared" si="1"/>
        <v>0.87499999999999989</v>
      </c>
      <c r="L17" s="191">
        <f t="shared" si="1"/>
        <v>0.89999999999999991</v>
      </c>
      <c r="M17" s="191">
        <f t="shared" si="1"/>
        <v>0.92499999999999993</v>
      </c>
      <c r="N17" s="191">
        <f t="shared" si="1"/>
        <v>0.95</v>
      </c>
      <c r="O17" s="191">
        <f t="shared" si="1"/>
        <v>0.97499999999999998</v>
      </c>
      <c r="P17" s="191">
        <v>1</v>
      </c>
      <c r="Q17" s="191">
        <v>1</v>
      </c>
      <c r="R17" s="192">
        <v>1</v>
      </c>
      <c r="S17" s="193">
        <v>1</v>
      </c>
      <c r="V17" s="200">
        <v>6.5</v>
      </c>
      <c r="W17" s="201">
        <f t="shared" si="5"/>
        <v>0.87447463219520616</v>
      </c>
      <c r="X17" s="201">
        <f t="shared" si="6"/>
        <v>0.91772223886856297</v>
      </c>
      <c r="Y17" s="201">
        <f>N42</f>
        <v>0.95270270270270252</v>
      </c>
      <c r="Z17" s="203" t="s">
        <v>576</v>
      </c>
      <c r="AA17" s="189" t="str">
        <f t="shared" si="7"/>
        <v>[td]6,5[/td]</v>
      </c>
      <c r="AB17" s="189" t="str">
        <f t="shared" si="8"/>
        <v>[td]87,4 %[/td]</v>
      </c>
      <c r="AC17" s="189" t="str">
        <f t="shared" si="4"/>
        <v>[td]91,8 %[/td]</v>
      </c>
      <c r="AD17" s="189" t="str">
        <f t="shared" si="4"/>
        <v>[td]95,3 %[/td]</v>
      </c>
      <c r="AE17" s="208" t="s">
        <v>578</v>
      </c>
    </row>
    <row r="18" spans="1:31">
      <c r="A18" s="182">
        <v>40</v>
      </c>
      <c r="B18" s="190">
        <f t="shared" si="0"/>
        <v>0.62499999999999967</v>
      </c>
      <c r="C18" s="191">
        <f t="shared" si="1"/>
        <v>0.64999999999999969</v>
      </c>
      <c r="D18" s="191">
        <f t="shared" si="1"/>
        <v>0.67499999999999971</v>
      </c>
      <c r="E18" s="191">
        <f t="shared" si="1"/>
        <v>0.69999999999999973</v>
      </c>
      <c r="F18" s="191">
        <f t="shared" si="1"/>
        <v>0.72499999999999976</v>
      </c>
      <c r="G18" s="191">
        <f t="shared" si="1"/>
        <v>0.74999999999999978</v>
      </c>
      <c r="H18" s="191">
        <f t="shared" si="1"/>
        <v>0.7749999999999998</v>
      </c>
      <c r="I18" s="191">
        <f t="shared" si="1"/>
        <v>0.79999999999999982</v>
      </c>
      <c r="J18" s="191">
        <f t="shared" si="1"/>
        <v>0.82499999999999984</v>
      </c>
      <c r="K18" s="191">
        <f t="shared" si="1"/>
        <v>0.84999999999999987</v>
      </c>
      <c r="L18" s="191">
        <f t="shared" si="1"/>
        <v>0.87499999999999989</v>
      </c>
      <c r="M18" s="191">
        <f t="shared" si="1"/>
        <v>0.89999999999999991</v>
      </c>
      <c r="N18" s="191">
        <f t="shared" si="1"/>
        <v>0.92499999999999993</v>
      </c>
      <c r="O18" s="191">
        <f t="shared" si="1"/>
        <v>0.95</v>
      </c>
      <c r="P18" s="191">
        <f t="shared" si="1"/>
        <v>0.97499999999999998</v>
      </c>
      <c r="Q18" s="191">
        <v>1</v>
      </c>
      <c r="R18" s="192">
        <v>1</v>
      </c>
      <c r="S18" s="193">
        <v>1</v>
      </c>
      <c r="V18" s="200">
        <v>6</v>
      </c>
      <c r="W18" s="201">
        <f t="shared" si="5"/>
        <v>0.84016805041680576</v>
      </c>
      <c r="X18" s="201">
        <f t="shared" si="6"/>
        <v>0.8963781307771419</v>
      </c>
      <c r="Y18" s="201">
        <f>M42</f>
        <v>0.93310810810810829</v>
      </c>
      <c r="Z18" s="203" t="s">
        <v>576</v>
      </c>
      <c r="AA18" s="189" t="str">
        <f t="shared" si="7"/>
        <v>[td]6[/td]</v>
      </c>
      <c r="AB18" s="189" t="str">
        <f t="shared" si="8"/>
        <v>[td]84,0 %[/td]</v>
      </c>
      <c r="AC18" s="189" t="str">
        <f t="shared" si="4"/>
        <v>[td]89,6 %[/td]</v>
      </c>
      <c r="AD18" s="189" t="str">
        <f t="shared" si="4"/>
        <v>[td]93,3 %[/td]</v>
      </c>
      <c r="AE18" s="208" t="s">
        <v>578</v>
      </c>
    </row>
    <row r="19" spans="1:31">
      <c r="A19" s="182">
        <v>42.5</v>
      </c>
      <c r="B19" s="190">
        <f t="shared" si="0"/>
        <v>0.59999999999999964</v>
      </c>
      <c r="C19" s="191">
        <f t="shared" si="1"/>
        <v>0.62499999999999967</v>
      </c>
      <c r="D19" s="191">
        <f t="shared" si="1"/>
        <v>0.64999999999999969</v>
      </c>
      <c r="E19" s="191">
        <f t="shared" si="1"/>
        <v>0.67499999999999971</v>
      </c>
      <c r="F19" s="191">
        <f t="shared" si="1"/>
        <v>0.69999999999999973</v>
      </c>
      <c r="G19" s="191">
        <f t="shared" si="1"/>
        <v>0.72499999999999976</v>
      </c>
      <c r="H19" s="191">
        <f t="shared" si="1"/>
        <v>0.74999999999999978</v>
      </c>
      <c r="I19" s="191">
        <f t="shared" si="1"/>
        <v>0.7749999999999998</v>
      </c>
      <c r="J19" s="191">
        <f t="shared" si="1"/>
        <v>0.79999999999999982</v>
      </c>
      <c r="K19" s="191">
        <f t="shared" si="1"/>
        <v>0.82499999999999984</v>
      </c>
      <c r="L19" s="191">
        <f t="shared" si="1"/>
        <v>0.84999999999999987</v>
      </c>
      <c r="M19" s="191">
        <f t="shared" si="1"/>
        <v>0.87499999999999989</v>
      </c>
      <c r="N19" s="191">
        <f t="shared" si="1"/>
        <v>0.89999999999999991</v>
      </c>
      <c r="O19" s="191">
        <f t="shared" si="1"/>
        <v>0.92499999999999993</v>
      </c>
      <c r="P19" s="191">
        <f t="shared" si="1"/>
        <v>0.95</v>
      </c>
      <c r="Q19" s="191">
        <f>Q18-0.025</f>
        <v>0.97499999999999998</v>
      </c>
      <c r="R19" s="192">
        <v>1</v>
      </c>
      <c r="S19" s="193">
        <v>1</v>
      </c>
      <c r="V19" s="200">
        <v>5.5</v>
      </c>
      <c r="W19" s="201">
        <f t="shared" si="5"/>
        <v>0.80439966653984374</v>
      </c>
      <c r="X19" s="201">
        <f t="shared" si="6"/>
        <v>0.87468965915462238</v>
      </c>
      <c r="Y19" s="201">
        <f>L42</f>
        <v>0.91013513513513511</v>
      </c>
      <c r="Z19" s="203" t="s">
        <v>576</v>
      </c>
      <c r="AA19" s="189" t="str">
        <f t="shared" si="7"/>
        <v>[td]5,5[/td]</v>
      </c>
      <c r="AB19" s="189" t="str">
        <f t="shared" si="8"/>
        <v>[td]80,4 %[/td]</v>
      </c>
      <c r="AC19" s="189" t="str">
        <f t="shared" si="4"/>
        <v>[td]87,5 %[/td]</v>
      </c>
      <c r="AD19" s="189" t="str">
        <f t="shared" si="4"/>
        <v>[td]91,0 %[/td]</v>
      </c>
      <c r="AE19" s="208" t="s">
        <v>578</v>
      </c>
    </row>
    <row r="20" spans="1:31" ht="13.8" thickBot="1">
      <c r="A20" s="182">
        <v>45</v>
      </c>
      <c r="B20" s="194">
        <f t="shared" si="0"/>
        <v>0.57499999999999962</v>
      </c>
      <c r="C20" s="195">
        <f t="shared" si="1"/>
        <v>0.59999999999999964</v>
      </c>
      <c r="D20" s="195">
        <f t="shared" si="1"/>
        <v>0.62499999999999967</v>
      </c>
      <c r="E20" s="195">
        <f t="shared" si="1"/>
        <v>0.64999999999999969</v>
      </c>
      <c r="F20" s="195">
        <f t="shared" si="1"/>
        <v>0.67499999999999971</v>
      </c>
      <c r="G20" s="195">
        <f t="shared" si="1"/>
        <v>0.69999999999999973</v>
      </c>
      <c r="H20" s="195">
        <f t="shared" si="1"/>
        <v>0.72499999999999976</v>
      </c>
      <c r="I20" s="195">
        <f t="shared" si="1"/>
        <v>0.74999999999999978</v>
      </c>
      <c r="J20" s="195">
        <f t="shared" si="1"/>
        <v>0.7749999999999998</v>
      </c>
      <c r="K20" s="195">
        <f t="shared" si="1"/>
        <v>0.79999999999999982</v>
      </c>
      <c r="L20" s="195">
        <f t="shared" si="1"/>
        <v>0.82499999999999984</v>
      </c>
      <c r="M20" s="195">
        <f t="shared" si="1"/>
        <v>0.84999999999999987</v>
      </c>
      <c r="N20" s="195">
        <f t="shared" si="1"/>
        <v>0.87499999999999989</v>
      </c>
      <c r="O20" s="195">
        <f t="shared" si="1"/>
        <v>0.89999999999999991</v>
      </c>
      <c r="P20" s="195">
        <f t="shared" si="1"/>
        <v>0.92499999999999993</v>
      </c>
      <c r="Q20" s="195">
        <f>Q19-0.025</f>
        <v>0.95</v>
      </c>
      <c r="R20" s="196">
        <v>1</v>
      </c>
      <c r="S20" s="197">
        <v>1</v>
      </c>
      <c r="V20" s="200">
        <v>5</v>
      </c>
      <c r="W20" s="201">
        <f t="shared" si="5"/>
        <v>0.76696498884737041</v>
      </c>
      <c r="X20" s="201">
        <f t="shared" si="6"/>
        <v>0.85263655618876089</v>
      </c>
      <c r="Y20" s="201">
        <f>K42</f>
        <v>0.88378378378378386</v>
      </c>
      <c r="Z20" s="203" t="s">
        <v>576</v>
      </c>
      <c r="AA20" s="189" t="str">
        <f t="shared" si="7"/>
        <v>[td]5[/td]</v>
      </c>
      <c r="AB20" s="189" t="str">
        <f t="shared" si="8"/>
        <v>[td]76,7 %[/td]</v>
      </c>
      <c r="AC20" s="189" t="str">
        <f t="shared" si="4"/>
        <v>[td]85,3 %[/td]</v>
      </c>
      <c r="AD20" s="189" t="str">
        <f t="shared" si="4"/>
        <v>[td]88,4 %[/td]</v>
      </c>
      <c r="AE20" s="208" t="s">
        <v>578</v>
      </c>
    </row>
    <row r="21" spans="1:31">
      <c r="A21" s="182">
        <v>47.5</v>
      </c>
      <c r="B21" s="190">
        <v>0.55000000000000004</v>
      </c>
      <c r="C21" s="191">
        <v>0.6</v>
      </c>
      <c r="D21" s="191">
        <v>0.65</v>
      </c>
      <c r="E21" s="191">
        <v>0.7</v>
      </c>
      <c r="F21" s="191">
        <v>0.75</v>
      </c>
      <c r="G21" s="191">
        <v>0.8</v>
      </c>
      <c r="H21" s="191">
        <v>0.85</v>
      </c>
      <c r="I21" s="191">
        <v>0.9</v>
      </c>
      <c r="J21" s="191">
        <v>0.95</v>
      </c>
      <c r="K21" s="191">
        <v>1</v>
      </c>
      <c r="L21" s="191">
        <v>1</v>
      </c>
      <c r="M21" s="191">
        <v>1</v>
      </c>
      <c r="N21" s="191">
        <v>1</v>
      </c>
      <c r="O21" s="191">
        <v>1</v>
      </c>
      <c r="P21" s="191">
        <v>1</v>
      </c>
      <c r="Q21" s="191">
        <v>1</v>
      </c>
      <c r="R21" s="192">
        <v>1</v>
      </c>
      <c r="S21" s="193">
        <v>1</v>
      </c>
      <c r="V21" s="200">
        <v>4.5</v>
      </c>
      <c r="W21" s="201">
        <f t="shared" si="5"/>
        <v>0.7276068751089988</v>
      </c>
      <c r="X21" s="201">
        <f t="shared" si="6"/>
        <v>0.83019641884114292</v>
      </c>
      <c r="Y21" s="201">
        <f>J42</f>
        <v>0.84189189189189184</v>
      </c>
      <c r="Z21" s="203" t="s">
        <v>576</v>
      </c>
      <c r="AA21" s="189" t="str">
        <f t="shared" si="7"/>
        <v>[td]4,5[/td]</v>
      </c>
      <c r="AB21" s="189" t="str">
        <f t="shared" si="8"/>
        <v>[td]72,8 %[/td]</v>
      </c>
      <c r="AC21" s="189" t="str">
        <f t="shared" si="4"/>
        <v>[td]83,0 %[/td]</v>
      </c>
      <c r="AD21" s="189" t="str">
        <f t="shared" si="4"/>
        <v>[td]84,2 %[/td]</v>
      </c>
      <c r="AE21" s="208" t="s">
        <v>578</v>
      </c>
    </row>
    <row r="22" spans="1:31">
      <c r="A22" s="182">
        <v>50</v>
      </c>
      <c r="B22" s="190">
        <v>0.6</v>
      </c>
      <c r="C22" s="191">
        <f t="shared" ref="C22:C30" si="9">C21-0.025</f>
        <v>0.57499999999999996</v>
      </c>
      <c r="D22" s="191">
        <f t="shared" ref="D22:D30" si="10">D21-0.025</f>
        <v>0.625</v>
      </c>
      <c r="E22" s="191">
        <f t="shared" ref="E22:E30" si="11">E21-0.025</f>
        <v>0.67499999999999993</v>
      </c>
      <c r="F22" s="191">
        <f t="shared" ref="F22:F30" si="12">F21-0.025</f>
        <v>0.72499999999999998</v>
      </c>
      <c r="G22" s="191">
        <f t="shared" ref="G22:G30" si="13">G21-0.025</f>
        <v>0.77500000000000002</v>
      </c>
      <c r="H22" s="191">
        <f t="shared" ref="H22:H30" si="14">H21-0.025</f>
        <v>0.82499999999999996</v>
      </c>
      <c r="I22" s="191">
        <f t="shared" ref="I22:I30" si="15">I21-0.025</f>
        <v>0.875</v>
      </c>
      <c r="J22" s="191">
        <f t="shared" ref="J22:J30" si="16">J21-0.025</f>
        <v>0.92499999999999993</v>
      </c>
      <c r="K22" s="191">
        <v>1</v>
      </c>
      <c r="L22" s="191">
        <v>1</v>
      </c>
      <c r="M22" s="191">
        <v>1</v>
      </c>
      <c r="N22" s="191">
        <v>1</v>
      </c>
      <c r="O22" s="191">
        <v>1</v>
      </c>
      <c r="P22" s="191">
        <v>1</v>
      </c>
      <c r="Q22" s="191">
        <v>1</v>
      </c>
      <c r="R22" s="192">
        <v>1</v>
      </c>
      <c r="S22" s="193">
        <v>1</v>
      </c>
      <c r="V22" s="200">
        <v>4</v>
      </c>
      <c r="W22" s="201">
        <f t="shared" si="5"/>
        <v>0.68599434057003528</v>
      </c>
      <c r="X22" s="201">
        <f t="shared" si="6"/>
        <v>0.8073443754472972</v>
      </c>
      <c r="Y22" s="201">
        <f>I42</f>
        <v>0.81081081081081063</v>
      </c>
      <c r="Z22" s="203" t="s">
        <v>576</v>
      </c>
      <c r="AA22" s="189" t="str">
        <f t="shared" si="7"/>
        <v>[td]4[/td]</v>
      </c>
      <c r="AB22" s="189" t="str">
        <f t="shared" si="8"/>
        <v>[td]68,6 %[/td]</v>
      </c>
      <c r="AC22" s="189" t="str">
        <f t="shared" si="4"/>
        <v>[td]80,7 %[/td]</v>
      </c>
      <c r="AD22" s="189" t="str">
        <f t="shared" si="4"/>
        <v>[td]81,1 %[/td]</v>
      </c>
      <c r="AE22" s="208" t="s">
        <v>578</v>
      </c>
    </row>
    <row r="23" spans="1:31">
      <c r="A23" s="182">
        <v>52.5</v>
      </c>
      <c r="B23" s="190">
        <f t="shared" si="0"/>
        <v>0.57499999999999996</v>
      </c>
      <c r="C23" s="191">
        <f t="shared" si="9"/>
        <v>0.54999999999999993</v>
      </c>
      <c r="D23" s="191">
        <f t="shared" si="10"/>
        <v>0.6</v>
      </c>
      <c r="E23" s="191">
        <f t="shared" si="11"/>
        <v>0.64999999999999991</v>
      </c>
      <c r="F23" s="191">
        <f t="shared" si="12"/>
        <v>0.7</v>
      </c>
      <c r="G23" s="191">
        <f t="shared" si="13"/>
        <v>0.75</v>
      </c>
      <c r="H23" s="191">
        <f t="shared" si="14"/>
        <v>0.79999999999999993</v>
      </c>
      <c r="I23" s="191">
        <f t="shared" si="15"/>
        <v>0.85</v>
      </c>
      <c r="J23" s="191">
        <f t="shared" si="16"/>
        <v>0.89999999999999991</v>
      </c>
      <c r="K23" s="191">
        <f t="shared" ref="K23:K30" si="17">K22-0.025</f>
        <v>0.97499999999999998</v>
      </c>
      <c r="L23" s="191">
        <v>1</v>
      </c>
      <c r="M23" s="191">
        <v>1</v>
      </c>
      <c r="N23" s="191">
        <v>1</v>
      </c>
      <c r="O23" s="191">
        <v>1</v>
      </c>
      <c r="P23" s="191">
        <v>1</v>
      </c>
      <c r="Q23" s="191">
        <v>1</v>
      </c>
      <c r="R23" s="192">
        <v>1</v>
      </c>
      <c r="S23" s="193">
        <v>1</v>
      </c>
      <c r="V23" s="200">
        <v>3.5</v>
      </c>
      <c r="W23" s="201">
        <f t="shared" si="5"/>
        <v>0.64168894791974784</v>
      </c>
      <c r="X23" s="201">
        <f t="shared" si="6"/>
        <v>0.78405268168311582</v>
      </c>
      <c r="Y23" s="201">
        <f>H42</f>
        <v>0.77905405405405392</v>
      </c>
      <c r="Z23" s="203" t="s">
        <v>576</v>
      </c>
      <c r="AA23" s="189" t="str">
        <f t="shared" si="7"/>
        <v>[td]3,5[/td]</v>
      </c>
      <c r="AB23" s="189" t="str">
        <f t="shared" si="8"/>
        <v>[td]64,2 %[/td]</v>
      </c>
      <c r="AC23" s="189" t="str">
        <f t="shared" si="4"/>
        <v>[td]78,4 %[/td]</v>
      </c>
      <c r="AD23" s="189" t="str">
        <f t="shared" si="4"/>
        <v>[td]77,9 %[/td]</v>
      </c>
      <c r="AE23" s="208" t="s">
        <v>578</v>
      </c>
    </row>
    <row r="24" spans="1:31">
      <c r="A24" s="182">
        <v>55</v>
      </c>
      <c r="B24" s="190">
        <f t="shared" si="0"/>
        <v>0.54999999999999993</v>
      </c>
      <c r="C24" s="191">
        <f t="shared" si="9"/>
        <v>0.52499999999999991</v>
      </c>
      <c r="D24" s="191">
        <f t="shared" si="10"/>
        <v>0.57499999999999996</v>
      </c>
      <c r="E24" s="191">
        <f t="shared" si="11"/>
        <v>0.62499999999999989</v>
      </c>
      <c r="F24" s="191">
        <f t="shared" si="12"/>
        <v>0.67499999999999993</v>
      </c>
      <c r="G24" s="191">
        <f t="shared" si="13"/>
        <v>0.72499999999999998</v>
      </c>
      <c r="H24" s="191">
        <f t="shared" si="14"/>
        <v>0.77499999999999991</v>
      </c>
      <c r="I24" s="191">
        <f t="shared" si="15"/>
        <v>0.82499999999999996</v>
      </c>
      <c r="J24" s="191">
        <f t="shared" si="16"/>
        <v>0.87499999999999989</v>
      </c>
      <c r="K24" s="191">
        <f t="shared" si="17"/>
        <v>0.95</v>
      </c>
      <c r="L24" s="191">
        <v>1</v>
      </c>
      <c r="M24" s="191">
        <v>1</v>
      </c>
      <c r="N24" s="191">
        <v>1</v>
      </c>
      <c r="O24" s="191">
        <v>1</v>
      </c>
      <c r="P24" s="191">
        <v>1</v>
      </c>
      <c r="Q24" s="191">
        <v>1</v>
      </c>
      <c r="R24" s="192">
        <v>1</v>
      </c>
      <c r="S24" s="193">
        <v>1</v>
      </c>
      <c r="V24" s="200">
        <v>3</v>
      </c>
      <c r="W24" s="201">
        <f t="shared" si="5"/>
        <v>0.59408852578600457</v>
      </c>
      <c r="X24" s="201">
        <f t="shared" si="6"/>
        <v>0.76029022659663359</v>
      </c>
      <c r="Y24" s="201">
        <f>G42</f>
        <v>0.74662162162162149</v>
      </c>
      <c r="Z24" s="203" t="s">
        <v>576</v>
      </c>
      <c r="AA24" s="189" t="str">
        <f t="shared" si="7"/>
        <v>[td]3[/td]</v>
      </c>
      <c r="AB24" s="189" t="str">
        <f t="shared" si="8"/>
        <v>[td]59,4 %[/td]</v>
      </c>
      <c r="AC24" s="189" t="str">
        <f t="shared" si="4"/>
        <v>[td]76,0 %[/td]</v>
      </c>
      <c r="AD24" s="189" t="str">
        <f t="shared" si="4"/>
        <v>[td]74,7 %[/td]</v>
      </c>
      <c r="AE24" s="208" t="s">
        <v>578</v>
      </c>
    </row>
    <row r="25" spans="1:31">
      <c r="A25" s="182">
        <v>57.5</v>
      </c>
      <c r="B25" s="190">
        <f t="shared" si="0"/>
        <v>0.52499999999999991</v>
      </c>
      <c r="C25" s="191">
        <f t="shared" si="9"/>
        <v>0.49999999999999989</v>
      </c>
      <c r="D25" s="191">
        <f t="shared" si="10"/>
        <v>0.54999999999999993</v>
      </c>
      <c r="E25" s="191">
        <f t="shared" si="11"/>
        <v>0.59999999999999987</v>
      </c>
      <c r="F25" s="191">
        <f t="shared" si="12"/>
        <v>0.64999999999999991</v>
      </c>
      <c r="G25" s="191">
        <f t="shared" si="13"/>
        <v>0.7</v>
      </c>
      <c r="H25" s="191">
        <f t="shared" si="14"/>
        <v>0.74999999999999989</v>
      </c>
      <c r="I25" s="191">
        <f t="shared" si="15"/>
        <v>0.79999999999999993</v>
      </c>
      <c r="J25" s="191">
        <f t="shared" si="16"/>
        <v>0.84999999999999987</v>
      </c>
      <c r="K25" s="191">
        <f t="shared" si="17"/>
        <v>0.92499999999999993</v>
      </c>
      <c r="L25" s="191">
        <f t="shared" ref="L25:L30" si="18">L24-0.025</f>
        <v>0.97499999999999998</v>
      </c>
      <c r="M25" s="191">
        <v>1</v>
      </c>
      <c r="N25" s="191">
        <v>1</v>
      </c>
      <c r="O25" s="191">
        <v>1</v>
      </c>
      <c r="P25" s="191">
        <v>1</v>
      </c>
      <c r="Q25" s="191">
        <v>1</v>
      </c>
      <c r="R25" s="192">
        <v>1</v>
      </c>
      <c r="S25" s="193">
        <v>1</v>
      </c>
      <c r="V25" s="200">
        <v>2.5</v>
      </c>
      <c r="W25" s="201">
        <f t="shared" si="5"/>
        <v>0.54232614454664041</v>
      </c>
      <c r="X25" s="201">
        <f t="shared" si="6"/>
        <v>0.73602192281783341</v>
      </c>
      <c r="Y25" s="201">
        <f>F42</f>
        <v>0.71351351351351333</v>
      </c>
      <c r="Z25" s="203" t="s">
        <v>576</v>
      </c>
      <c r="AA25" s="189" t="str">
        <f t="shared" si="7"/>
        <v>[td]2,5[/td]</v>
      </c>
      <c r="AB25" s="189" t="str">
        <f t="shared" si="8"/>
        <v>[td]54,2 %[/td]</v>
      </c>
      <c r="AC25" s="189" t="str">
        <f t="shared" si="4"/>
        <v>[td]73,6 %[/td]</v>
      </c>
      <c r="AD25" s="189" t="str">
        <f t="shared" si="4"/>
        <v>[td]71,4 %[/td]</v>
      </c>
      <c r="AE25" s="208" t="s">
        <v>578</v>
      </c>
    </row>
    <row r="26" spans="1:31">
      <c r="A26" s="182">
        <v>60</v>
      </c>
      <c r="B26" s="190">
        <f t="shared" si="0"/>
        <v>0.49999999999999989</v>
      </c>
      <c r="C26" s="191">
        <f t="shared" si="9"/>
        <v>0.47499999999999987</v>
      </c>
      <c r="D26" s="191">
        <f t="shared" si="10"/>
        <v>0.52499999999999991</v>
      </c>
      <c r="E26" s="191">
        <f t="shared" si="11"/>
        <v>0.57499999999999984</v>
      </c>
      <c r="F26" s="191">
        <f t="shared" si="12"/>
        <v>0.62499999999999989</v>
      </c>
      <c r="G26" s="191">
        <f t="shared" si="13"/>
        <v>0.67499999999999993</v>
      </c>
      <c r="H26" s="191">
        <f t="shared" si="14"/>
        <v>0.72499999999999987</v>
      </c>
      <c r="I26" s="191">
        <f t="shared" si="15"/>
        <v>0.77499999999999991</v>
      </c>
      <c r="J26" s="191">
        <f t="shared" si="16"/>
        <v>0.82499999999999984</v>
      </c>
      <c r="K26" s="191">
        <f t="shared" si="17"/>
        <v>0.89999999999999991</v>
      </c>
      <c r="L26" s="191">
        <f t="shared" si="18"/>
        <v>0.95</v>
      </c>
      <c r="M26" s="191">
        <v>1</v>
      </c>
      <c r="N26" s="191">
        <v>1</v>
      </c>
      <c r="O26" s="191">
        <v>1</v>
      </c>
      <c r="P26" s="191">
        <v>1</v>
      </c>
      <c r="Q26" s="191">
        <v>1</v>
      </c>
      <c r="R26" s="192">
        <v>1</v>
      </c>
      <c r="S26" s="193">
        <v>1</v>
      </c>
      <c r="V26" s="200">
        <v>2</v>
      </c>
      <c r="W26" s="201">
        <f t="shared" si="5"/>
        <v>0.48507125007266594</v>
      </c>
      <c r="X26" s="201">
        <f t="shared" si="6"/>
        <v>0.71120794572645207</v>
      </c>
      <c r="Y26" s="201">
        <f>E42</f>
        <v>0.67972972972972945</v>
      </c>
      <c r="Z26" s="203" t="s">
        <v>576</v>
      </c>
      <c r="AA26" s="189" t="str">
        <f t="shared" si="7"/>
        <v>[td]2[/td]</v>
      </c>
      <c r="AB26" s="189" t="str">
        <f t="shared" si="8"/>
        <v>[td]48,5 %[/td]</v>
      </c>
      <c r="AC26" s="189" t="str">
        <f t="shared" si="4"/>
        <v>[td]71,1 %[/td]</v>
      </c>
      <c r="AD26" s="189" t="str">
        <f t="shared" si="4"/>
        <v>[td]68,0 %[/td]</v>
      </c>
      <c r="AE26" s="208" t="s">
        <v>578</v>
      </c>
    </row>
    <row r="27" spans="1:31">
      <c r="A27" s="182">
        <v>62.5</v>
      </c>
      <c r="B27" s="190">
        <f t="shared" si="0"/>
        <v>0.47499999999999987</v>
      </c>
      <c r="C27" s="191">
        <f t="shared" si="9"/>
        <v>0.44999999999999984</v>
      </c>
      <c r="D27" s="191">
        <f t="shared" si="10"/>
        <v>0.49999999999999989</v>
      </c>
      <c r="E27" s="191">
        <f t="shared" si="11"/>
        <v>0.54999999999999982</v>
      </c>
      <c r="F27" s="191">
        <f t="shared" si="12"/>
        <v>0.59999999999999987</v>
      </c>
      <c r="G27" s="191">
        <f t="shared" si="13"/>
        <v>0.64999999999999991</v>
      </c>
      <c r="H27" s="191">
        <f t="shared" si="14"/>
        <v>0.69999999999999984</v>
      </c>
      <c r="I27" s="191">
        <f t="shared" si="15"/>
        <v>0.74999999999999989</v>
      </c>
      <c r="J27" s="191">
        <f t="shared" si="16"/>
        <v>0.79999999999999982</v>
      </c>
      <c r="K27" s="191">
        <f t="shared" si="17"/>
        <v>0.87499999999999989</v>
      </c>
      <c r="L27" s="191">
        <f t="shared" si="18"/>
        <v>0.92499999999999993</v>
      </c>
      <c r="M27" s="191">
        <f>M26-0.025</f>
        <v>0.97499999999999998</v>
      </c>
      <c r="N27" s="191">
        <v>1</v>
      </c>
      <c r="O27" s="191">
        <v>1</v>
      </c>
      <c r="P27" s="191">
        <v>1</v>
      </c>
      <c r="Q27" s="191">
        <v>1</v>
      </c>
      <c r="R27" s="192">
        <v>1</v>
      </c>
      <c r="S27" s="193">
        <v>1</v>
      </c>
      <c r="V27" s="200">
        <v>1.5</v>
      </c>
      <c r="W27" s="201">
        <f t="shared" si="5"/>
        <v>0.42008402520840288</v>
      </c>
      <c r="X27" s="201">
        <f t="shared" si="6"/>
        <v>0.68580277290067215</v>
      </c>
      <c r="Y27" s="201">
        <f>D42</f>
        <v>0.64527027027027017</v>
      </c>
      <c r="Z27" s="203" t="s">
        <v>576</v>
      </c>
      <c r="AA27" s="189" t="str">
        <f t="shared" si="7"/>
        <v>[td]1,5[/td]</v>
      </c>
      <c r="AB27" s="189" t="str">
        <f t="shared" si="8"/>
        <v>[td]42,0 %[/td]</v>
      </c>
      <c r="AC27" s="189" t="str">
        <f t="shared" si="4"/>
        <v>[td]68,6 %[/td]</v>
      </c>
      <c r="AD27" s="189" t="str">
        <f t="shared" si="4"/>
        <v>[td]64,5 %[/td]</v>
      </c>
      <c r="AE27" s="208" t="s">
        <v>578</v>
      </c>
    </row>
    <row r="28" spans="1:31">
      <c r="A28" s="182">
        <v>65</v>
      </c>
      <c r="B28" s="190">
        <f t="shared" si="0"/>
        <v>0.44999999999999984</v>
      </c>
      <c r="C28" s="191">
        <f t="shared" si="9"/>
        <v>0.42499999999999982</v>
      </c>
      <c r="D28" s="191">
        <f t="shared" si="10"/>
        <v>0.47499999999999987</v>
      </c>
      <c r="E28" s="191">
        <f t="shared" si="11"/>
        <v>0.5249999999999998</v>
      </c>
      <c r="F28" s="191">
        <f t="shared" si="12"/>
        <v>0.57499999999999984</v>
      </c>
      <c r="G28" s="191">
        <f t="shared" si="13"/>
        <v>0.62499999999999989</v>
      </c>
      <c r="H28" s="191">
        <f t="shared" si="14"/>
        <v>0.67499999999999982</v>
      </c>
      <c r="I28" s="191">
        <f t="shared" si="15"/>
        <v>0.72499999999999987</v>
      </c>
      <c r="J28" s="191">
        <f t="shared" si="16"/>
        <v>0.7749999999999998</v>
      </c>
      <c r="K28" s="191">
        <f t="shared" si="17"/>
        <v>0.84999999999999987</v>
      </c>
      <c r="L28" s="191">
        <f t="shared" si="18"/>
        <v>0.89999999999999991</v>
      </c>
      <c r="M28" s="191">
        <f>M27-0.025</f>
        <v>0.95</v>
      </c>
      <c r="N28" s="191">
        <v>1</v>
      </c>
      <c r="O28" s="191">
        <v>1</v>
      </c>
      <c r="P28" s="191">
        <v>1</v>
      </c>
      <c r="Q28" s="191">
        <v>1</v>
      </c>
      <c r="R28" s="192">
        <v>1</v>
      </c>
      <c r="S28" s="193">
        <v>1</v>
      </c>
      <c r="V28" s="200">
        <v>1</v>
      </c>
      <c r="W28" s="201">
        <f t="shared" si="5"/>
        <v>0.34299717028501764</v>
      </c>
      <c r="X28" s="201">
        <f t="shared" si="6"/>
        <v>0.6597539553864471</v>
      </c>
      <c r="Y28" s="201">
        <f>C42</f>
        <v>0.61013513513513506</v>
      </c>
      <c r="Z28" s="203" t="s">
        <v>576</v>
      </c>
      <c r="AA28" s="189" t="str">
        <f t="shared" si="7"/>
        <v>[td]1[/td]</v>
      </c>
      <c r="AB28" s="189" t="str">
        <f t="shared" si="8"/>
        <v>[td]34,3 %[/td]</v>
      </c>
      <c r="AC28" s="189" t="str">
        <f t="shared" si="4"/>
        <v>[td]66,0 %[/td]</v>
      </c>
      <c r="AD28" s="189" t="str">
        <f t="shared" si="4"/>
        <v>[td]61,0 %[/td]</v>
      </c>
      <c r="AE28" s="208" t="s">
        <v>578</v>
      </c>
    </row>
    <row r="29" spans="1:31">
      <c r="A29" s="182">
        <v>67.5</v>
      </c>
      <c r="B29" s="190">
        <f t="shared" si="0"/>
        <v>0.42499999999999982</v>
      </c>
      <c r="C29" s="191">
        <f t="shared" si="9"/>
        <v>0.3999999999999998</v>
      </c>
      <c r="D29" s="191">
        <f t="shared" si="10"/>
        <v>0.44999999999999984</v>
      </c>
      <c r="E29" s="191">
        <f t="shared" si="11"/>
        <v>0.49999999999999978</v>
      </c>
      <c r="F29" s="191">
        <f t="shared" si="12"/>
        <v>0.54999999999999982</v>
      </c>
      <c r="G29" s="191">
        <f t="shared" si="13"/>
        <v>0.59999999999999987</v>
      </c>
      <c r="H29" s="191">
        <f t="shared" si="14"/>
        <v>0.6499999999999998</v>
      </c>
      <c r="I29" s="191">
        <f t="shared" si="15"/>
        <v>0.69999999999999984</v>
      </c>
      <c r="J29" s="191">
        <f t="shared" si="16"/>
        <v>0.74999999999999978</v>
      </c>
      <c r="K29" s="191">
        <f t="shared" si="17"/>
        <v>0.82499999999999984</v>
      </c>
      <c r="L29" s="191">
        <f t="shared" si="18"/>
        <v>0.87499999999999989</v>
      </c>
      <c r="M29" s="191">
        <f>M28-0.025</f>
        <v>0.92499999999999993</v>
      </c>
      <c r="N29" s="191">
        <f>N28-0.025</f>
        <v>0.97499999999999998</v>
      </c>
      <c r="O29" s="191">
        <v>1</v>
      </c>
      <c r="P29" s="191">
        <v>1</v>
      </c>
      <c r="Q29" s="191">
        <v>1</v>
      </c>
      <c r="R29" s="192">
        <v>1</v>
      </c>
      <c r="S29" s="193">
        <v>1</v>
      </c>
      <c r="V29" s="200">
        <v>0.5</v>
      </c>
      <c r="W29" s="201">
        <f t="shared" si="5"/>
        <v>0.24253562503633297</v>
      </c>
      <c r="X29" s="201">
        <f t="shared" si="6"/>
        <v>0.63300052261123352</v>
      </c>
      <c r="Y29" s="215">
        <f>B42</f>
        <v>0.60878378378378362</v>
      </c>
      <c r="Z29" s="203" t="s">
        <v>576</v>
      </c>
      <c r="AA29" s="189" t="str">
        <f t="shared" si="7"/>
        <v>[td]0,5[/td]</v>
      </c>
      <c r="AB29" s="189" t="str">
        <f t="shared" si="8"/>
        <v>[td]24,3 %[/td]</v>
      </c>
      <c r="AC29" s="189" t="str">
        <f t="shared" ref="AC29" si="19">CONCATENATE("[td]",TEXT((X29*100),"0,0")," %[/td]")</f>
        <v>[td]63,3 %[/td]</v>
      </c>
      <c r="AD29" s="189" t="str">
        <f t="shared" ref="AD29" si="20">CONCATENATE("[td]",TEXT((Y29*100),"0,0")," %[/td]")</f>
        <v>[td]60,9 %[/td]</v>
      </c>
      <c r="AE29" s="208" t="s">
        <v>578</v>
      </c>
    </row>
    <row r="30" spans="1:31">
      <c r="A30" s="182">
        <v>70</v>
      </c>
      <c r="B30" s="190">
        <f t="shared" si="0"/>
        <v>0.3999999999999998</v>
      </c>
      <c r="C30" s="191">
        <f t="shared" si="9"/>
        <v>0.37499999999999978</v>
      </c>
      <c r="D30" s="191">
        <f t="shared" si="10"/>
        <v>0.42499999999999982</v>
      </c>
      <c r="E30" s="191">
        <f t="shared" si="11"/>
        <v>0.47499999999999976</v>
      </c>
      <c r="F30" s="191">
        <f t="shared" si="12"/>
        <v>0.5249999999999998</v>
      </c>
      <c r="G30" s="191">
        <f t="shared" si="13"/>
        <v>0.57499999999999984</v>
      </c>
      <c r="H30" s="191">
        <f t="shared" si="14"/>
        <v>0.62499999999999978</v>
      </c>
      <c r="I30" s="191">
        <f t="shared" si="15"/>
        <v>0.67499999999999982</v>
      </c>
      <c r="J30" s="191">
        <f t="shared" si="16"/>
        <v>0.72499999999999976</v>
      </c>
      <c r="K30" s="191">
        <f t="shared" si="17"/>
        <v>0.79999999999999982</v>
      </c>
      <c r="L30" s="191">
        <f t="shared" si="18"/>
        <v>0.84999999999999987</v>
      </c>
      <c r="M30" s="191">
        <f>M29-0.025</f>
        <v>0.89999999999999991</v>
      </c>
      <c r="N30" s="191">
        <f>N29-0.025</f>
        <v>0.95</v>
      </c>
      <c r="O30" s="191">
        <v>1</v>
      </c>
      <c r="P30" s="191">
        <v>1</v>
      </c>
      <c r="Q30" s="191">
        <v>1</v>
      </c>
      <c r="R30" s="192">
        <v>1</v>
      </c>
      <c r="S30" s="193">
        <v>1</v>
      </c>
      <c r="V30" s="200"/>
      <c r="W30" s="198"/>
      <c r="X30" s="198"/>
      <c r="Y30" s="198"/>
      <c r="Z30" s="203" t="s">
        <v>579</v>
      </c>
      <c r="AA30" s="189"/>
      <c r="AB30" s="189"/>
      <c r="AC30" s="207"/>
    </row>
    <row r="31" spans="1:31">
      <c r="A31" s="182">
        <v>72.5</v>
      </c>
      <c r="B31" s="190">
        <f t="shared" si="0"/>
        <v>0.37499999999999978</v>
      </c>
      <c r="C31" s="191">
        <f t="shared" ref="C31:C38" si="21">C30-0.025</f>
        <v>0.34999999999999976</v>
      </c>
      <c r="D31" s="191">
        <f t="shared" ref="D31:D38" si="22">D30-0.025</f>
        <v>0.3999999999999998</v>
      </c>
      <c r="E31" s="191">
        <f t="shared" ref="E31:E38" si="23">E30-0.025</f>
        <v>0.44999999999999973</v>
      </c>
      <c r="F31" s="191">
        <f t="shared" ref="F31:F38" si="24">F30-0.025</f>
        <v>0.49999999999999978</v>
      </c>
      <c r="G31" s="191">
        <f t="shared" ref="G31:G38" si="25">G30-0.025</f>
        <v>0.54999999999999982</v>
      </c>
      <c r="H31" s="191">
        <f t="shared" ref="H31:H38" si="26">H30-0.025</f>
        <v>0.59999999999999976</v>
      </c>
      <c r="I31" s="191">
        <f t="shared" ref="I31:I38" si="27">I30-0.025</f>
        <v>0.6499999999999998</v>
      </c>
      <c r="J31" s="191">
        <f t="shared" ref="J31:J38" si="28">J30-0.025</f>
        <v>0.69999999999999973</v>
      </c>
      <c r="K31" s="191">
        <f t="shared" ref="K31:K38" si="29">K30-0.025</f>
        <v>0.7749999999999998</v>
      </c>
      <c r="L31" s="191">
        <f t="shared" ref="L31:L38" si="30">L30-0.025</f>
        <v>0.82499999999999984</v>
      </c>
      <c r="M31" s="191">
        <f t="shared" ref="M31:M38" si="31">M30-0.025</f>
        <v>0.87499999999999989</v>
      </c>
      <c r="N31" s="191">
        <f t="shared" ref="N31:N38" si="32">N30-0.025</f>
        <v>0.92499999999999993</v>
      </c>
      <c r="O31" s="191">
        <f t="shared" ref="O31:O38" si="33">O30-0.025</f>
        <v>0.97499999999999998</v>
      </c>
      <c r="P31" s="191">
        <v>1</v>
      </c>
      <c r="Q31" s="191">
        <v>1</v>
      </c>
      <c r="R31" s="192">
        <v>1</v>
      </c>
      <c r="S31" s="193">
        <v>1</v>
      </c>
    </row>
    <row r="32" spans="1:31">
      <c r="A32" s="182">
        <v>75</v>
      </c>
      <c r="B32" s="190">
        <f t="shared" si="0"/>
        <v>0.34999999999999976</v>
      </c>
      <c r="C32" s="191">
        <f t="shared" si="21"/>
        <v>0.32499999999999973</v>
      </c>
      <c r="D32" s="191">
        <f t="shared" si="22"/>
        <v>0.37499999999999978</v>
      </c>
      <c r="E32" s="191">
        <f t="shared" si="23"/>
        <v>0.42499999999999971</v>
      </c>
      <c r="F32" s="191">
        <f t="shared" si="24"/>
        <v>0.47499999999999976</v>
      </c>
      <c r="G32" s="191">
        <f t="shared" si="25"/>
        <v>0.5249999999999998</v>
      </c>
      <c r="H32" s="191">
        <f t="shared" si="26"/>
        <v>0.57499999999999973</v>
      </c>
      <c r="I32" s="191">
        <f t="shared" si="27"/>
        <v>0.62499999999999978</v>
      </c>
      <c r="J32" s="191">
        <f t="shared" si="28"/>
        <v>0.67499999999999971</v>
      </c>
      <c r="K32" s="191">
        <f t="shared" si="29"/>
        <v>0.74999999999999978</v>
      </c>
      <c r="L32" s="191">
        <f t="shared" si="30"/>
        <v>0.79999999999999982</v>
      </c>
      <c r="M32" s="191">
        <f t="shared" si="31"/>
        <v>0.84999999999999987</v>
      </c>
      <c r="N32" s="191">
        <f t="shared" si="32"/>
        <v>0.89999999999999991</v>
      </c>
      <c r="O32" s="191">
        <f t="shared" si="33"/>
        <v>0.95</v>
      </c>
      <c r="P32" s="191">
        <v>1</v>
      </c>
      <c r="Q32" s="191">
        <v>1</v>
      </c>
      <c r="R32" s="192">
        <v>1</v>
      </c>
      <c r="S32" s="193">
        <v>1</v>
      </c>
    </row>
    <row r="33" spans="1:31">
      <c r="A33" s="182">
        <v>77.5</v>
      </c>
      <c r="B33" s="190">
        <f t="shared" si="0"/>
        <v>0.32499999999999973</v>
      </c>
      <c r="C33" s="191">
        <f t="shared" si="21"/>
        <v>0.29999999999999971</v>
      </c>
      <c r="D33" s="191">
        <f t="shared" si="22"/>
        <v>0.34999999999999976</v>
      </c>
      <c r="E33" s="191">
        <f t="shared" si="23"/>
        <v>0.39999999999999969</v>
      </c>
      <c r="F33" s="191">
        <f t="shared" si="24"/>
        <v>0.44999999999999973</v>
      </c>
      <c r="G33" s="191">
        <f t="shared" si="25"/>
        <v>0.49999999999999978</v>
      </c>
      <c r="H33" s="191">
        <f t="shared" si="26"/>
        <v>0.54999999999999971</v>
      </c>
      <c r="I33" s="191">
        <f t="shared" si="27"/>
        <v>0.59999999999999976</v>
      </c>
      <c r="J33" s="191">
        <f t="shared" si="28"/>
        <v>0.64999999999999969</v>
      </c>
      <c r="K33" s="191">
        <f t="shared" si="29"/>
        <v>0.72499999999999976</v>
      </c>
      <c r="L33" s="191">
        <f t="shared" si="30"/>
        <v>0.7749999999999998</v>
      </c>
      <c r="M33" s="191">
        <f t="shared" si="31"/>
        <v>0.82499999999999984</v>
      </c>
      <c r="N33" s="191">
        <f t="shared" si="32"/>
        <v>0.87499999999999989</v>
      </c>
      <c r="O33" s="191">
        <f t="shared" si="33"/>
        <v>0.92499999999999993</v>
      </c>
      <c r="P33" s="191">
        <f t="shared" ref="P33:Q38" si="34">P32-0.025</f>
        <v>0.97499999999999998</v>
      </c>
      <c r="Q33" s="191">
        <v>1</v>
      </c>
      <c r="R33" s="192">
        <v>1</v>
      </c>
      <c r="S33" s="193">
        <v>1</v>
      </c>
    </row>
    <row r="34" spans="1:31">
      <c r="A34" s="182">
        <v>80</v>
      </c>
      <c r="B34" s="190">
        <f t="shared" si="0"/>
        <v>0.29999999999999971</v>
      </c>
      <c r="C34" s="191">
        <f t="shared" si="21"/>
        <v>0.27499999999999969</v>
      </c>
      <c r="D34" s="191">
        <f t="shared" si="22"/>
        <v>0.32499999999999973</v>
      </c>
      <c r="E34" s="191">
        <f t="shared" si="23"/>
        <v>0.37499999999999967</v>
      </c>
      <c r="F34" s="191">
        <f t="shared" si="24"/>
        <v>0.42499999999999971</v>
      </c>
      <c r="G34" s="191">
        <f t="shared" si="25"/>
        <v>0.47499999999999976</v>
      </c>
      <c r="H34" s="191">
        <f t="shared" si="26"/>
        <v>0.52499999999999969</v>
      </c>
      <c r="I34" s="191">
        <f t="shared" si="27"/>
        <v>0.57499999999999973</v>
      </c>
      <c r="J34" s="191">
        <f t="shared" si="28"/>
        <v>0.62499999999999967</v>
      </c>
      <c r="K34" s="191">
        <f t="shared" si="29"/>
        <v>0.69999999999999973</v>
      </c>
      <c r="L34" s="191">
        <f t="shared" si="30"/>
        <v>0.74999999999999978</v>
      </c>
      <c r="M34" s="191">
        <f t="shared" si="31"/>
        <v>0.79999999999999982</v>
      </c>
      <c r="N34" s="191">
        <f t="shared" si="32"/>
        <v>0.84999999999999987</v>
      </c>
      <c r="O34" s="191">
        <f t="shared" si="33"/>
        <v>0.89999999999999991</v>
      </c>
      <c r="P34" s="191">
        <f t="shared" si="34"/>
        <v>0.95</v>
      </c>
      <c r="Q34" s="191">
        <v>1</v>
      </c>
      <c r="R34" s="192">
        <v>1</v>
      </c>
      <c r="S34" s="193">
        <v>1</v>
      </c>
    </row>
    <row r="35" spans="1:31">
      <c r="A35" s="182">
        <v>82.5</v>
      </c>
      <c r="B35" s="190">
        <f t="shared" si="0"/>
        <v>0.27499999999999969</v>
      </c>
      <c r="C35" s="191">
        <f t="shared" si="21"/>
        <v>0.24999999999999969</v>
      </c>
      <c r="D35" s="191">
        <f t="shared" si="22"/>
        <v>0.29999999999999971</v>
      </c>
      <c r="E35" s="191">
        <f t="shared" si="23"/>
        <v>0.34999999999999964</v>
      </c>
      <c r="F35" s="191">
        <f t="shared" si="24"/>
        <v>0.39999999999999969</v>
      </c>
      <c r="G35" s="191">
        <f t="shared" si="25"/>
        <v>0.44999999999999973</v>
      </c>
      <c r="H35" s="191">
        <f t="shared" si="26"/>
        <v>0.49999999999999967</v>
      </c>
      <c r="I35" s="191">
        <f t="shared" si="27"/>
        <v>0.54999999999999971</v>
      </c>
      <c r="J35" s="191">
        <f t="shared" si="28"/>
        <v>0.59999999999999964</v>
      </c>
      <c r="K35" s="191">
        <f t="shared" si="29"/>
        <v>0.67499999999999971</v>
      </c>
      <c r="L35" s="191">
        <f t="shared" si="30"/>
        <v>0.72499999999999976</v>
      </c>
      <c r="M35" s="191">
        <f t="shared" si="31"/>
        <v>0.7749999999999998</v>
      </c>
      <c r="N35" s="191">
        <f t="shared" si="32"/>
        <v>0.82499999999999984</v>
      </c>
      <c r="O35" s="191">
        <f t="shared" si="33"/>
        <v>0.87499999999999989</v>
      </c>
      <c r="P35" s="191">
        <f t="shared" si="34"/>
        <v>0.92499999999999993</v>
      </c>
      <c r="Q35" s="191">
        <f>Q34-0.025</f>
        <v>0.97499999999999998</v>
      </c>
      <c r="R35" s="192">
        <v>1</v>
      </c>
      <c r="S35" s="193">
        <v>1</v>
      </c>
    </row>
    <row r="36" spans="1:31">
      <c r="A36" s="182">
        <v>85</v>
      </c>
      <c r="B36" s="190">
        <f t="shared" si="0"/>
        <v>0.24999999999999969</v>
      </c>
      <c r="C36" s="191">
        <f t="shared" si="21"/>
        <v>0.2249999999999997</v>
      </c>
      <c r="D36" s="191">
        <f t="shared" si="22"/>
        <v>0.27499999999999969</v>
      </c>
      <c r="E36" s="191">
        <f t="shared" si="23"/>
        <v>0.32499999999999962</v>
      </c>
      <c r="F36" s="191">
        <f t="shared" si="24"/>
        <v>0.37499999999999967</v>
      </c>
      <c r="G36" s="191">
        <f t="shared" si="25"/>
        <v>0.42499999999999971</v>
      </c>
      <c r="H36" s="191">
        <f t="shared" si="26"/>
        <v>0.47499999999999964</v>
      </c>
      <c r="I36" s="191">
        <f t="shared" si="27"/>
        <v>0.52499999999999969</v>
      </c>
      <c r="J36" s="191">
        <f t="shared" si="28"/>
        <v>0.57499999999999962</v>
      </c>
      <c r="K36" s="191">
        <f t="shared" si="29"/>
        <v>0.64999999999999969</v>
      </c>
      <c r="L36" s="191">
        <f t="shared" si="30"/>
        <v>0.69999999999999973</v>
      </c>
      <c r="M36" s="191">
        <f t="shared" si="31"/>
        <v>0.74999999999999978</v>
      </c>
      <c r="N36" s="191">
        <f t="shared" si="32"/>
        <v>0.79999999999999982</v>
      </c>
      <c r="O36" s="191">
        <f t="shared" si="33"/>
        <v>0.84999999999999987</v>
      </c>
      <c r="P36" s="191">
        <f t="shared" si="34"/>
        <v>0.89999999999999991</v>
      </c>
      <c r="Q36" s="191">
        <f t="shared" si="34"/>
        <v>0.95</v>
      </c>
      <c r="R36" s="192">
        <v>1</v>
      </c>
      <c r="S36" s="193">
        <v>1</v>
      </c>
    </row>
    <row r="37" spans="1:31">
      <c r="A37" s="182">
        <v>87.5</v>
      </c>
      <c r="B37" s="190">
        <f t="shared" si="0"/>
        <v>0.2249999999999997</v>
      </c>
      <c r="C37" s="191">
        <f t="shared" si="21"/>
        <v>0.19999999999999971</v>
      </c>
      <c r="D37" s="191">
        <f t="shared" si="22"/>
        <v>0.24999999999999969</v>
      </c>
      <c r="E37" s="191">
        <f t="shared" si="23"/>
        <v>0.2999999999999996</v>
      </c>
      <c r="F37" s="191">
        <f t="shared" si="24"/>
        <v>0.34999999999999964</v>
      </c>
      <c r="G37" s="191">
        <f t="shared" si="25"/>
        <v>0.39999999999999969</v>
      </c>
      <c r="H37" s="191">
        <f t="shared" si="26"/>
        <v>0.44999999999999962</v>
      </c>
      <c r="I37" s="191">
        <f t="shared" si="27"/>
        <v>0.49999999999999967</v>
      </c>
      <c r="J37" s="191">
        <f t="shared" si="28"/>
        <v>0.5499999999999996</v>
      </c>
      <c r="K37" s="191">
        <f t="shared" si="29"/>
        <v>0.62499999999999967</v>
      </c>
      <c r="L37" s="191">
        <f t="shared" si="30"/>
        <v>0.67499999999999971</v>
      </c>
      <c r="M37" s="191">
        <f t="shared" si="31"/>
        <v>0.72499999999999976</v>
      </c>
      <c r="N37" s="191">
        <f t="shared" si="32"/>
        <v>0.7749999999999998</v>
      </c>
      <c r="O37" s="191">
        <f t="shared" si="33"/>
        <v>0.82499999999999984</v>
      </c>
      <c r="P37" s="191">
        <f t="shared" si="34"/>
        <v>0.87499999999999989</v>
      </c>
      <c r="Q37" s="191">
        <f t="shared" si="34"/>
        <v>0.92499999999999993</v>
      </c>
      <c r="R37" s="192">
        <v>1</v>
      </c>
      <c r="S37" s="193">
        <v>1</v>
      </c>
    </row>
    <row r="38" spans="1:31" ht="13.8" thickBot="1">
      <c r="A38" s="182">
        <v>90</v>
      </c>
      <c r="B38" s="194">
        <f t="shared" si="0"/>
        <v>0.19999999999999971</v>
      </c>
      <c r="C38" s="195">
        <f t="shared" si="21"/>
        <v>0.17499999999999971</v>
      </c>
      <c r="D38" s="195">
        <f t="shared" si="22"/>
        <v>0.2249999999999997</v>
      </c>
      <c r="E38" s="195">
        <f t="shared" si="23"/>
        <v>0.27499999999999958</v>
      </c>
      <c r="F38" s="195">
        <f t="shared" si="24"/>
        <v>0.32499999999999962</v>
      </c>
      <c r="G38" s="195">
        <f t="shared" si="25"/>
        <v>0.37499999999999967</v>
      </c>
      <c r="H38" s="195">
        <f t="shared" si="26"/>
        <v>0.4249999999999996</v>
      </c>
      <c r="I38" s="195">
        <f t="shared" si="27"/>
        <v>0.47499999999999964</v>
      </c>
      <c r="J38" s="195">
        <f t="shared" si="28"/>
        <v>0.52499999999999958</v>
      </c>
      <c r="K38" s="195">
        <f t="shared" si="29"/>
        <v>0.59999999999999964</v>
      </c>
      <c r="L38" s="195">
        <f t="shared" si="30"/>
        <v>0.64999999999999969</v>
      </c>
      <c r="M38" s="195">
        <f t="shared" si="31"/>
        <v>0.69999999999999973</v>
      </c>
      <c r="N38" s="195">
        <f t="shared" si="32"/>
        <v>0.74999999999999978</v>
      </c>
      <c r="O38" s="195">
        <f t="shared" si="33"/>
        <v>0.79999999999999982</v>
      </c>
      <c r="P38" s="195">
        <f t="shared" si="34"/>
        <v>0.84999999999999987</v>
      </c>
      <c r="Q38" s="195">
        <f t="shared" si="34"/>
        <v>0.89999999999999991</v>
      </c>
      <c r="R38" s="196">
        <v>1</v>
      </c>
      <c r="S38" s="197">
        <v>1</v>
      </c>
    </row>
    <row r="39" spans="1:31">
      <c r="A39" s="182" t="s">
        <v>574</v>
      </c>
    </row>
    <row r="40" spans="1:31" hidden="1">
      <c r="B40" s="199">
        <f t="shared" ref="B40:R40" si="35">SUM(B2:B38)</f>
        <v>22.524999999999995</v>
      </c>
      <c r="C40" s="199">
        <f t="shared" si="35"/>
        <v>22.574999999999996</v>
      </c>
      <c r="D40" s="199">
        <f t="shared" si="35"/>
        <v>23.874999999999996</v>
      </c>
      <c r="E40" s="199">
        <f t="shared" si="35"/>
        <v>25.149999999999991</v>
      </c>
      <c r="F40" s="199">
        <f t="shared" si="35"/>
        <v>26.399999999999995</v>
      </c>
      <c r="G40" s="199">
        <f t="shared" si="35"/>
        <v>27.624999999999996</v>
      </c>
      <c r="H40" s="199">
        <f t="shared" si="35"/>
        <v>28.824999999999996</v>
      </c>
      <c r="I40" s="199">
        <f t="shared" si="35"/>
        <v>29.999999999999993</v>
      </c>
      <c r="J40" s="199">
        <f t="shared" si="35"/>
        <v>31.15</v>
      </c>
      <c r="K40" s="199">
        <f t="shared" si="35"/>
        <v>32.700000000000003</v>
      </c>
      <c r="L40" s="199">
        <f t="shared" si="35"/>
        <v>33.674999999999997</v>
      </c>
      <c r="M40" s="199">
        <f t="shared" si="35"/>
        <v>34.525000000000006</v>
      </c>
      <c r="N40" s="199">
        <f t="shared" si="35"/>
        <v>35.249999999999993</v>
      </c>
      <c r="O40" s="199">
        <f t="shared" si="35"/>
        <v>35.85</v>
      </c>
      <c r="P40" s="199">
        <f t="shared" si="35"/>
        <v>36.325000000000003</v>
      </c>
      <c r="Q40" s="199">
        <f t="shared" si="35"/>
        <v>36.674999999999997</v>
      </c>
      <c r="R40" s="199">
        <f t="shared" si="35"/>
        <v>37</v>
      </c>
      <c r="S40" s="199">
        <f>SUM(S2:S38)</f>
        <v>37</v>
      </c>
    </row>
    <row r="41" spans="1:31" hidden="1"/>
    <row r="42" spans="1:31" s="211" customFormat="1" ht="17.399999999999999">
      <c r="A42" s="209"/>
      <c r="B42" s="210">
        <f t="shared" ref="B42:N42" si="36">B40/$S$40</f>
        <v>0.60878378378378362</v>
      </c>
      <c r="C42" s="210">
        <f t="shared" si="36"/>
        <v>0.61013513513513506</v>
      </c>
      <c r="D42" s="210">
        <f t="shared" si="36"/>
        <v>0.64527027027027017</v>
      </c>
      <c r="E42" s="210">
        <f t="shared" si="36"/>
        <v>0.67972972972972945</v>
      </c>
      <c r="F42" s="210">
        <f t="shared" si="36"/>
        <v>0.71351351351351333</v>
      </c>
      <c r="G42" s="210">
        <f t="shared" si="36"/>
        <v>0.74662162162162149</v>
      </c>
      <c r="H42" s="210">
        <f t="shared" si="36"/>
        <v>0.77905405405405392</v>
      </c>
      <c r="I42" s="210">
        <f t="shared" si="36"/>
        <v>0.81081081081081063</v>
      </c>
      <c r="J42" s="210">
        <f t="shared" si="36"/>
        <v>0.84189189189189184</v>
      </c>
      <c r="K42" s="210">
        <f t="shared" si="36"/>
        <v>0.88378378378378386</v>
      </c>
      <c r="L42" s="210">
        <f t="shared" si="36"/>
        <v>0.91013513513513511</v>
      </c>
      <c r="M42" s="210">
        <f t="shared" si="36"/>
        <v>0.93310810810810829</v>
      </c>
      <c r="N42" s="210">
        <f t="shared" si="36"/>
        <v>0.95270270270270252</v>
      </c>
      <c r="O42" s="210">
        <f>O40/$S$40</f>
        <v>0.9689189189189189</v>
      </c>
      <c r="P42" s="210">
        <f>P40/$S$40</f>
        <v>0.98175675675675689</v>
      </c>
      <c r="Q42" s="210">
        <f>Q40/$S$40</f>
        <v>0.99121621621621614</v>
      </c>
      <c r="R42" s="210">
        <f>R40/$S$40</f>
        <v>1</v>
      </c>
      <c r="S42" s="210">
        <f>S40/$S$40</f>
        <v>1</v>
      </c>
      <c r="Z42" s="212"/>
      <c r="AA42" s="212"/>
      <c r="AB42" s="213"/>
      <c r="AE42" s="214"/>
    </row>
  </sheetData>
  <conditionalFormatting sqref="B2:S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V99"/>
  <sheetViews>
    <sheetView zoomScale="70" zoomScaleNormal="70" workbookViewId="0">
      <selection activeCell="H28" sqref="H28"/>
    </sheetView>
  </sheetViews>
  <sheetFormatPr defaultRowHeight="13.2"/>
  <cols>
    <col min="1" max="1" width="4.6640625" style="1" bestFit="1" customWidth="1"/>
    <col min="2" max="48" width="4.5546875" style="1" bestFit="1" customWidth="1"/>
    <col min="49" max="16384" width="8.88671875" style="1"/>
  </cols>
  <sheetData>
    <row r="1" spans="1:48">
      <c r="A1" s="5" t="s">
        <v>590</v>
      </c>
    </row>
    <row r="3" spans="1:48">
      <c r="B3" s="216">
        <v>17</v>
      </c>
      <c r="C3" s="216">
        <v>17.5</v>
      </c>
      <c r="D3" s="216">
        <v>18</v>
      </c>
      <c r="E3" s="216">
        <v>18.5</v>
      </c>
      <c r="F3" s="216">
        <v>19</v>
      </c>
      <c r="G3" s="216">
        <v>19.5</v>
      </c>
      <c r="H3" s="216">
        <v>20</v>
      </c>
      <c r="I3" s="216">
        <v>20.5</v>
      </c>
      <c r="J3" s="216">
        <v>21</v>
      </c>
      <c r="K3" s="216">
        <v>21.5</v>
      </c>
      <c r="L3" s="216">
        <v>22</v>
      </c>
      <c r="M3" s="216">
        <v>22.5</v>
      </c>
      <c r="N3" s="216">
        <v>23</v>
      </c>
      <c r="O3" s="216">
        <v>23.5</v>
      </c>
      <c r="P3" s="216">
        <v>24</v>
      </c>
      <c r="Q3" s="216">
        <v>24.5</v>
      </c>
      <c r="R3" s="216">
        <v>25</v>
      </c>
      <c r="S3" s="216">
        <v>25.5</v>
      </c>
      <c r="T3" s="216">
        <v>26</v>
      </c>
      <c r="U3" s="216">
        <v>26.5</v>
      </c>
      <c r="V3" s="216">
        <v>27</v>
      </c>
      <c r="W3" s="216">
        <v>27.5</v>
      </c>
      <c r="X3" s="216">
        <v>28</v>
      </c>
      <c r="Y3" s="216">
        <v>28.5</v>
      </c>
      <c r="Z3" s="216">
        <v>29</v>
      </c>
      <c r="AA3" s="216">
        <v>29.5</v>
      </c>
      <c r="AB3" s="216">
        <v>30</v>
      </c>
      <c r="AC3" s="216">
        <v>30.5</v>
      </c>
      <c r="AD3" s="216">
        <v>31</v>
      </c>
      <c r="AE3" s="216">
        <v>31.5</v>
      </c>
      <c r="AF3" s="216">
        <v>32</v>
      </c>
      <c r="AG3" s="216">
        <v>32.5</v>
      </c>
      <c r="AH3" s="216">
        <v>33</v>
      </c>
      <c r="AI3" s="216">
        <v>33.5</v>
      </c>
      <c r="AJ3" s="216">
        <v>34</v>
      </c>
      <c r="AK3" s="216">
        <v>34.5</v>
      </c>
      <c r="AL3" s="216">
        <v>35</v>
      </c>
      <c r="AM3" s="216">
        <v>35.5</v>
      </c>
      <c r="AN3" s="216">
        <v>36</v>
      </c>
      <c r="AO3" s="216">
        <v>36.5</v>
      </c>
      <c r="AP3" s="216">
        <v>37</v>
      </c>
      <c r="AQ3" s="216">
        <v>37.5</v>
      </c>
      <c r="AR3" s="216">
        <v>38</v>
      </c>
      <c r="AS3" s="216">
        <v>38.5</v>
      </c>
      <c r="AT3" s="216">
        <v>39</v>
      </c>
      <c r="AU3" s="216">
        <v>39.5</v>
      </c>
      <c r="AV3" s="216">
        <v>40</v>
      </c>
    </row>
    <row r="4" spans="1:48">
      <c r="A4" s="94">
        <v>0.05</v>
      </c>
    </row>
    <row r="5" spans="1:48">
      <c r="A5" s="94">
        <v>0.06</v>
      </c>
    </row>
    <row r="6" spans="1:48">
      <c r="A6" s="94">
        <v>7.0000000000000007E-2</v>
      </c>
    </row>
    <row r="7" spans="1:48">
      <c r="A7" s="94">
        <v>0.08</v>
      </c>
    </row>
    <row r="8" spans="1:48">
      <c r="A8" s="94">
        <v>0.09</v>
      </c>
    </row>
    <row r="9" spans="1:48">
      <c r="A9" s="94">
        <v>0.1</v>
      </c>
    </row>
    <row r="10" spans="1:48">
      <c r="A10" s="94">
        <v>0.11</v>
      </c>
    </row>
    <row r="11" spans="1:48">
      <c r="A11" s="94">
        <v>0.12</v>
      </c>
    </row>
    <row r="12" spans="1:48">
      <c r="A12" s="94">
        <v>0.13</v>
      </c>
    </row>
    <row r="13" spans="1:48">
      <c r="A13" s="94">
        <v>0.14000000000000001</v>
      </c>
      <c r="S13" s="1">
        <v>8</v>
      </c>
      <c r="T13" s="1">
        <v>7</v>
      </c>
    </row>
    <row r="14" spans="1:48">
      <c r="A14" s="94">
        <v>0.15</v>
      </c>
    </row>
    <row r="15" spans="1:48">
      <c r="A15" s="94">
        <v>0.16</v>
      </c>
    </row>
    <row r="16" spans="1:48">
      <c r="A16" s="94">
        <v>0.17</v>
      </c>
    </row>
    <row r="17" spans="1:1">
      <c r="A17" s="94">
        <v>0.18</v>
      </c>
    </row>
    <row r="18" spans="1:1">
      <c r="A18" s="94">
        <v>0.19</v>
      </c>
    </row>
    <row r="19" spans="1:1">
      <c r="A19" s="94">
        <v>0.2</v>
      </c>
    </row>
    <row r="20" spans="1:1">
      <c r="A20" s="94">
        <v>0.21</v>
      </c>
    </row>
    <row r="21" spans="1:1">
      <c r="A21" s="94">
        <v>0.22</v>
      </c>
    </row>
    <row r="22" spans="1:1">
      <c r="A22" s="94">
        <v>0.23</v>
      </c>
    </row>
    <row r="23" spans="1:1">
      <c r="A23" s="94">
        <v>0.24</v>
      </c>
    </row>
    <row r="24" spans="1:1">
      <c r="A24" s="94">
        <v>0.25</v>
      </c>
    </row>
    <row r="25" spans="1:1">
      <c r="A25" s="94">
        <v>0.26</v>
      </c>
    </row>
    <row r="26" spans="1:1">
      <c r="A26" s="94">
        <v>0.27</v>
      </c>
    </row>
    <row r="27" spans="1:1">
      <c r="A27" s="94">
        <v>0.28000000000000003</v>
      </c>
    </row>
    <row r="28" spans="1:1">
      <c r="A28" s="94">
        <v>0.28999999999999998</v>
      </c>
    </row>
    <row r="29" spans="1:1">
      <c r="A29" s="94">
        <v>0.3</v>
      </c>
    </row>
    <row r="30" spans="1:1">
      <c r="A30" s="94">
        <v>0.31</v>
      </c>
    </row>
    <row r="31" spans="1:1">
      <c r="A31" s="94">
        <v>0.32</v>
      </c>
    </row>
    <row r="32" spans="1:1">
      <c r="A32" s="94">
        <v>0.33</v>
      </c>
    </row>
    <row r="33" spans="1:1">
      <c r="A33" s="94">
        <v>0.34</v>
      </c>
    </row>
    <row r="34" spans="1:1">
      <c r="A34" s="94">
        <v>0.35</v>
      </c>
    </row>
    <row r="35" spans="1:1">
      <c r="A35" s="94">
        <v>0.36</v>
      </c>
    </row>
    <row r="36" spans="1:1">
      <c r="A36" s="94">
        <v>0.37</v>
      </c>
    </row>
    <row r="37" spans="1:1">
      <c r="A37" s="94">
        <v>0.38</v>
      </c>
    </row>
    <row r="38" spans="1:1">
      <c r="A38" s="94">
        <v>0.39</v>
      </c>
    </row>
    <row r="39" spans="1:1">
      <c r="A39" s="94">
        <v>0.4</v>
      </c>
    </row>
    <row r="40" spans="1:1">
      <c r="A40" s="94">
        <v>0.41</v>
      </c>
    </row>
    <row r="41" spans="1:1">
      <c r="A41" s="94">
        <v>0.42</v>
      </c>
    </row>
    <row r="42" spans="1:1">
      <c r="A42" s="94">
        <v>0.43</v>
      </c>
    </row>
    <row r="43" spans="1:1">
      <c r="A43" s="94">
        <v>0.44</v>
      </c>
    </row>
    <row r="44" spans="1:1">
      <c r="A44" s="94">
        <v>0.45</v>
      </c>
    </row>
    <row r="45" spans="1:1">
      <c r="A45" s="94">
        <v>0.46</v>
      </c>
    </row>
    <row r="46" spans="1:1">
      <c r="A46" s="94">
        <v>0.47</v>
      </c>
    </row>
    <row r="47" spans="1:1">
      <c r="A47" s="94">
        <v>0.48</v>
      </c>
    </row>
    <row r="48" spans="1:1">
      <c r="A48" s="94">
        <v>0.49</v>
      </c>
    </row>
    <row r="49" spans="1:48">
      <c r="A49" s="94">
        <v>0.5</v>
      </c>
    </row>
    <row r="51" spans="1:48">
      <c r="A51" s="5" t="s">
        <v>591</v>
      </c>
    </row>
    <row r="53" spans="1:48">
      <c r="B53" s="216">
        <v>17</v>
      </c>
      <c r="C53" s="216">
        <v>17.5</v>
      </c>
      <c r="D53" s="216">
        <v>18</v>
      </c>
      <c r="E53" s="216">
        <v>18.5</v>
      </c>
      <c r="F53" s="216">
        <v>19</v>
      </c>
      <c r="G53" s="216">
        <v>19.5</v>
      </c>
      <c r="H53" s="216">
        <v>20</v>
      </c>
      <c r="I53" s="216">
        <v>20.5</v>
      </c>
      <c r="J53" s="216">
        <v>21</v>
      </c>
      <c r="K53" s="216">
        <v>21.5</v>
      </c>
      <c r="L53" s="216">
        <v>22</v>
      </c>
      <c r="M53" s="216">
        <v>22.5</v>
      </c>
      <c r="N53" s="216">
        <v>23</v>
      </c>
      <c r="O53" s="216">
        <v>23.5</v>
      </c>
      <c r="P53" s="216">
        <v>24</v>
      </c>
      <c r="Q53" s="216">
        <v>24.5</v>
      </c>
      <c r="R53" s="216">
        <v>25</v>
      </c>
      <c r="S53" s="216">
        <v>25.5</v>
      </c>
      <c r="T53" s="216">
        <v>26</v>
      </c>
      <c r="U53" s="216">
        <v>26.5</v>
      </c>
      <c r="V53" s="216">
        <v>27</v>
      </c>
      <c r="W53" s="216">
        <v>27.5</v>
      </c>
      <c r="X53" s="216">
        <v>28</v>
      </c>
      <c r="Y53" s="216">
        <v>28.5</v>
      </c>
      <c r="Z53" s="216">
        <v>29</v>
      </c>
      <c r="AA53" s="216">
        <v>29.5</v>
      </c>
      <c r="AB53" s="216">
        <v>30</v>
      </c>
      <c r="AC53" s="216">
        <v>30.5</v>
      </c>
      <c r="AD53" s="216">
        <v>31</v>
      </c>
      <c r="AE53" s="216">
        <v>31.5</v>
      </c>
      <c r="AF53" s="216">
        <v>32</v>
      </c>
      <c r="AG53" s="216">
        <v>32.5</v>
      </c>
      <c r="AH53" s="216">
        <v>33</v>
      </c>
      <c r="AI53" s="216">
        <v>33.5</v>
      </c>
      <c r="AJ53" s="216">
        <v>34</v>
      </c>
      <c r="AK53" s="216">
        <v>34.5</v>
      </c>
      <c r="AL53" s="216">
        <v>35</v>
      </c>
      <c r="AM53" s="216">
        <v>35.5</v>
      </c>
      <c r="AN53" s="216">
        <v>36</v>
      </c>
      <c r="AO53" s="216">
        <v>36.5</v>
      </c>
      <c r="AP53" s="216">
        <v>37</v>
      </c>
      <c r="AQ53" s="216">
        <v>37.5</v>
      </c>
      <c r="AR53" s="216">
        <v>38</v>
      </c>
      <c r="AS53" s="216">
        <v>38.5</v>
      </c>
      <c r="AT53" s="216">
        <v>39</v>
      </c>
      <c r="AU53" s="216">
        <v>39.5</v>
      </c>
      <c r="AV53" s="216">
        <v>40</v>
      </c>
    </row>
    <row r="54" spans="1:48">
      <c r="A54" s="94">
        <v>0.05</v>
      </c>
    </row>
    <row r="55" spans="1:48">
      <c r="A55" s="94">
        <v>0.06</v>
      </c>
    </row>
    <row r="56" spans="1:48">
      <c r="A56" s="94">
        <v>7.0000000000000007E-2</v>
      </c>
    </row>
    <row r="57" spans="1:48">
      <c r="A57" s="94">
        <v>0.08</v>
      </c>
    </row>
    <row r="58" spans="1:48">
      <c r="A58" s="94">
        <v>0.09</v>
      </c>
    </row>
    <row r="59" spans="1:48">
      <c r="A59" s="94">
        <v>0.1</v>
      </c>
    </row>
    <row r="60" spans="1:48">
      <c r="A60" s="94">
        <v>0.11</v>
      </c>
    </row>
    <row r="61" spans="1:48">
      <c r="A61" s="94">
        <v>0.12</v>
      </c>
    </row>
    <row r="62" spans="1:48">
      <c r="A62" s="94">
        <v>0.13</v>
      </c>
    </row>
    <row r="63" spans="1:48">
      <c r="A63" s="94">
        <v>0.14000000000000001</v>
      </c>
      <c r="S63" s="1">
        <v>8</v>
      </c>
      <c r="T63" s="1">
        <v>7</v>
      </c>
    </row>
    <row r="64" spans="1:48">
      <c r="A64" s="94">
        <v>0.15</v>
      </c>
    </row>
    <row r="65" spans="1:1">
      <c r="A65" s="94">
        <v>0.16</v>
      </c>
    </row>
    <row r="66" spans="1:1">
      <c r="A66" s="94">
        <v>0.17</v>
      </c>
    </row>
    <row r="67" spans="1:1">
      <c r="A67" s="94">
        <v>0.18</v>
      </c>
    </row>
    <row r="68" spans="1:1">
      <c r="A68" s="94">
        <v>0.19</v>
      </c>
    </row>
    <row r="69" spans="1:1">
      <c r="A69" s="94">
        <v>0.2</v>
      </c>
    </row>
    <row r="70" spans="1:1">
      <c r="A70" s="94">
        <v>0.21</v>
      </c>
    </row>
    <row r="71" spans="1:1">
      <c r="A71" s="94">
        <v>0.22</v>
      </c>
    </row>
    <row r="72" spans="1:1">
      <c r="A72" s="94">
        <v>0.23</v>
      </c>
    </row>
    <row r="73" spans="1:1">
      <c r="A73" s="94">
        <v>0.24</v>
      </c>
    </row>
    <row r="74" spans="1:1">
      <c r="A74" s="94">
        <v>0.25</v>
      </c>
    </row>
    <row r="75" spans="1:1">
      <c r="A75" s="94">
        <v>0.26</v>
      </c>
    </row>
    <row r="76" spans="1:1">
      <c r="A76" s="94">
        <v>0.27</v>
      </c>
    </row>
    <row r="77" spans="1:1">
      <c r="A77" s="94">
        <v>0.28000000000000003</v>
      </c>
    </row>
    <row r="78" spans="1:1">
      <c r="A78" s="94">
        <v>0.28999999999999998</v>
      </c>
    </row>
    <row r="79" spans="1:1">
      <c r="A79" s="94">
        <v>0.3</v>
      </c>
    </row>
    <row r="80" spans="1:1">
      <c r="A80" s="94">
        <v>0.31</v>
      </c>
    </row>
    <row r="81" spans="1:1">
      <c r="A81" s="94">
        <v>0.32</v>
      </c>
    </row>
    <row r="82" spans="1:1">
      <c r="A82" s="94">
        <v>0.33</v>
      </c>
    </row>
    <row r="83" spans="1:1">
      <c r="A83" s="94">
        <v>0.34</v>
      </c>
    </row>
    <row r="84" spans="1:1">
      <c r="A84" s="94">
        <v>0.35</v>
      </c>
    </row>
    <row r="85" spans="1:1">
      <c r="A85" s="94">
        <v>0.36</v>
      </c>
    </row>
    <row r="86" spans="1:1">
      <c r="A86" s="94">
        <v>0.37</v>
      </c>
    </row>
    <row r="87" spans="1:1">
      <c r="A87" s="94">
        <v>0.38</v>
      </c>
    </row>
    <row r="88" spans="1:1">
      <c r="A88" s="94">
        <v>0.39</v>
      </c>
    </row>
    <row r="89" spans="1:1">
      <c r="A89" s="94">
        <v>0.4</v>
      </c>
    </row>
    <row r="90" spans="1:1">
      <c r="A90" s="94">
        <v>0.41</v>
      </c>
    </row>
    <row r="91" spans="1:1">
      <c r="A91" s="94">
        <v>0.42</v>
      </c>
    </row>
    <row r="92" spans="1:1">
      <c r="A92" s="94">
        <v>0.43</v>
      </c>
    </row>
    <row r="93" spans="1:1">
      <c r="A93" s="94">
        <v>0.44</v>
      </c>
    </row>
    <row r="94" spans="1:1">
      <c r="A94" s="94">
        <v>0.45</v>
      </c>
    </row>
    <row r="95" spans="1:1">
      <c r="A95" s="94">
        <v>0.46</v>
      </c>
    </row>
    <row r="96" spans="1:1">
      <c r="A96" s="94">
        <v>0.47</v>
      </c>
    </row>
    <row r="97" spans="1:1">
      <c r="A97" s="94">
        <v>0.48</v>
      </c>
    </row>
    <row r="98" spans="1:1">
      <c r="A98" s="94">
        <v>0.49</v>
      </c>
    </row>
    <row r="99" spans="1:1">
      <c r="A99" s="94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S18"/>
  <sheetViews>
    <sheetView workbookViewId="0">
      <selection activeCell="C4" sqref="C4"/>
    </sheetView>
  </sheetViews>
  <sheetFormatPr defaultRowHeight="13.2"/>
  <cols>
    <col min="1" max="1" width="2.5546875" style="189" customWidth="1"/>
    <col min="2" max="2" width="13.21875" style="183" bestFit="1" customWidth="1"/>
    <col min="3" max="19" width="8.88671875" style="189"/>
    <col min="20" max="20" width="2.6640625" style="189" customWidth="1"/>
    <col min="21" max="16384" width="8.88671875" style="189"/>
  </cols>
  <sheetData>
    <row r="1" spans="2:19" ht="8.4" customHeight="1" thickBot="1"/>
    <row r="2" spans="2:19" s="184" customFormat="1" ht="13.8" thickBot="1">
      <c r="B2" s="217" t="s">
        <v>592</v>
      </c>
      <c r="C2" s="218">
        <v>8.5</v>
      </c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9">
        <v>0.5</v>
      </c>
    </row>
    <row r="3" spans="2:19">
      <c r="B3" s="220">
        <v>8</v>
      </c>
      <c r="C3" s="221">
        <f>POWER((C$2+6.5)/14,0.6)/POWER((15/14),0.6)*(SQRT($B3)/SQRT(8))</f>
        <v>1</v>
      </c>
      <c r="D3" s="222">
        <f t="shared" ref="D3:S18" si="0">POWER((D$2+6.5)/14,0.6)/POWER((15/14),0.6)*(SQRT($B3)/SQRT(8))</f>
        <v>0.97986455014727314</v>
      </c>
      <c r="E3" s="222">
        <f t="shared" si="0"/>
        <v>0.95944937873158653</v>
      </c>
      <c r="F3" s="222">
        <f t="shared" si="0"/>
        <v>0.93874039335956949</v>
      </c>
      <c r="G3" s="222">
        <f t="shared" si="0"/>
        <v>0.91772223886856297</v>
      </c>
      <c r="H3" s="222">
        <f t="shared" si="0"/>
        <v>0.8963781307771419</v>
      </c>
      <c r="I3" s="222">
        <f t="shared" si="0"/>
        <v>0.87468965915462238</v>
      </c>
      <c r="J3" s="222">
        <f t="shared" si="0"/>
        <v>0.85263655618876089</v>
      </c>
      <c r="K3" s="222">
        <f t="shared" si="0"/>
        <v>0.83019641884114292</v>
      </c>
      <c r="L3" s="222">
        <f t="shared" si="0"/>
        <v>0.8073443754472972</v>
      </c>
      <c r="M3" s="222">
        <f t="shared" si="0"/>
        <v>0.78405268168311582</v>
      </c>
      <c r="N3" s="222">
        <f t="shared" si="0"/>
        <v>0.76029022659663359</v>
      </c>
      <c r="O3" s="222">
        <f t="shared" si="0"/>
        <v>0.73602192281783341</v>
      </c>
      <c r="P3" s="222">
        <f t="shared" si="0"/>
        <v>0.71120794572645207</v>
      </c>
      <c r="Q3" s="222">
        <f t="shared" si="0"/>
        <v>0.68580277290067215</v>
      </c>
      <c r="R3" s="222">
        <f t="shared" si="0"/>
        <v>0.6597539553864471</v>
      </c>
      <c r="S3" s="223">
        <f t="shared" si="0"/>
        <v>0.63300052261123352</v>
      </c>
    </row>
    <row r="4" spans="2:19">
      <c r="B4" s="220">
        <v>7.5</v>
      </c>
      <c r="C4" s="224">
        <f>POWER((C$2+6.5)/14,0.6)/POWER((15/14),0.6)*(SQRT($B4)/SQRT(8))</f>
        <v>0.96824583655185414</v>
      </c>
      <c r="D4" s="225">
        <f t="shared" si="0"/>
        <v>0.9487497710648527</v>
      </c>
      <c r="E4" s="225">
        <f t="shared" si="0"/>
        <v>0.92898286633912175</v>
      </c>
      <c r="F4" s="225">
        <f t="shared" si="0"/>
        <v>0.90893147747345304</v>
      </c>
      <c r="G4" s="225">
        <f t="shared" si="0"/>
        <v>0.8885807368955323</v>
      </c>
      <c r="H4" s="225">
        <f t="shared" si="0"/>
        <v>0.86791439310110108</v>
      </c>
      <c r="I4" s="225">
        <f t="shared" si="0"/>
        <v>0.84691462075142354</v>
      </c>
      <c r="J4" s="225">
        <f t="shared" si="0"/>
        <v>0.82556179562167875</v>
      </c>
      <c r="K4" s="225">
        <f t="shared" si="0"/>
        <v>0.80383422606319588</v>
      </c>
      <c r="L4" s="225">
        <f t="shared" si="0"/>
        <v>0.78170783019040246</v>
      </c>
      <c r="M4" s="225">
        <f t="shared" si="0"/>
        <v>0.75915574467699309</v>
      </c>
      <c r="N4" s="225">
        <f t="shared" si="0"/>
        <v>0.73614784647325626</v>
      </c>
      <c r="O4" s="225">
        <f t="shared" si="0"/>
        <v>0.71265016237925738</v>
      </c>
      <c r="P4" s="225">
        <f t="shared" si="0"/>
        <v>0.6886241323722343</v>
      </c>
      <c r="Q4" s="225">
        <f t="shared" si="0"/>
        <v>0.66402567955679259</v>
      </c>
      <c r="R4" s="225">
        <f t="shared" si="0"/>
        <v>0.63880402045154516</v>
      </c>
      <c r="S4" s="226">
        <f t="shared" si="0"/>
        <v>0.61290012055347465</v>
      </c>
    </row>
    <row r="5" spans="2:19">
      <c r="B5" s="220">
        <v>7</v>
      </c>
      <c r="C5" s="224">
        <f t="shared" ref="C5:R18" si="1">POWER((C$2+6.5)/14,0.6)/POWER((15/14),0.6)*(SQRT($B5)/SQRT(8))</f>
        <v>0.93541434669348533</v>
      </c>
      <c r="D5" s="225">
        <f t="shared" si="1"/>
        <v>0.91657935802411739</v>
      </c>
      <c r="E5" s="225">
        <f t="shared" si="1"/>
        <v>0.89748271379167743</v>
      </c>
      <c r="F5" s="225">
        <f t="shared" si="1"/>
        <v>0.87811123176922712</v>
      </c>
      <c r="G5" s="225">
        <f t="shared" si="1"/>
        <v>0.8584505485173195</v>
      </c>
      <c r="H5" s="225">
        <f t="shared" si="1"/>
        <v>0.83848496359122771</v>
      </c>
      <c r="I5" s="225">
        <f t="shared" si="1"/>
        <v>0.81819725607766847</v>
      </c>
      <c r="J5" s="225">
        <f t="shared" si="1"/>
        <v>0.79756846717429297</v>
      </c>
      <c r="K5" s="225">
        <f t="shared" si="1"/>
        <v>0.77657764075755886</v>
      </c>
      <c r="L5" s="225">
        <f t="shared" si="1"/>
        <v>0.75520151151569348</v>
      </c>
      <c r="M5" s="225">
        <f t="shared" si="1"/>
        <v>0.73341412700988695</v>
      </c>
      <c r="N5" s="225">
        <f t="shared" si="1"/>
        <v>0.71118638560933189</v>
      </c>
      <c r="O5" s="225">
        <f t="shared" si="1"/>
        <v>0.68848546608472649</v>
      </c>
      <c r="P5" s="225">
        <f t="shared" si="1"/>
        <v>0.66527411591492491</v>
      </c>
      <c r="Q5" s="225">
        <f t="shared" si="1"/>
        <v>0.64150975277346289</v>
      </c>
      <c r="R5" s="225">
        <f t="shared" si="1"/>
        <v>0.61714331515625631</v>
      </c>
      <c r="S5" s="226">
        <f t="shared" si="0"/>
        <v>0.59211777031502177</v>
      </c>
    </row>
    <row r="6" spans="2:19">
      <c r="B6" s="220">
        <v>6.5</v>
      </c>
      <c r="C6" s="224">
        <f t="shared" si="1"/>
        <v>0.90138781886599717</v>
      </c>
      <c r="D6" s="225">
        <f t="shared" si="0"/>
        <v>0.88323796964136203</v>
      </c>
      <c r="E6" s="225">
        <f t="shared" si="0"/>
        <v>0.86483598280720086</v>
      </c>
      <c r="F6" s="225">
        <f t="shared" si="0"/>
        <v>0.84616915565179052</v>
      </c>
      <c r="G6" s="225">
        <f t="shared" si="0"/>
        <v>0.82722364721855357</v>
      </c>
      <c r="H6" s="225">
        <f t="shared" si="0"/>
        <v>0.80798432818038746</v>
      </c>
      <c r="I6" s="225">
        <f t="shared" si="0"/>
        <v>0.78843460405002752</v>
      </c>
      <c r="J6" s="225">
        <f t="shared" si="0"/>
        <v>0.76855620566840244</v>
      </c>
      <c r="K6" s="225">
        <f t="shared" si="0"/>
        <v>0.74832893920957966</v>
      </c>
      <c r="L6" s="225">
        <f t="shared" si="0"/>
        <v>0.72773038565816994</v>
      </c>
      <c r="M6" s="225">
        <f t="shared" si="0"/>
        <v>0.70673553661837973</v>
      </c>
      <c r="N6" s="225">
        <f t="shared" si="0"/>
        <v>0.68531634905707428</v>
      </c>
      <c r="O6" s="225">
        <f t="shared" si="0"/>
        <v>0.6634411956463242</v>
      </c>
      <c r="P6" s="225">
        <f t="shared" si="0"/>
        <v>0.64107417895853314</v>
      </c>
      <c r="Q6" s="225">
        <f t="shared" si="0"/>
        <v>0.61817426563718969</v>
      </c>
      <c r="R6" s="225">
        <f t="shared" si="0"/>
        <v>0.59469417883400399</v>
      </c>
      <c r="S6" s="226">
        <f t="shared" si="0"/>
        <v>0.57057896041757605</v>
      </c>
    </row>
    <row r="7" spans="2:19">
      <c r="B7" s="220">
        <v>6</v>
      </c>
      <c r="C7" s="224">
        <f t="shared" si="1"/>
        <v>0.86602540378443849</v>
      </c>
      <c r="D7" s="225">
        <f t="shared" si="0"/>
        <v>0.84858759269534945</v>
      </c>
      <c r="E7" s="225">
        <f t="shared" si="0"/>
        <v>0.8309075356267509</v>
      </c>
      <c r="F7" s="225">
        <f t="shared" si="0"/>
        <v>0.81297302820798378</v>
      </c>
      <c r="G7" s="225">
        <f t="shared" si="0"/>
        <v>0.79477077247810612</v>
      </c>
      <c r="H7" s="225">
        <f t="shared" si="0"/>
        <v>0.77628623264981456</v>
      </c>
      <c r="I7" s="225">
        <f t="shared" si="0"/>
        <v>0.75750346525545476</v>
      </c>
      <c r="J7" s="225">
        <f t="shared" si="0"/>
        <v>0.73840491785474471</v>
      </c>
      <c r="K7" s="225">
        <f t="shared" si="0"/>
        <v>0.71897118884729561</v>
      </c>
      <c r="L7" s="225">
        <f t="shared" si="0"/>
        <v>0.69918073873984088</v>
      </c>
      <c r="M7" s="225">
        <f t="shared" si="0"/>
        <v>0.67900954024289217</v>
      </c>
      <c r="N7" s="225">
        <f t="shared" si="0"/>
        <v>0.65843065048171179</v>
      </c>
      <c r="O7" s="225">
        <f t="shared" si="0"/>
        <v>0.63741368290251299</v>
      </c>
      <c r="P7" s="225">
        <f t="shared" si="0"/>
        <v>0.61592414837245169</v>
      </c>
      <c r="Q7" s="225">
        <f t="shared" si="0"/>
        <v>0.59392262331779222</v>
      </c>
      <c r="R7" s="225">
        <f t="shared" si="0"/>
        <v>0.5713636856119283</v>
      </c>
      <c r="S7" s="226">
        <f t="shared" si="0"/>
        <v>0.5481945331901541</v>
      </c>
    </row>
    <row r="8" spans="2:19">
      <c r="B8" s="220">
        <v>5.5</v>
      </c>
      <c r="C8" s="224">
        <f t="shared" si="1"/>
        <v>0.82915619758884995</v>
      </c>
      <c r="D8" s="225">
        <f t="shared" si="0"/>
        <v>0.81246076455222194</v>
      </c>
      <c r="E8" s="225">
        <f t="shared" si="0"/>
        <v>0.79553339864806671</v>
      </c>
      <c r="F8" s="225">
        <f t="shared" si="0"/>
        <v>0.77836241508108195</v>
      </c>
      <c r="G8" s="225">
        <f t="shared" si="0"/>
        <v>0.76093508202298399</v>
      </c>
      <c r="H8" s="225">
        <f t="shared" si="0"/>
        <v>0.74323748251697586</v>
      </c>
      <c r="I8" s="225">
        <f t="shared" si="0"/>
        <v>0.72525435185493392</v>
      </c>
      <c r="J8" s="225">
        <f t="shared" si="0"/>
        <v>0.70696888485472476</v>
      </c>
      <c r="K8" s="225">
        <f t="shared" si="0"/>
        <v>0.68836250589820236</v>
      </c>
      <c r="L8" s="225">
        <f t="shared" si="0"/>
        <v>0.66941459249062585</v>
      </c>
      <c r="M8" s="225">
        <f t="shared" si="0"/>
        <v>0.65010214025371327</v>
      </c>
      <c r="N8" s="225">
        <f t="shared" si="0"/>
        <v>0.63039935334882979</v>
      </c>
      <c r="O8" s="225">
        <f t="shared" si="0"/>
        <v>0.6102771388656687</v>
      </c>
      <c r="P8" s="225">
        <f t="shared" si="0"/>
        <v>0.58970247597352221</v>
      </c>
      <c r="Q8" s="225">
        <f t="shared" si="0"/>
        <v>0.56863761947421088</v>
      </c>
      <c r="R8" s="225">
        <f t="shared" si="0"/>
        <v>0.54703908099243026</v>
      </c>
      <c r="S8" s="226">
        <f t="shared" si="0"/>
        <v>0.52485630640008518</v>
      </c>
    </row>
    <row r="9" spans="2:19">
      <c r="B9" s="220">
        <v>5</v>
      </c>
      <c r="C9" s="224">
        <f t="shared" si="1"/>
        <v>0.79056941504209477</v>
      </c>
      <c r="D9" s="225">
        <f t="shared" si="0"/>
        <v>0.77465094423041503</v>
      </c>
      <c r="E9" s="225">
        <f t="shared" si="0"/>
        <v>0.75851133410633165</v>
      </c>
      <c r="F9" s="225">
        <f t="shared" si="0"/>
        <v>0.74213944365466078</v>
      </c>
      <c r="G9" s="225">
        <f t="shared" si="0"/>
        <v>0.72552313355344145</v>
      </c>
      <c r="H9" s="225">
        <f t="shared" si="0"/>
        <v>0.70864913450501144</v>
      </c>
      <c r="I9" s="225">
        <f t="shared" si="0"/>
        <v>0.69150289218123906</v>
      </c>
      <c r="J9" s="225">
        <f t="shared" si="0"/>
        <v>0.67406838346965481</v>
      </c>
      <c r="K9" s="225">
        <f t="shared" si="0"/>
        <v>0.65632789721328422</v>
      </c>
      <c r="L9" s="225">
        <f t="shared" si="0"/>
        <v>0.63826177063489509</v>
      </c>
      <c r="M9" s="225">
        <f t="shared" si="0"/>
        <v>0.61984806992040664</v>
      </c>
      <c r="N9" s="225">
        <f t="shared" si="0"/>
        <v>0.60106219970272234</v>
      </c>
      <c r="O9" s="225">
        <f t="shared" si="0"/>
        <v>0.58187642098025238</v>
      </c>
      <c r="P9" s="225">
        <f t="shared" si="0"/>
        <v>0.56225924962625107</v>
      </c>
      <c r="Q9" s="225">
        <f t="shared" si="0"/>
        <v>0.54217469700633092</v>
      </c>
      <c r="R9" s="225">
        <f t="shared" si="0"/>
        <v>0.52158129858157176</v>
      </c>
      <c r="S9" s="226">
        <f t="shared" si="0"/>
        <v>0.50043085288210321</v>
      </c>
    </row>
    <row r="10" spans="2:19">
      <c r="B10" s="220">
        <v>4.5</v>
      </c>
      <c r="C10" s="224">
        <f t="shared" si="1"/>
        <v>0.74999999999999989</v>
      </c>
      <c r="D10" s="225">
        <f t="shared" si="0"/>
        <v>0.73489841261045474</v>
      </c>
      <c r="E10" s="225">
        <f t="shared" si="0"/>
        <v>0.71958703404868984</v>
      </c>
      <c r="F10" s="225">
        <f t="shared" si="0"/>
        <v>0.70405529501967701</v>
      </c>
      <c r="G10" s="225">
        <f t="shared" si="0"/>
        <v>0.68829167915142209</v>
      </c>
      <c r="H10" s="225">
        <f t="shared" si="0"/>
        <v>0.67228359808285632</v>
      </c>
      <c r="I10" s="225">
        <f t="shared" si="0"/>
        <v>0.65601724436596665</v>
      </c>
      <c r="J10" s="225">
        <f t="shared" si="0"/>
        <v>0.63947741714157058</v>
      </c>
      <c r="K10" s="225">
        <f t="shared" si="0"/>
        <v>0.62264731413085705</v>
      </c>
      <c r="L10" s="225">
        <f t="shared" si="0"/>
        <v>0.60550828158547276</v>
      </c>
      <c r="M10" s="225">
        <f t="shared" si="0"/>
        <v>0.58803951126233678</v>
      </c>
      <c r="N10" s="225">
        <f t="shared" si="0"/>
        <v>0.57021766994747514</v>
      </c>
      <c r="O10" s="225">
        <f t="shared" si="0"/>
        <v>0.55201644211337497</v>
      </c>
      <c r="P10" s="225">
        <f t="shared" si="0"/>
        <v>0.53340595929483903</v>
      </c>
      <c r="Q10" s="225">
        <f t="shared" si="0"/>
        <v>0.514352079675504</v>
      </c>
      <c r="R10" s="225">
        <f t="shared" si="0"/>
        <v>0.49481546653983527</v>
      </c>
      <c r="S10" s="226">
        <f t="shared" si="0"/>
        <v>0.47475039195842506</v>
      </c>
    </row>
    <row r="11" spans="2:19">
      <c r="B11" s="220">
        <v>4</v>
      </c>
      <c r="C11" s="224">
        <f t="shared" si="1"/>
        <v>0.70710678118654746</v>
      </c>
      <c r="D11" s="225">
        <f t="shared" si="0"/>
        <v>0.69286886805344261</v>
      </c>
      <c r="E11" s="225">
        <f t="shared" si="0"/>
        <v>0.67843316190632486</v>
      </c>
      <c r="F11" s="225">
        <f t="shared" si="0"/>
        <v>0.66378969791827858</v>
      </c>
      <c r="G11" s="225">
        <f t="shared" si="0"/>
        <v>0.64892761834966139</v>
      </c>
      <c r="H11" s="225">
        <f t="shared" si="0"/>
        <v>0.63383505477983892</v>
      </c>
      <c r="I11" s="225">
        <f t="shared" si="0"/>
        <v>0.61849898942198334</v>
      </c>
      <c r="J11" s="225">
        <f t="shared" si="0"/>
        <v>0.60290509076861754</v>
      </c>
      <c r="K11" s="225">
        <f t="shared" si="0"/>
        <v>0.58703751747935939</v>
      </c>
      <c r="L11" s="225">
        <f t="shared" si="0"/>
        <v>0.5708786826316018</v>
      </c>
      <c r="M11" s="225">
        <f t="shared" si="0"/>
        <v>0.55440896802562878</v>
      </c>
      <c r="N11" s="225">
        <f t="shared" si="0"/>
        <v>0.53760637489633634</v>
      </c>
      <c r="O11" s="225">
        <f t="shared" si="0"/>
        <v>0.5204460927264517</v>
      </c>
      <c r="P11" s="225">
        <f t="shared" si="0"/>
        <v>0.50289996125692826</v>
      </c>
      <c r="Q11" s="225">
        <f t="shared" si="0"/>
        <v>0.48493579127460307</v>
      </c>
      <c r="R11" s="225">
        <f t="shared" si="0"/>
        <v>0.46651649576840365</v>
      </c>
      <c r="S11" s="226">
        <f t="shared" si="0"/>
        <v>0.44759896203303168</v>
      </c>
    </row>
    <row r="12" spans="2:19">
      <c r="B12" s="220">
        <v>3.5</v>
      </c>
      <c r="C12" s="224">
        <f t="shared" si="1"/>
        <v>0.66143782776614757</v>
      </c>
      <c r="D12" s="225">
        <f t="shared" si="0"/>
        <v>0.64811947955446569</v>
      </c>
      <c r="E12" s="225">
        <f t="shared" si="0"/>
        <v>0.63461611291980047</v>
      </c>
      <c r="F12" s="225">
        <f t="shared" si="0"/>
        <v>0.62091840662009257</v>
      </c>
      <c r="G12" s="225">
        <f t="shared" si="0"/>
        <v>0.60701620416990787</v>
      </c>
      <c r="H12" s="225">
        <f t="shared" si="0"/>
        <v>0.59289840367831248</v>
      </c>
      <c r="I12" s="225">
        <f t="shared" si="0"/>
        <v>0.57855282812074549</v>
      </c>
      <c r="J12" s="225">
        <f t="shared" si="0"/>
        <v>0.56396607159950285</v>
      </c>
      <c r="K12" s="225">
        <f t="shared" si="0"/>
        <v>0.54912331589752039</v>
      </c>
      <c r="L12" s="225">
        <f t="shared" si="0"/>
        <v>0.5340081099550773</v>
      </c>
      <c r="M12" s="225">
        <f t="shared" si="0"/>
        <v>0.51860210262670292</v>
      </c>
      <c r="N12" s="225">
        <f t="shared" si="0"/>
        <v>0.50288471595190942</v>
      </c>
      <c r="O12" s="225">
        <f t="shared" si="0"/>
        <v>0.48683274181689085</v>
      </c>
      <c r="P12" s="225">
        <f t="shared" si="0"/>
        <v>0.47041983871132864</v>
      </c>
      <c r="Q12" s="225">
        <f t="shared" si="0"/>
        <v>0.4536158963834212</v>
      </c>
      <c r="R12" s="225">
        <f t="shared" si="0"/>
        <v>0.43638622311093539</v>
      </c>
      <c r="S12" s="226">
        <f t="shared" si="0"/>
        <v>0.41869049065081049</v>
      </c>
    </row>
    <row r="13" spans="2:19">
      <c r="B13" s="220">
        <v>3</v>
      </c>
      <c r="C13" s="224">
        <f t="shared" si="1"/>
        <v>0.61237243569579447</v>
      </c>
      <c r="D13" s="225">
        <f t="shared" si="0"/>
        <v>0.60004204122564964</v>
      </c>
      <c r="E13" s="225">
        <f t="shared" si="0"/>
        <v>0.58754035298067842</v>
      </c>
      <c r="F13" s="225">
        <f t="shared" si="0"/>
        <v>0.57485874116762781</v>
      </c>
      <c r="G13" s="225">
        <f t="shared" si="0"/>
        <v>0.56198780270813964</v>
      </c>
      <c r="H13" s="225">
        <f t="shared" si="0"/>
        <v>0.54891725924844181</v>
      </c>
      <c r="I13" s="225">
        <f t="shared" si="0"/>
        <v>0.5356358370544404</v>
      </c>
      <c r="J13" s="225">
        <f t="shared" si="0"/>
        <v>0.52213112467658562</v>
      </c>
      <c r="K13" s="225">
        <f t="shared" si="0"/>
        <v>0.50838940311167669</v>
      </c>
      <c r="L13" s="225">
        <f t="shared" si="0"/>
        <v>0.49439544163796134</v>
      </c>
      <c r="M13" s="225">
        <f t="shared" si="0"/>
        <v>0.48013225039610907</v>
      </c>
      <c r="N13" s="225">
        <f t="shared" si="0"/>
        <v>0.465580777896688</v>
      </c>
      <c r="O13" s="225">
        <f t="shared" si="0"/>
        <v>0.45071953760145866</v>
      </c>
      <c r="P13" s="225">
        <f t="shared" si="0"/>
        <v>0.43552414201070988</v>
      </c>
      <c r="Q13" s="225">
        <f t="shared" si="0"/>
        <v>0.4199667144481144</v>
      </c>
      <c r="R13" s="225">
        <f t="shared" si="0"/>
        <v>0.40401513661993316</v>
      </c>
      <c r="S13" s="226">
        <f t="shared" si="0"/>
        <v>0.3876320718281519</v>
      </c>
    </row>
    <row r="14" spans="2:19">
      <c r="B14" s="220">
        <v>2.5</v>
      </c>
      <c r="C14" s="224">
        <f t="shared" si="1"/>
        <v>0.55901699437494745</v>
      </c>
      <c r="D14" s="225">
        <f t="shared" si="0"/>
        <v>0.54776093571788864</v>
      </c>
      <c r="E14" s="225">
        <f t="shared" si="0"/>
        <v>0.53634850795344213</v>
      </c>
      <c r="F14" s="225">
        <f t="shared" si="0"/>
        <v>0.52477183319422238</v>
      </c>
      <c r="G14" s="225">
        <f t="shared" si="0"/>
        <v>0.51302232764335165</v>
      </c>
      <c r="H14" s="225">
        <f t="shared" si="0"/>
        <v>0.50109060849047149</v>
      </c>
      <c r="I14" s="225">
        <f t="shared" si="0"/>
        <v>0.48896638427146422</v>
      </c>
      <c r="J14" s="225">
        <f t="shared" si="0"/>
        <v>0.47663832493484709</v>
      </c>
      <c r="K14" s="225">
        <f t="shared" si="0"/>
        <v>0.46409390680142071</v>
      </c>
      <c r="L14" s="225">
        <f t="shared" si="0"/>
        <v>0.45131922618806719</v>
      </c>
      <c r="M14" s="225">
        <f t="shared" si="0"/>
        <v>0.4382987735461128</v>
      </c>
      <c r="N14" s="225">
        <f t="shared" si="0"/>
        <v>0.42501515732469786</v>
      </c>
      <c r="O14" s="225">
        <f t="shared" si="0"/>
        <v>0.41144876308769479</v>
      </c>
      <c r="P14" s="225">
        <f t="shared" si="0"/>
        <v>0.397577328195582</v>
      </c>
      <c r="Q14" s="225">
        <f t="shared" si="0"/>
        <v>0.38337540484093841</v>
      </c>
      <c r="R14" s="225">
        <f t="shared" si="0"/>
        <v>0.36881367316711483</v>
      </c>
      <c r="S14" s="226">
        <f t="shared" si="0"/>
        <v>0.35385804958790273</v>
      </c>
    </row>
    <row r="15" spans="2:19">
      <c r="B15" s="220">
        <v>2</v>
      </c>
      <c r="C15" s="224">
        <f t="shared" si="1"/>
        <v>0.5</v>
      </c>
      <c r="D15" s="225">
        <f t="shared" si="0"/>
        <v>0.48993227507363657</v>
      </c>
      <c r="E15" s="225">
        <f t="shared" si="0"/>
        <v>0.47972468936579327</v>
      </c>
      <c r="F15" s="225">
        <f t="shared" si="0"/>
        <v>0.46937019667978475</v>
      </c>
      <c r="G15" s="225">
        <f t="shared" si="0"/>
        <v>0.45886111943428148</v>
      </c>
      <c r="H15" s="225">
        <f t="shared" si="0"/>
        <v>0.44818906538857095</v>
      </c>
      <c r="I15" s="225">
        <f t="shared" si="0"/>
        <v>0.43734482957731119</v>
      </c>
      <c r="J15" s="225">
        <f t="shared" si="0"/>
        <v>0.42631827809438044</v>
      </c>
      <c r="K15" s="225">
        <f t="shared" si="0"/>
        <v>0.41509820942057146</v>
      </c>
      <c r="L15" s="225">
        <f t="shared" si="0"/>
        <v>0.4036721877236486</v>
      </c>
      <c r="M15" s="225">
        <f t="shared" si="0"/>
        <v>0.39202634084155791</v>
      </c>
      <c r="N15" s="225">
        <f t="shared" si="0"/>
        <v>0.38014511329831679</v>
      </c>
      <c r="O15" s="225">
        <f t="shared" si="0"/>
        <v>0.3680109614089167</v>
      </c>
      <c r="P15" s="225">
        <f t="shared" si="0"/>
        <v>0.35560397286322604</v>
      </c>
      <c r="Q15" s="225">
        <f t="shared" si="0"/>
        <v>0.34290138645033608</v>
      </c>
      <c r="R15" s="225">
        <f t="shared" si="0"/>
        <v>0.32987697769322355</v>
      </c>
      <c r="S15" s="226">
        <f t="shared" si="0"/>
        <v>0.31650026130561676</v>
      </c>
    </row>
    <row r="16" spans="2:19">
      <c r="B16" s="220">
        <v>1.5</v>
      </c>
      <c r="C16" s="224">
        <f t="shared" si="1"/>
        <v>0.43301270189221924</v>
      </c>
      <c r="D16" s="225">
        <f t="shared" si="0"/>
        <v>0.42429379634767472</v>
      </c>
      <c r="E16" s="225">
        <f t="shared" si="0"/>
        <v>0.41545376781337545</v>
      </c>
      <c r="F16" s="225">
        <f t="shared" si="0"/>
        <v>0.40648651410399189</v>
      </c>
      <c r="G16" s="225">
        <f t="shared" si="0"/>
        <v>0.39738538623905306</v>
      </c>
      <c r="H16" s="225">
        <f t="shared" si="0"/>
        <v>0.38814311632490728</v>
      </c>
      <c r="I16" s="225">
        <f t="shared" si="0"/>
        <v>0.37875173262772738</v>
      </c>
      <c r="J16" s="225">
        <f t="shared" si="0"/>
        <v>0.36920245892737236</v>
      </c>
      <c r="K16" s="225">
        <f t="shared" si="0"/>
        <v>0.3594855944236478</v>
      </c>
      <c r="L16" s="225">
        <f t="shared" si="0"/>
        <v>0.34959036936992044</v>
      </c>
      <c r="M16" s="225">
        <f t="shared" si="0"/>
        <v>0.33950477012144609</v>
      </c>
      <c r="N16" s="225">
        <f t="shared" si="0"/>
        <v>0.32921532524085589</v>
      </c>
      <c r="O16" s="225">
        <f t="shared" si="0"/>
        <v>0.3187068414512565</v>
      </c>
      <c r="P16" s="225">
        <f t="shared" si="0"/>
        <v>0.30796207418622584</v>
      </c>
      <c r="Q16" s="225">
        <f t="shared" si="0"/>
        <v>0.29696131165889611</v>
      </c>
      <c r="R16" s="225">
        <f t="shared" si="0"/>
        <v>0.28568184280596415</v>
      </c>
      <c r="S16" s="226">
        <f t="shared" si="0"/>
        <v>0.27409726659507705</v>
      </c>
    </row>
    <row r="17" spans="2:19">
      <c r="B17" s="220">
        <v>1</v>
      </c>
      <c r="C17" s="224">
        <f t="shared" si="1"/>
        <v>0.35355339059327373</v>
      </c>
      <c r="D17" s="225">
        <f t="shared" si="0"/>
        <v>0.34643443402672131</v>
      </c>
      <c r="E17" s="225">
        <f t="shared" si="0"/>
        <v>0.33921658095316243</v>
      </c>
      <c r="F17" s="225">
        <f t="shared" si="0"/>
        <v>0.33189484895913929</v>
      </c>
      <c r="G17" s="225">
        <f t="shared" si="0"/>
        <v>0.3244638091748307</v>
      </c>
      <c r="H17" s="225">
        <f t="shared" si="0"/>
        <v>0.31691752738991946</v>
      </c>
      <c r="I17" s="225">
        <f t="shared" si="0"/>
        <v>0.30924949471099167</v>
      </c>
      <c r="J17" s="225">
        <f t="shared" si="0"/>
        <v>0.30145254538430877</v>
      </c>
      <c r="K17" s="225">
        <f t="shared" si="0"/>
        <v>0.2935187587396797</v>
      </c>
      <c r="L17" s="225">
        <f t="shared" si="0"/>
        <v>0.2854393413158009</v>
      </c>
      <c r="M17" s="225">
        <f t="shared" si="0"/>
        <v>0.27720448401281439</v>
      </c>
      <c r="N17" s="225">
        <f t="shared" si="0"/>
        <v>0.26880318744816817</v>
      </c>
      <c r="O17" s="225">
        <f t="shared" si="0"/>
        <v>0.26022304636322585</v>
      </c>
      <c r="P17" s="225">
        <f t="shared" si="0"/>
        <v>0.25144998062846413</v>
      </c>
      <c r="Q17" s="225">
        <f t="shared" si="0"/>
        <v>0.24246789563730153</v>
      </c>
      <c r="R17" s="225">
        <f t="shared" si="0"/>
        <v>0.23325824788420182</v>
      </c>
      <c r="S17" s="226">
        <f t="shared" si="0"/>
        <v>0.22379948101651584</v>
      </c>
    </row>
    <row r="18" spans="2:19" ht="13.8" thickBot="1">
      <c r="B18" s="227">
        <v>0.5</v>
      </c>
      <c r="C18" s="228">
        <f t="shared" si="1"/>
        <v>0.25</v>
      </c>
      <c r="D18" s="229">
        <f t="shared" si="0"/>
        <v>0.24496613753681828</v>
      </c>
      <c r="E18" s="229">
        <f t="shared" si="0"/>
        <v>0.23986234468289663</v>
      </c>
      <c r="F18" s="229">
        <f t="shared" si="0"/>
        <v>0.23468509833989237</v>
      </c>
      <c r="G18" s="229">
        <f t="shared" si="0"/>
        <v>0.22943055971714074</v>
      </c>
      <c r="H18" s="229">
        <f t="shared" si="0"/>
        <v>0.22409453269428548</v>
      </c>
      <c r="I18" s="229">
        <f t="shared" si="0"/>
        <v>0.21867241478865559</v>
      </c>
      <c r="J18" s="229">
        <f t="shared" si="0"/>
        <v>0.21315913904719022</v>
      </c>
      <c r="K18" s="229">
        <f t="shared" si="0"/>
        <v>0.20754910471028573</v>
      </c>
      <c r="L18" s="229">
        <f t="shared" si="0"/>
        <v>0.2018360938618243</v>
      </c>
      <c r="M18" s="229">
        <f t="shared" si="0"/>
        <v>0.19601317042077895</v>
      </c>
      <c r="N18" s="229">
        <f t="shared" si="0"/>
        <v>0.1900725566491584</v>
      </c>
      <c r="O18" s="229">
        <f t="shared" si="0"/>
        <v>0.18400548070445835</v>
      </c>
      <c r="P18" s="229">
        <f t="shared" si="0"/>
        <v>0.17780198643161302</v>
      </c>
      <c r="Q18" s="229">
        <f t="shared" si="0"/>
        <v>0.17145069322516804</v>
      </c>
      <c r="R18" s="229">
        <f t="shared" si="0"/>
        <v>0.16493848884661177</v>
      </c>
      <c r="S18" s="230">
        <f t="shared" si="0"/>
        <v>0.15825013065280838</v>
      </c>
    </row>
  </sheetData>
  <conditionalFormatting sqref="C3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T35"/>
  <sheetViews>
    <sheetView workbookViewId="0">
      <selection activeCell="E35" sqref="E35"/>
    </sheetView>
  </sheetViews>
  <sheetFormatPr defaultRowHeight="13.2"/>
  <cols>
    <col min="1" max="1" width="3.21875" style="236" customWidth="1"/>
    <col min="2" max="2" width="17" style="235" bestFit="1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16384" width="8.88671875" style="236"/>
  </cols>
  <sheetData>
    <row r="1" spans="2:20" ht="13.8" thickBot="1">
      <c r="B1" s="237"/>
    </row>
    <row r="2" spans="2:20" ht="13.8" thickBot="1">
      <c r="B2" s="231" t="s">
        <v>593</v>
      </c>
      <c r="C2" s="233"/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8">
        <v>0.5</v>
      </c>
      <c r="T2" s="241"/>
    </row>
    <row r="3" spans="2:20">
      <c r="B3" s="232">
        <v>1</v>
      </c>
      <c r="C3" s="234"/>
      <c r="D3" s="249">
        <f>(1+SQRT(($B3-1))*9/100)*(SQRT(D$2)/SQRT(8))*VLOOKUP($D$34, Parser!$N$5:'Parser'!$O$24, 2, FALSE)</f>
        <v>18</v>
      </c>
      <c r="E3" s="250">
        <f>(1+SQRT(($B3-1))*9/100)*(SQRT(E$2)/SQRT(8))*VLOOKUP($D$34, Parser!$N$5:'Parser'!$O$24, 2, FALSE)</f>
        <v>17.428425057933374</v>
      </c>
      <c r="F3" s="250">
        <f>(1+SQRT(($B3-1))*9/100)*(SQRT(F$2)/SQRT(8))*VLOOKUP($D$34, Parser!$N$5:'Parser'!$O$24, 2, FALSE)</f>
        <v>16.837458240482736</v>
      </c>
      <c r="G3" s="250">
        <f>(1+SQRT(($B3-1))*9/100)*(SQRT(G$2)/SQRT(8))*VLOOKUP($D$34, Parser!$N$5:'Parser'!$O$24, 2, FALSE)</f>
        <v>16.224980739587949</v>
      </c>
      <c r="H3" s="250">
        <f>(1+SQRT(($B3-1))*9/100)*(SQRT(H$2)/SQRT(8))*VLOOKUP($D$34, Parser!$N$5:'Parser'!$O$24, 2, FALSE)</f>
        <v>15.588457268119893</v>
      </c>
      <c r="I3" s="250">
        <f>(1+SQRT(($B3-1))*9/100)*(SQRT(I$2)/SQRT(8))*VLOOKUP($D$34, Parser!$N$5:'Parser'!$O$24, 2, FALSE)</f>
        <v>14.924811556599298</v>
      </c>
      <c r="J3" s="250">
        <f>(1+SQRT(($B3-1))*9/100)*(SQRT(J$2)/SQRT(8))*VLOOKUP($D$34, Parser!$N$5:'Parser'!$O$24, 2, FALSE)</f>
        <v>14.230249470757705</v>
      </c>
      <c r="K3" s="250">
        <f>(1+SQRT(($B3-1))*9/100)*(SQRT(K$2)/SQRT(8))*VLOOKUP($D$34, Parser!$N$5:'Parser'!$O$24, 2, FALSE)</f>
        <v>13.499999999999998</v>
      </c>
      <c r="L3" s="250">
        <f>(1+SQRT(($B3-1))*9/100)*(SQRT(L$2)/SQRT(8))*VLOOKUP($D$34, Parser!$N$5:'Parser'!$O$24, 2, FALSE)</f>
        <v>12.727922061357855</v>
      </c>
      <c r="M3" s="250">
        <f>(1+SQRT(($B3-1))*9/100)*(SQRT(M$2)/SQRT(8))*VLOOKUP($D$34, Parser!$N$5:'Parser'!$O$24, 2, FALSE)</f>
        <v>11.905880899790656</v>
      </c>
      <c r="N3" s="250">
        <f>(1+SQRT(($B3-1))*9/100)*(SQRT(N$2)/SQRT(8))*VLOOKUP($D$34, Parser!$N$5:'Parser'!$O$24, 2, FALSE)</f>
        <v>11.022703842524301</v>
      </c>
      <c r="O3" s="250">
        <f>(1+SQRT(($B3-1))*9/100)*(SQRT(O$2)/SQRT(8))*VLOOKUP($D$34, Parser!$N$5:'Parser'!$O$24, 2, FALSE)</f>
        <v>10.062305898749054</v>
      </c>
      <c r="P3" s="250">
        <f>(1+SQRT(($B3-1))*9/100)*(SQRT(P$2)/SQRT(8))*VLOOKUP($D$34, Parser!$N$5:'Parser'!$O$24, 2, FALSE)</f>
        <v>9</v>
      </c>
      <c r="Q3" s="250">
        <f>(1+SQRT(($B3-1))*9/100)*(SQRT(Q$2)/SQRT(8))*VLOOKUP($D$34, Parser!$N$5:'Parser'!$O$24, 2, FALSE)</f>
        <v>7.7942286340599463</v>
      </c>
      <c r="R3" s="250">
        <f>(1+SQRT(($B3-1))*9/100)*(SQRT(R$2)/SQRT(8))*VLOOKUP($D$34, Parser!$N$5:'Parser'!$O$24, 2, FALSE)</f>
        <v>6.3639610306789276</v>
      </c>
      <c r="S3" s="251">
        <f>(1+SQRT(($B3-1))*9/100)*(SQRT(S$2)/SQRT(8))*VLOOKUP($D$34, Parser!$N$5:'Parser'!$O$24, 2, FALSE)</f>
        <v>4.5</v>
      </c>
      <c r="T3" s="242"/>
    </row>
    <row r="4" spans="2:20">
      <c r="B4" s="232">
        <v>2</v>
      </c>
      <c r="C4" s="234"/>
      <c r="D4" s="252">
        <f>(1+SQRT(($B4-1))*9/100)*(SQRT(D$2)/SQRT(8))*VLOOKUP($D$34, Parser!$N$5:'Parser'!$O$24, 2, FALSE)</f>
        <v>19.62</v>
      </c>
      <c r="E4" s="240">
        <f>(1+SQRT(($B4-1))*9/100)*(SQRT(E$2)/SQRT(8))*VLOOKUP($D$34, Parser!$N$5:'Parser'!$O$24, 2, FALSE)</f>
        <v>18.996983313147382</v>
      </c>
      <c r="F4" s="240">
        <f>(1+SQRT(($B4-1))*9/100)*(SQRT(F$2)/SQRT(8))*VLOOKUP($D$34, Parser!$N$5:'Parser'!$O$24, 2, FALSE)</f>
        <v>18.352829482126186</v>
      </c>
      <c r="G4" s="240">
        <f>(1+SQRT(($B4-1))*9/100)*(SQRT(G$2)/SQRT(8))*VLOOKUP($D$34, Parser!$N$5:'Parser'!$O$24, 2, FALSE)</f>
        <v>17.685229006150866</v>
      </c>
      <c r="H4" s="240">
        <f>(1+SQRT(($B4-1))*9/100)*(SQRT(H$2)/SQRT(8))*VLOOKUP($D$34, Parser!$N$5:'Parser'!$O$24, 2, FALSE)</f>
        <v>16.991418422250685</v>
      </c>
      <c r="I4" s="240">
        <f>(1+SQRT(($B4-1))*9/100)*(SQRT(I$2)/SQRT(8))*VLOOKUP($D$34, Parser!$N$5:'Parser'!$O$24, 2, FALSE)</f>
        <v>16.268044596693237</v>
      </c>
      <c r="J4" s="240">
        <f>(1+SQRT(($B4-1))*9/100)*(SQRT(J$2)/SQRT(8))*VLOOKUP($D$34, Parser!$N$5:'Parser'!$O$24, 2, FALSE)</f>
        <v>15.510971923125901</v>
      </c>
      <c r="K4" s="240">
        <f>(1+SQRT(($B4-1))*9/100)*(SQRT(K$2)/SQRT(8))*VLOOKUP($D$34, Parser!$N$5:'Parser'!$O$24, 2, FALSE)</f>
        <v>14.714999999999998</v>
      </c>
      <c r="L4" s="240">
        <f>(1+SQRT(($B4-1))*9/100)*(SQRT(L$2)/SQRT(8))*VLOOKUP($D$34, Parser!$N$5:'Parser'!$O$24, 2, FALSE)</f>
        <v>13.873435046880061</v>
      </c>
      <c r="M4" s="240">
        <f>(1+SQRT(($B4-1))*9/100)*(SQRT(M$2)/SQRT(8))*VLOOKUP($D$34, Parser!$N$5:'Parser'!$O$24, 2, FALSE)</f>
        <v>12.977410180771818</v>
      </c>
      <c r="N4" s="240">
        <f>(1+SQRT(($B4-1))*9/100)*(SQRT(N$2)/SQRT(8))*VLOOKUP($D$34, Parser!$N$5:'Parser'!$O$24, 2, FALSE)</f>
        <v>12.014747188351489</v>
      </c>
      <c r="O4" s="240">
        <f>(1+SQRT(($B4-1))*9/100)*(SQRT(O$2)/SQRT(8))*VLOOKUP($D$34, Parser!$N$5:'Parser'!$O$24, 2, FALSE)</f>
        <v>10.96791342963647</v>
      </c>
      <c r="P4" s="240">
        <f>(1+SQRT(($B4-1))*9/100)*(SQRT(P$2)/SQRT(8))*VLOOKUP($D$34, Parser!$N$5:'Parser'!$O$24, 2, FALSE)</f>
        <v>9.81</v>
      </c>
      <c r="Q4" s="240">
        <f>(1+SQRT(($B4-1))*9/100)*(SQRT(Q$2)/SQRT(8))*VLOOKUP($D$34, Parser!$N$5:'Parser'!$O$24, 2, FALSE)</f>
        <v>8.4957092111253427</v>
      </c>
      <c r="R4" s="240">
        <f>(1+SQRT(($B4-1))*9/100)*(SQRT(R$2)/SQRT(8))*VLOOKUP($D$34, Parser!$N$5:'Parser'!$O$24, 2, FALSE)</f>
        <v>6.9367175234400307</v>
      </c>
      <c r="S4" s="253">
        <f>(1+SQRT(($B4-1))*9/100)*(SQRT(S$2)/SQRT(8))*VLOOKUP($D$34, Parser!$N$5:'Parser'!$O$24, 2, FALSE)</f>
        <v>4.9050000000000002</v>
      </c>
      <c r="T4" s="242"/>
    </row>
    <row r="5" spans="2:20">
      <c r="B5" s="232">
        <v>3</v>
      </c>
      <c r="C5" s="234"/>
      <c r="D5" s="252">
        <f>(1+SQRT(($B5-1))*9/100)*(SQRT(D$2)/SQRT(8))*VLOOKUP($D$34, Parser!$N$5:'Parser'!$O$24, 2, FALSE)</f>
        <v>20.291025971044416</v>
      </c>
      <c r="E5" s="240">
        <f>(1+SQRT(($B5-1))*9/100)*(SQRT(E$2)/SQRT(8))*VLOOKUP($D$34, Parser!$N$5:'Parser'!$O$24, 2, FALSE)</f>
        <v>19.646701415829298</v>
      </c>
      <c r="F5" s="240">
        <f>(1+SQRT(($B5-1))*9/100)*(SQRT(F$2)/SQRT(8))*VLOOKUP($D$34, Parser!$N$5:'Parser'!$O$24, 2, FALSE)</f>
        <v>18.980516802445056</v>
      </c>
      <c r="G5" s="240">
        <f>(1+SQRT(($B5-1))*9/100)*(SQRT(G$2)/SQRT(8))*VLOOKUP($D$34, Parser!$N$5:'Parser'!$O$24, 2, FALSE)</f>
        <v>18.290083642593029</v>
      </c>
      <c r="H5" s="240">
        <f>(1+SQRT(($B5-1))*9/100)*(SQRT(H$2)/SQRT(8))*VLOOKUP($D$34, Parser!$N$5:'Parser'!$O$24, 2, FALSE)</f>
        <v>17.572543959774269</v>
      </c>
      <c r="I5" s="240">
        <f>(1+SQRT(($B5-1))*9/100)*(SQRT(I$2)/SQRT(8))*VLOOKUP($D$34, Parser!$N$5:'Parser'!$O$24, 2, FALSE)</f>
        <v>16.824429939327789</v>
      </c>
      <c r="J5" s="240">
        <f>(1+SQRT(($B5-1))*9/100)*(SQRT(J$2)/SQRT(8))*VLOOKUP($D$34, Parser!$N$5:'Parser'!$O$24, 2, FALSE)</f>
        <v>16.041464532532537</v>
      </c>
      <c r="K5" s="240">
        <f>(1+SQRT(($B5-1))*9/100)*(SQRT(K$2)/SQRT(8))*VLOOKUP($D$34, Parser!$N$5:'Parser'!$O$24, 2, FALSE)</f>
        <v>15.218269478283309</v>
      </c>
      <c r="L5" s="240">
        <f>(1+SQRT(($B5-1))*9/100)*(SQRT(L$2)/SQRT(8))*VLOOKUP($D$34, Parser!$N$5:'Parser'!$O$24, 2, FALSE)</f>
        <v>14.347922061357856</v>
      </c>
      <c r="M5" s="240">
        <f>(1+SQRT(($B5-1))*9/100)*(SQRT(M$2)/SQRT(8))*VLOOKUP($D$34, Parser!$N$5:'Parser'!$O$24, 2, FALSE)</f>
        <v>13.421252141434104</v>
      </c>
      <c r="N5" s="240">
        <f>(1+SQRT(($B5-1))*9/100)*(SQRT(N$2)/SQRT(8))*VLOOKUP($D$34, Parser!$N$5:'Parser'!$O$24, 2, FALSE)</f>
        <v>12.425664996655092</v>
      </c>
      <c r="O5" s="240">
        <f>(1+SQRT(($B5-1))*9/100)*(SQRT(O$2)/SQRT(8))*VLOOKUP($D$34, Parser!$N$5:'Parser'!$O$24, 2, FALSE)</f>
        <v>11.343028351117249</v>
      </c>
      <c r="P5" s="240">
        <f>(1+SQRT(($B5-1))*9/100)*(SQRT(P$2)/SQRT(8))*VLOOKUP($D$34, Parser!$N$5:'Parser'!$O$24, 2, FALSE)</f>
        <v>10.145512985522208</v>
      </c>
      <c r="Q5" s="240">
        <f>(1+SQRT(($B5-1))*9/100)*(SQRT(Q$2)/SQRT(8))*VLOOKUP($D$34, Parser!$N$5:'Parser'!$O$24, 2, FALSE)</f>
        <v>8.7862719798871343</v>
      </c>
      <c r="R5" s="240">
        <f>(1+SQRT(($B5-1))*9/100)*(SQRT(R$2)/SQRT(8))*VLOOKUP($D$34, Parser!$N$5:'Parser'!$O$24, 2, FALSE)</f>
        <v>7.1739610306789281</v>
      </c>
      <c r="S5" s="253">
        <f>(1+SQRT(($B5-1))*9/100)*(SQRT(S$2)/SQRT(8))*VLOOKUP($D$34, Parser!$N$5:'Parser'!$O$24, 2, FALSE)</f>
        <v>5.072756492761104</v>
      </c>
      <c r="T5" s="242"/>
    </row>
    <row r="6" spans="2:20">
      <c r="B6" s="232">
        <v>4</v>
      </c>
      <c r="C6" s="234"/>
      <c r="D6" s="252">
        <f>(1+SQRT(($B6-1))*9/100)*(SQRT(D$2)/SQRT(8))*VLOOKUP($D$34, Parser!$N$5:'Parser'!$O$24, 2, FALSE)</f>
        <v>20.805922308261579</v>
      </c>
      <c r="E6" s="240">
        <f>(1+SQRT(($B6-1))*9/100)*(SQRT(E$2)/SQRT(8))*VLOOKUP($D$34, Parser!$N$5:'Parser'!$O$24, 2, FALSE)</f>
        <v>20.145247650595618</v>
      </c>
      <c r="F6" s="240">
        <f>(1+SQRT(($B6-1))*9/100)*(SQRT(F$2)/SQRT(8))*VLOOKUP($D$34, Parser!$N$5:'Parser'!$O$24, 2, FALSE)</f>
        <v>19.462158223337916</v>
      </c>
      <c r="G6" s="240">
        <f>(1+SQRT(($B6-1))*9/100)*(SQRT(G$2)/SQRT(8))*VLOOKUP($D$34, Parser!$N$5:'Parser'!$O$24, 2, FALSE)</f>
        <v>18.754204928939298</v>
      </c>
      <c r="H6" s="240">
        <f>(1+SQRT(($B6-1))*9/100)*(SQRT(H$2)/SQRT(8))*VLOOKUP($D$34, Parser!$N$5:'Parser'!$O$24, 2, FALSE)</f>
        <v>18.018457268119892</v>
      </c>
      <c r="I6" s="240">
        <f>(1+SQRT(($B6-1))*9/100)*(SQRT(I$2)/SQRT(8))*VLOOKUP($D$34, Parser!$N$5:'Parser'!$O$24, 2, FALSE)</f>
        <v>17.251359428447198</v>
      </c>
      <c r="J6" s="240">
        <f>(1+SQRT(($B6-1))*9/100)*(SQRT(J$2)/SQRT(8))*VLOOKUP($D$34, Parser!$N$5:'Parser'!$O$24, 2, FALSE)</f>
        <v>16.448525828653626</v>
      </c>
      <c r="K6" s="240">
        <f>(1+SQRT(($B6-1))*9/100)*(SQRT(K$2)/SQRT(8))*VLOOKUP($D$34, Parser!$N$5:'Parser'!$O$24, 2, FALSE)</f>
        <v>15.604441731196182</v>
      </c>
      <c r="L6" s="240">
        <f>(1+SQRT(($B6-1))*9/100)*(SQRT(L$2)/SQRT(8))*VLOOKUP($D$34, Parser!$N$5:'Parser'!$O$24, 2, FALSE)</f>
        <v>14.712008753012228</v>
      </c>
      <c r="M6" s="240">
        <f>(1+SQRT(($B6-1))*9/100)*(SQRT(M$2)/SQRT(8))*VLOOKUP($D$34, Parser!$N$5:'Parser'!$O$24, 2, FALSE)</f>
        <v>13.76182405624777</v>
      </c>
      <c r="N6" s="240">
        <f>(1+SQRT(($B6-1))*9/100)*(SQRT(N$2)/SQRT(8))*VLOOKUP($D$34, Parser!$N$5:'Parser'!$O$24, 2, FALSE)</f>
        <v>12.740973320807608</v>
      </c>
      <c r="O6" s="240">
        <f>(1+SQRT(($B6-1))*9/100)*(SQRT(O$2)/SQRT(8))*VLOOKUP($D$34, Parser!$N$5:'Parser'!$O$24, 2, FALSE)</f>
        <v>11.630864153963056</v>
      </c>
      <c r="P6" s="240">
        <f>(1+SQRT(($B6-1))*9/100)*(SQRT(P$2)/SQRT(8))*VLOOKUP($D$34, Parser!$N$5:'Parser'!$O$24, 2, FALSE)</f>
        <v>10.402961154130789</v>
      </c>
      <c r="Q6" s="240">
        <f>(1+SQRT(($B6-1))*9/100)*(SQRT(Q$2)/SQRT(8))*VLOOKUP($D$34, Parser!$N$5:'Parser'!$O$24, 2, FALSE)</f>
        <v>9.0092286340599461</v>
      </c>
      <c r="R6" s="240">
        <f>(1+SQRT(($B6-1))*9/100)*(SQRT(R$2)/SQRT(8))*VLOOKUP($D$34, Parser!$N$5:'Parser'!$O$24, 2, FALSE)</f>
        <v>7.3560043765061138</v>
      </c>
      <c r="S6" s="253">
        <f>(1+SQRT(($B6-1))*9/100)*(SQRT(S$2)/SQRT(8))*VLOOKUP($D$34, Parser!$N$5:'Parser'!$O$24, 2, FALSE)</f>
        <v>5.2014805770653947</v>
      </c>
      <c r="T6" s="242"/>
    </row>
    <row r="7" spans="2:20">
      <c r="B7" s="232">
        <v>5</v>
      </c>
      <c r="C7" s="234"/>
      <c r="D7" s="252">
        <f>(1+SQRT(($B7-1))*9/100)*(SQRT(D$2)/SQRT(8))*VLOOKUP($D$34, Parser!$N$5:'Parser'!$O$24, 2, FALSE)</f>
        <v>21.24</v>
      </c>
      <c r="E7" s="240">
        <f>(1+SQRT(($B7-1))*9/100)*(SQRT(E$2)/SQRT(8))*VLOOKUP($D$34, Parser!$N$5:'Parser'!$O$24, 2, FALSE)</f>
        <v>20.565541568361382</v>
      </c>
      <c r="F7" s="240">
        <f>(1+SQRT(($B7-1))*9/100)*(SQRT(F$2)/SQRT(8))*VLOOKUP($D$34, Parser!$N$5:'Parser'!$O$24, 2, FALSE)</f>
        <v>19.868200723769629</v>
      </c>
      <c r="G7" s="240">
        <f>(1+SQRT(($B7-1))*9/100)*(SQRT(G$2)/SQRT(8))*VLOOKUP($D$34, Parser!$N$5:'Parser'!$O$24, 2, FALSE)</f>
        <v>19.145477272713777</v>
      </c>
      <c r="H7" s="240">
        <f>(1+SQRT(($B7-1))*9/100)*(SQRT(H$2)/SQRT(8))*VLOOKUP($D$34, Parser!$N$5:'Parser'!$O$24, 2, FALSE)</f>
        <v>18.394379576381475</v>
      </c>
      <c r="I7" s="240">
        <f>(1+SQRT(($B7-1))*9/100)*(SQRT(I$2)/SQRT(8))*VLOOKUP($D$34, Parser!$N$5:'Parser'!$O$24, 2, FALSE)</f>
        <v>17.611277636787172</v>
      </c>
      <c r="J7" s="240">
        <f>(1+SQRT(($B7-1))*9/100)*(SQRT(J$2)/SQRT(8))*VLOOKUP($D$34, Parser!$N$5:'Parser'!$O$24, 2, FALSE)</f>
        <v>16.791694375494092</v>
      </c>
      <c r="K7" s="240">
        <f>(1+SQRT(($B7-1))*9/100)*(SQRT(K$2)/SQRT(8))*VLOOKUP($D$34, Parser!$N$5:'Parser'!$O$24, 2, FALSE)</f>
        <v>15.929999999999996</v>
      </c>
      <c r="L7" s="240">
        <f>(1+SQRT(($B7-1))*9/100)*(SQRT(L$2)/SQRT(8))*VLOOKUP($D$34, Parser!$N$5:'Parser'!$O$24, 2, FALSE)</f>
        <v>15.018948032402268</v>
      </c>
      <c r="M7" s="240">
        <f>(1+SQRT(($B7-1))*9/100)*(SQRT(M$2)/SQRT(8))*VLOOKUP($D$34, Parser!$N$5:'Parser'!$O$24, 2, FALSE)</f>
        <v>14.048939461752974</v>
      </c>
      <c r="N7" s="240">
        <f>(1+SQRT(($B7-1))*9/100)*(SQRT(N$2)/SQRT(8))*VLOOKUP($D$34, Parser!$N$5:'Parser'!$O$24, 2, FALSE)</f>
        <v>13.006790534178673</v>
      </c>
      <c r="O7" s="240">
        <f>(1+SQRT(($B7-1))*9/100)*(SQRT(O$2)/SQRT(8))*VLOOKUP($D$34, Parser!$N$5:'Parser'!$O$24, 2, FALSE)</f>
        <v>11.873520960523882</v>
      </c>
      <c r="P7" s="240">
        <f>(1+SQRT(($B7-1))*9/100)*(SQRT(P$2)/SQRT(8))*VLOOKUP($D$34, Parser!$N$5:'Parser'!$O$24, 2, FALSE)</f>
        <v>10.62</v>
      </c>
      <c r="Q7" s="240">
        <f>(1+SQRT(($B7-1))*9/100)*(SQRT(Q$2)/SQRT(8))*VLOOKUP($D$34, Parser!$N$5:'Parser'!$O$24, 2, FALSE)</f>
        <v>9.1971897881907374</v>
      </c>
      <c r="R7" s="240">
        <f>(1+SQRT(($B7-1))*9/100)*(SQRT(R$2)/SQRT(8))*VLOOKUP($D$34, Parser!$N$5:'Parser'!$O$24, 2, FALSE)</f>
        <v>7.5094740162011338</v>
      </c>
      <c r="S7" s="253">
        <f>(1+SQRT(($B7-1))*9/100)*(SQRT(S$2)/SQRT(8))*VLOOKUP($D$34, Parser!$N$5:'Parser'!$O$24, 2, FALSE)</f>
        <v>5.31</v>
      </c>
      <c r="T7" s="242"/>
    </row>
    <row r="8" spans="2:20">
      <c r="B8" s="232">
        <v>6</v>
      </c>
      <c r="C8" s="234"/>
      <c r="D8" s="252">
        <f>(1+SQRT(($B8-1))*9/100)*(SQRT(D$2)/SQRT(8))*VLOOKUP($D$34, Parser!$N$5:'Parser'!$O$24, 2, FALSE)</f>
        <v>21.622430123549663</v>
      </c>
      <c r="E8" s="240">
        <f>(1+SQRT(($B8-1))*9/100)*(SQRT(E$2)/SQRT(8))*VLOOKUP($D$34, Parser!$N$5:'Parser'!$O$24, 2, FALSE)</f>
        <v>20.935827943260353</v>
      </c>
      <c r="F8" s="240">
        <f>(1+SQRT(($B8-1))*9/100)*(SQRT(F$2)/SQRT(8))*VLOOKUP($D$34, Parser!$N$5:'Parser'!$O$24, 2, FALSE)</f>
        <v>20.225931347945746</v>
      </c>
      <c r="G8" s="240">
        <f>(1+SQRT(($B8-1))*9/100)*(SQRT(G$2)/SQRT(8))*VLOOKUP($D$34, Parser!$N$5:'Parser'!$O$24, 2, FALSE)</f>
        <v>19.490195127648864</v>
      </c>
      <c r="H8" s="240">
        <f>(1+SQRT(($B8-1))*9/100)*(SQRT(H$2)/SQRT(8))*VLOOKUP($D$34, Parser!$N$5:'Parser'!$O$24, 2, FALSE)</f>
        <v>18.725573778547901</v>
      </c>
      <c r="I8" s="240">
        <f>(1+SQRT(($B8-1))*9/100)*(SQRT(I$2)/SQRT(8))*VLOOKUP($D$34, Parser!$N$5:'Parser'!$O$24, 2, FALSE)</f>
        <v>17.928371943873042</v>
      </c>
      <c r="J8" s="240">
        <f>(1+SQRT(($B8-1))*9/100)*(SQRT(J$2)/SQRT(8))*VLOOKUP($D$34, Parser!$N$5:'Parser'!$O$24, 2, FALSE)</f>
        <v>17.094031934563223</v>
      </c>
      <c r="K8" s="240">
        <f>(1+SQRT(($B8-1))*9/100)*(SQRT(K$2)/SQRT(8))*VLOOKUP($D$34, Parser!$N$5:'Parser'!$O$24, 2, FALSE)</f>
        <v>16.216822592662243</v>
      </c>
      <c r="L8" s="240">
        <f>(1+SQRT(($B8-1))*9/100)*(SQRT(L$2)/SQRT(8))*VLOOKUP($D$34, Parser!$N$5:'Parser'!$O$24, 2, FALSE)</f>
        <v>15.289366966094244</v>
      </c>
      <c r="M8" s="240">
        <f>(1+SQRT(($B8-1))*9/100)*(SQRT(M$2)/SQRT(8))*VLOOKUP($D$34, Parser!$N$5:'Parser'!$O$24, 2, FALSE)</f>
        <v>14.301893211946</v>
      </c>
      <c r="N8" s="240">
        <f>(1+SQRT(($B8-1))*9/100)*(SQRT(N$2)/SQRT(8))*VLOOKUP($D$34, Parser!$N$5:'Parser'!$O$24, 2, FALSE)</f>
        <v>13.240980200420225</v>
      </c>
      <c r="O8" s="240">
        <f>(1+SQRT(($B8-1))*9/100)*(SQRT(O$2)/SQRT(8))*VLOOKUP($D$34, Parser!$N$5:'Parser'!$O$24, 2, FALSE)</f>
        <v>12.087305898749054</v>
      </c>
      <c r="P8" s="240">
        <f>(1+SQRT(($B8-1))*9/100)*(SQRT(P$2)/SQRT(8))*VLOOKUP($D$34, Parser!$N$5:'Parser'!$O$24, 2, FALSE)</f>
        <v>10.811215061774831</v>
      </c>
      <c r="Q8" s="240">
        <f>(1+SQRT(($B8-1))*9/100)*(SQRT(Q$2)/SQRT(8))*VLOOKUP($D$34, Parser!$N$5:'Parser'!$O$24, 2, FALSE)</f>
        <v>9.3627868892739503</v>
      </c>
      <c r="R8" s="240">
        <f>(1+SQRT(($B8-1))*9/100)*(SQRT(R$2)/SQRT(8))*VLOOKUP($D$34, Parser!$N$5:'Parser'!$O$24, 2, FALSE)</f>
        <v>7.644683483047122</v>
      </c>
      <c r="S8" s="253">
        <f>(1+SQRT(($B8-1))*9/100)*(SQRT(S$2)/SQRT(8))*VLOOKUP($D$34, Parser!$N$5:'Parser'!$O$24, 2, FALSE)</f>
        <v>5.4056075308874156</v>
      </c>
      <c r="T8" s="242"/>
    </row>
    <row r="9" spans="2:20">
      <c r="B9" s="232">
        <v>7</v>
      </c>
      <c r="C9" s="234"/>
      <c r="D9" s="252">
        <f>(1+SQRT(($B9-1))*9/100)*(SQRT(D$2)/SQRT(8))*VLOOKUP($D$34, Parser!$N$5:'Parser'!$O$24, 2, FALSE)</f>
        <v>21.968173383308752</v>
      </c>
      <c r="E9" s="240">
        <f>(1+SQRT(($B9-1))*9/100)*(SQRT(E$2)/SQRT(8))*VLOOKUP($D$34, Parser!$N$5:'Parser'!$O$24, 2, FALSE)</f>
        <v>21.270592415037957</v>
      </c>
      <c r="F9" s="240">
        <f>(1+SQRT(($B9-1))*9/100)*(SQRT(F$2)/SQRT(8))*VLOOKUP($D$34, Parser!$N$5:'Parser'!$O$24, 2, FALSE)</f>
        <v>20.549344553396967</v>
      </c>
      <c r="G9" s="240">
        <f>(1+SQRT(($B9-1))*9/100)*(SQRT(G$2)/SQRT(8))*VLOOKUP($D$34, Parser!$N$5:'Parser'!$O$24, 2, FALSE)</f>
        <v>19.801843890450726</v>
      </c>
      <c r="H9" s="240">
        <f>(1+SQRT(($B9-1))*9/100)*(SQRT(H$2)/SQRT(8))*VLOOKUP($D$34, Parser!$N$5:'Parser'!$O$24, 2, FALSE)</f>
        <v>19.024996224686515</v>
      </c>
      <c r="I9" s="240">
        <f>(1+SQRT(($B9-1))*9/100)*(SQRT(I$2)/SQRT(8))*VLOOKUP($D$34, Parser!$N$5:'Parser'!$O$24, 2, FALSE)</f>
        <v>18.215047110476867</v>
      </c>
      <c r="J9" s="240">
        <f>(1+SQRT(($B9-1))*9/100)*(SQRT(J$2)/SQRT(8))*VLOOKUP($D$34, Parser!$N$5:'Parser'!$O$24, 2, FALSE)</f>
        <v>17.367365981185714</v>
      </c>
      <c r="K9" s="240">
        <f>(1+SQRT(($B9-1))*9/100)*(SQRT(K$2)/SQRT(8))*VLOOKUP($D$34, Parser!$N$5:'Parser'!$O$24, 2, FALSE)</f>
        <v>16.47613003748156</v>
      </c>
      <c r="L9" s="240">
        <f>(1+SQRT(($B9-1))*9/100)*(SQRT(L$2)/SQRT(8))*VLOOKUP($D$34, Parser!$N$5:'Parser'!$O$24, 2, FALSE)</f>
        <v>15.533844369619437</v>
      </c>
      <c r="M9" s="240">
        <f>(1+SQRT(($B9-1))*9/100)*(SQRT(M$2)/SQRT(8))*VLOOKUP($D$34, Parser!$N$5:'Parser'!$O$24, 2, FALSE)</f>
        <v>14.530580882645841</v>
      </c>
      <c r="N9" s="240">
        <f>(1+SQRT(($B9-1))*9/100)*(SQRT(N$2)/SQRT(8))*VLOOKUP($D$34, Parser!$N$5:'Parser'!$O$24, 2, FALSE)</f>
        <v>13.452703842524301</v>
      </c>
      <c r="O9" s="240">
        <f>(1+SQRT(($B9-1))*9/100)*(SQRT(O$2)/SQRT(8))*VLOOKUP($D$34, Parser!$N$5:'Parser'!$O$24, 2, FALSE)</f>
        <v>12.280582256644978</v>
      </c>
      <c r="P9" s="240">
        <f>(1+SQRT(($B9-1))*9/100)*(SQRT(P$2)/SQRT(8))*VLOOKUP($D$34, Parser!$N$5:'Parser'!$O$24, 2, FALSE)</f>
        <v>10.984086691654376</v>
      </c>
      <c r="Q9" s="240">
        <f>(1+SQRT(($B9-1))*9/100)*(SQRT(Q$2)/SQRT(8))*VLOOKUP($D$34, Parser!$N$5:'Parser'!$O$24, 2, FALSE)</f>
        <v>9.5124981123432573</v>
      </c>
      <c r="R9" s="240">
        <f>(1+SQRT(($B9-1))*9/100)*(SQRT(R$2)/SQRT(8))*VLOOKUP($D$34, Parser!$N$5:'Parser'!$O$24, 2, FALSE)</f>
        <v>7.7669221848097187</v>
      </c>
      <c r="S9" s="253">
        <f>(1+SQRT(($B9-1))*9/100)*(SQRT(S$2)/SQRT(8))*VLOOKUP($D$34, Parser!$N$5:'Parser'!$O$24, 2, FALSE)</f>
        <v>5.492043345827188</v>
      </c>
      <c r="T9" s="242"/>
    </row>
    <row r="10" spans="2:20">
      <c r="B10" s="232">
        <v>8</v>
      </c>
      <c r="C10" s="234"/>
      <c r="D10" s="252">
        <f>(1+SQRT(($B10-1))*9/100)*(SQRT(D$2)/SQRT(8))*VLOOKUP($D$34, Parser!$N$5:'Parser'!$O$24, 2, FALSE)</f>
        <v>22.286117123924637</v>
      </c>
      <c r="E10" s="240">
        <f>(1+SQRT(($B10-1))*9/100)*(SQRT(E$2)/SQRT(8))*VLOOKUP($D$34, Parser!$N$5:'Parser'!$O$24, 2, FALSE)</f>
        <v>21.578440118147011</v>
      </c>
      <c r="F10" s="240">
        <f>(1+SQRT(($B10-1))*9/100)*(SQRT(F$2)/SQRT(8))*VLOOKUP($D$34, Parser!$N$5:'Parser'!$O$24, 2, FALSE)</f>
        <v>20.846753689810459</v>
      </c>
      <c r="G10" s="240">
        <f>(1+SQRT(($B10-1))*9/100)*(SQRT(G$2)/SQRT(8))*VLOOKUP($D$34, Parser!$N$5:'Parser'!$O$24, 2, FALSE)</f>
        <v>20.088434505326575</v>
      </c>
      <c r="H10" s="240">
        <f>(1+SQRT(($B10-1))*9/100)*(SQRT(H$2)/SQRT(8))*VLOOKUP($D$34, Parser!$N$5:'Parser'!$O$24, 2, FALSE)</f>
        <v>19.300343581034124</v>
      </c>
      <c r="I10" s="240">
        <f>(1+SQRT(($B10-1))*9/100)*(SQRT(I$2)/SQRT(8))*VLOOKUP($D$34, Parser!$N$5:'Parser'!$O$24, 2, FALSE)</f>
        <v>18.478672133493109</v>
      </c>
      <c r="J10" s="240">
        <f>(1+SQRT(($B10-1))*9/100)*(SQRT(J$2)/SQRT(8))*VLOOKUP($D$34, Parser!$N$5:'Parser'!$O$24, 2, FALSE)</f>
        <v>17.618722578220712</v>
      </c>
      <c r="K10" s="240">
        <f>(1+SQRT(($B10-1))*9/100)*(SQRT(K$2)/SQRT(8))*VLOOKUP($D$34, Parser!$N$5:'Parser'!$O$24, 2, FALSE)</f>
        <v>16.714587842943473</v>
      </c>
      <c r="L10" s="240">
        <f>(1+SQRT(($B10-1))*9/100)*(SQRT(L$2)/SQRT(8))*VLOOKUP($D$34, Parser!$N$5:'Parser'!$O$24, 2, FALSE)</f>
        <v>15.758664544644745</v>
      </c>
      <c r="M10" s="240">
        <f>(1+SQRT(($B10-1))*9/100)*(SQRT(M$2)/SQRT(8))*VLOOKUP($D$34, Parser!$N$5:'Parser'!$O$24, 2, FALSE)</f>
        <v>14.740880899790655</v>
      </c>
      <c r="N10" s="240">
        <f>(1+SQRT(($B10-1))*9/100)*(SQRT(N$2)/SQRT(8))*VLOOKUP($D$34, Parser!$N$5:'Parser'!$O$24, 2, FALSE)</f>
        <v>13.647403825379484</v>
      </c>
      <c r="O10" s="240">
        <f>(1+SQRT(($B10-1))*9/100)*(SQRT(O$2)/SQRT(8))*VLOOKUP($D$34, Parser!$N$5:'Parser'!$O$24, 2, FALSE)</f>
        <v>12.458318210904398</v>
      </c>
      <c r="P10" s="240">
        <f>(1+SQRT(($B10-1))*9/100)*(SQRT(P$2)/SQRT(8))*VLOOKUP($D$34, Parser!$N$5:'Parser'!$O$24, 2, FALSE)</f>
        <v>11.143058561962318</v>
      </c>
      <c r="Q10" s="240">
        <f>(1+SQRT(($B10-1))*9/100)*(SQRT(Q$2)/SQRT(8))*VLOOKUP($D$34, Parser!$N$5:'Parser'!$O$24, 2, FALSE)</f>
        <v>9.6501717905170619</v>
      </c>
      <c r="R10" s="240">
        <f>(1+SQRT(($B10-1))*9/100)*(SQRT(R$2)/SQRT(8))*VLOOKUP($D$34, Parser!$N$5:'Parser'!$O$24, 2, FALSE)</f>
        <v>7.8793322723223724</v>
      </c>
      <c r="S10" s="253">
        <f>(1+SQRT(($B10-1))*9/100)*(SQRT(S$2)/SQRT(8))*VLOOKUP($D$34, Parser!$N$5:'Parser'!$O$24, 2, FALSE)</f>
        <v>5.5715292809811592</v>
      </c>
      <c r="T10" s="242"/>
    </row>
    <row r="11" spans="2:20">
      <c r="B11" s="232">
        <v>9</v>
      </c>
      <c r="C11" s="234"/>
      <c r="D11" s="252">
        <f>(1+SQRT(($B11-1))*9/100)*(SQRT(D$2)/SQRT(8))*VLOOKUP($D$34, Parser!$N$5:'Parser'!$O$24, 2, FALSE)</f>
        <v>22.582051942088828</v>
      </c>
      <c r="E11" s="240">
        <f>(1+SQRT(($B11-1))*9/100)*(SQRT(E$2)/SQRT(8))*VLOOKUP($D$34, Parser!$N$5:'Parser'!$O$24, 2, FALSE)</f>
        <v>21.864977773725219</v>
      </c>
      <c r="F11" s="240">
        <f>(1+SQRT(($B11-1))*9/100)*(SQRT(F$2)/SQRT(8))*VLOOKUP($D$34, Parser!$N$5:'Parser'!$O$24, 2, FALSE)</f>
        <v>21.123575364407372</v>
      </c>
      <c r="G11" s="240">
        <f>(1+SQRT(($B11-1))*9/100)*(SQRT(G$2)/SQRT(8))*VLOOKUP($D$34, Parser!$N$5:'Parser'!$O$24, 2, FALSE)</f>
        <v>20.355186545598105</v>
      </c>
      <c r="H11" s="240">
        <f>(1+SQRT(($B11-1))*9/100)*(SQRT(H$2)/SQRT(8))*VLOOKUP($D$34, Parser!$N$5:'Parser'!$O$24, 2, FALSE)</f>
        <v>19.556630651428641</v>
      </c>
      <c r="I11" s="240">
        <f>(1+SQRT(($B11-1))*9/100)*(SQRT(I$2)/SQRT(8))*VLOOKUP($D$34, Parser!$N$5:'Parser'!$O$24, 2, FALSE)</f>
        <v>18.724048322056277</v>
      </c>
      <c r="J11" s="240">
        <f>(1+SQRT(($B11-1))*9/100)*(SQRT(J$2)/SQRT(8))*VLOOKUP($D$34, Parser!$N$5:'Parser'!$O$24, 2, FALSE)</f>
        <v>17.852679594307364</v>
      </c>
      <c r="K11" s="240">
        <f>(1+SQRT(($B11-1))*9/100)*(SQRT(K$2)/SQRT(8))*VLOOKUP($D$34, Parser!$N$5:'Parser'!$O$24, 2, FALSE)</f>
        <v>16.936538956566618</v>
      </c>
      <c r="L11" s="240">
        <f>(1+SQRT(($B11-1))*9/100)*(SQRT(L$2)/SQRT(8))*VLOOKUP($D$34, Parser!$N$5:'Parser'!$O$24, 2, FALSE)</f>
        <v>15.967922061357854</v>
      </c>
      <c r="M11" s="240">
        <f>(1+SQRT(($B11-1))*9/100)*(SQRT(M$2)/SQRT(8))*VLOOKUP($D$34, Parser!$N$5:'Parser'!$O$24, 2, FALSE)</f>
        <v>14.936623383077547</v>
      </c>
      <c r="N11" s="240">
        <f>(1+SQRT(($B11-1))*9/100)*(SQRT(N$2)/SQRT(8))*VLOOKUP($D$34, Parser!$N$5:'Parser'!$O$24, 2, FALSE)</f>
        <v>13.828626150785881</v>
      </c>
      <c r="O11" s="240">
        <f>(1+SQRT(($B11-1))*9/100)*(SQRT(O$2)/SQRT(8))*VLOOKUP($D$34, Parser!$N$5:'Parser'!$O$24, 2, FALSE)</f>
        <v>12.623750803485441</v>
      </c>
      <c r="P11" s="240">
        <f>(1+SQRT(($B11-1))*9/100)*(SQRT(P$2)/SQRT(8))*VLOOKUP($D$34, Parser!$N$5:'Parser'!$O$24, 2, FALSE)</f>
        <v>11.291025971044414</v>
      </c>
      <c r="Q11" s="240">
        <f>(1+SQRT(($B11-1))*9/100)*(SQRT(Q$2)/SQRT(8))*VLOOKUP($D$34, Parser!$N$5:'Parser'!$O$24, 2, FALSE)</f>
        <v>9.7783153257143205</v>
      </c>
      <c r="R11" s="240">
        <f>(1+SQRT(($B11-1))*9/100)*(SQRT(R$2)/SQRT(8))*VLOOKUP($D$34, Parser!$N$5:'Parser'!$O$24, 2, FALSE)</f>
        <v>7.9839610306789268</v>
      </c>
      <c r="S11" s="253">
        <f>(1+SQRT(($B11-1))*9/100)*(SQRT(S$2)/SQRT(8))*VLOOKUP($D$34, Parser!$N$5:'Parser'!$O$24, 2, FALSE)</f>
        <v>5.645512985522207</v>
      </c>
      <c r="T11" s="242"/>
    </row>
    <row r="12" spans="2:20">
      <c r="B12" s="232">
        <v>10</v>
      </c>
      <c r="C12" s="234"/>
      <c r="D12" s="252">
        <f>(1+SQRT(($B12-1))*9/100)*(SQRT(D$2)/SQRT(8))*VLOOKUP($D$34, Parser!$N$5:'Parser'!$O$24, 2, FALSE)</f>
        <v>22.86</v>
      </c>
      <c r="E12" s="240">
        <f>(1+SQRT(($B12-1))*9/100)*(SQRT(E$2)/SQRT(8))*VLOOKUP($D$34, Parser!$N$5:'Parser'!$O$24, 2, FALSE)</f>
        <v>22.134099823575387</v>
      </c>
      <c r="F12" s="240">
        <f>(1+SQRT(($B12-1))*9/100)*(SQRT(F$2)/SQRT(8))*VLOOKUP($D$34, Parser!$N$5:'Parser'!$O$24, 2, FALSE)</f>
        <v>21.383571965413076</v>
      </c>
      <c r="G12" s="240">
        <f>(1+SQRT(($B12-1))*9/100)*(SQRT(G$2)/SQRT(8))*VLOOKUP($D$34, Parser!$N$5:'Parser'!$O$24, 2, FALSE)</f>
        <v>20.605725539276698</v>
      </c>
      <c r="H12" s="240">
        <f>(1+SQRT(($B12-1))*9/100)*(SQRT(H$2)/SQRT(8))*VLOOKUP($D$34, Parser!$N$5:'Parser'!$O$24, 2, FALSE)</f>
        <v>19.797340730512264</v>
      </c>
      <c r="I12" s="240">
        <f>(1+SQRT(($B12-1))*9/100)*(SQRT(I$2)/SQRT(8))*VLOOKUP($D$34, Parser!$N$5:'Parser'!$O$24, 2, FALSE)</f>
        <v>18.95451067688111</v>
      </c>
      <c r="J12" s="240">
        <f>(1+SQRT(($B12-1))*9/100)*(SQRT(J$2)/SQRT(8))*VLOOKUP($D$34, Parser!$N$5:'Parser'!$O$24, 2, FALSE)</f>
        <v>18.072416827862288</v>
      </c>
      <c r="K12" s="240">
        <f>(1+SQRT(($B12-1))*9/100)*(SQRT(K$2)/SQRT(8))*VLOOKUP($D$34, Parser!$N$5:'Parser'!$O$24, 2, FALSE)</f>
        <v>17.145</v>
      </c>
      <c r="L12" s="240">
        <f>(1+SQRT(($B12-1))*9/100)*(SQRT(L$2)/SQRT(8))*VLOOKUP($D$34, Parser!$N$5:'Parser'!$O$24, 2, FALSE)</f>
        <v>16.164461017924477</v>
      </c>
      <c r="M12" s="240">
        <f>(1+SQRT(($B12-1))*9/100)*(SQRT(M$2)/SQRT(8))*VLOOKUP($D$34, Parser!$N$5:'Parser'!$O$24, 2, FALSE)</f>
        <v>15.120468742734133</v>
      </c>
      <c r="N12" s="240">
        <f>(1+SQRT(($B12-1))*9/100)*(SQRT(N$2)/SQRT(8))*VLOOKUP($D$34, Parser!$N$5:'Parser'!$O$24, 2, FALSE)</f>
        <v>13.998833880005861</v>
      </c>
      <c r="O12" s="240">
        <f>(1+SQRT(($B12-1))*9/100)*(SQRT(O$2)/SQRT(8))*VLOOKUP($D$34, Parser!$N$5:'Parser'!$O$24, 2, FALSE)</f>
        <v>12.779128491411299</v>
      </c>
      <c r="P12" s="240">
        <f>(1+SQRT(($B12-1))*9/100)*(SQRT(P$2)/SQRT(8))*VLOOKUP($D$34, Parser!$N$5:'Parser'!$O$24, 2, FALSE)</f>
        <v>11.43</v>
      </c>
      <c r="Q12" s="240">
        <f>(1+SQRT(($B12-1))*9/100)*(SQRT(Q$2)/SQRT(8))*VLOOKUP($D$34, Parser!$N$5:'Parser'!$O$24, 2, FALSE)</f>
        <v>9.8986703652561321</v>
      </c>
      <c r="R12" s="240">
        <f>(1+SQRT(($B12-1))*9/100)*(SQRT(R$2)/SQRT(8))*VLOOKUP($D$34, Parser!$N$5:'Parser'!$O$24, 2, FALSE)</f>
        <v>8.0822305089622386</v>
      </c>
      <c r="S12" s="253">
        <f>(1+SQRT(($B12-1))*9/100)*(SQRT(S$2)/SQRT(8))*VLOOKUP($D$34, Parser!$N$5:'Parser'!$O$24, 2, FALSE)</f>
        <v>5.7149999999999999</v>
      </c>
      <c r="T12" s="242"/>
    </row>
    <row r="13" spans="2:20">
      <c r="B13" s="232">
        <v>11</v>
      </c>
      <c r="C13" s="234"/>
      <c r="D13" s="252">
        <f>(1+SQRT(($B13-1))*9/100)*(SQRT(D$2)/SQRT(8))*VLOOKUP($D$34, Parser!$N$5:'Parser'!$O$24, 2, FALSE)</f>
        <v>23.122889809472774</v>
      </c>
      <c r="E13" s="240">
        <f>(1+SQRT(($B13-1))*9/100)*(SQRT(E$2)/SQRT(8))*VLOOKUP($D$34, Parser!$N$5:'Parser'!$O$24, 2, FALSE)</f>
        <v>22.388641787069311</v>
      </c>
      <c r="F13" s="240">
        <f>(1+SQRT(($B13-1))*9/100)*(SQRT(F$2)/SQRT(8))*VLOOKUP($D$34, Parser!$N$5:'Parser'!$O$24, 2, FALSE)</f>
        <v>21.629482864793424</v>
      </c>
      <c r="G13" s="240">
        <f>(1+SQRT(($B13-1))*9/100)*(SQRT(G$2)/SQRT(8))*VLOOKUP($D$34, Parser!$N$5:'Parser'!$O$24, 2, FALSE)</f>
        <v>20.842691211239455</v>
      </c>
      <c r="H13" s="240">
        <f>(1+SQRT(($B13-1))*9/100)*(SQRT(H$2)/SQRT(8))*VLOOKUP($D$34, Parser!$N$5:'Parser'!$O$24, 2, FALSE)</f>
        <v>20.025009983911737</v>
      </c>
      <c r="I13" s="240">
        <f>(1+SQRT(($B13-1))*9/100)*(SQRT(I$2)/SQRT(8))*VLOOKUP($D$34, Parser!$N$5:'Parser'!$O$24, 2, FALSE)</f>
        <v>19.172487391688414</v>
      </c>
      <c r="J13" s="240">
        <f>(1+SQRT(($B13-1))*9/100)*(SQRT(J$2)/SQRT(8))*VLOOKUP($D$34, Parser!$N$5:'Parser'!$O$24, 2, FALSE)</f>
        <v>18.280249470757703</v>
      </c>
      <c r="K13" s="240">
        <f>(1+SQRT(($B13-1))*9/100)*(SQRT(K$2)/SQRT(8))*VLOOKUP($D$34, Parser!$N$5:'Parser'!$O$24, 2, FALSE)</f>
        <v>17.342167357104579</v>
      </c>
      <c r="L13" s="240">
        <f>(1+SQRT(($B13-1))*9/100)*(SQRT(L$2)/SQRT(8))*VLOOKUP($D$34, Parser!$N$5:'Parser'!$O$24, 2, FALSE)</f>
        <v>16.350352184907514</v>
      </c>
      <c r="M13" s="240">
        <f>(1+SQRT(($B13-1))*9/100)*(SQRT(M$2)/SQRT(8))*VLOOKUP($D$34, Parser!$N$5:'Parser'!$O$24, 2, FALSE)</f>
        <v>15.294354007253661</v>
      </c>
      <c r="N13" s="240">
        <f>(1+SQRT(($B13-1))*9/100)*(SQRT(N$2)/SQRT(8))*VLOOKUP($D$34, Parser!$N$5:'Parser'!$O$24, 2, FALSE)</f>
        <v>14.159820352952307</v>
      </c>
      <c r="O13" s="240">
        <f>(1+SQRT(($B13-1))*9/100)*(SQRT(O$2)/SQRT(8))*VLOOKUP($D$34, Parser!$N$5:'Parser'!$O$24, 2, FALSE)</f>
        <v>12.926088362554571</v>
      </c>
      <c r="P13" s="240">
        <f>(1+SQRT(($B13-1))*9/100)*(SQRT(P$2)/SQRT(8))*VLOOKUP($D$34, Parser!$N$5:'Parser'!$O$24, 2, FALSE)</f>
        <v>11.561444904736387</v>
      </c>
      <c r="Q13" s="240">
        <f>(1+SQRT(($B13-1))*9/100)*(SQRT(Q$2)/SQRT(8))*VLOOKUP($D$34, Parser!$N$5:'Parser'!$O$24, 2, FALSE)</f>
        <v>10.012504991955868</v>
      </c>
      <c r="R13" s="240">
        <f>(1+SQRT(($B13-1))*9/100)*(SQRT(R$2)/SQRT(8))*VLOOKUP($D$34, Parser!$N$5:'Parser'!$O$24, 2, FALSE)</f>
        <v>8.1751760924537571</v>
      </c>
      <c r="S13" s="253">
        <f>(1+SQRT(($B13-1))*9/100)*(SQRT(S$2)/SQRT(8))*VLOOKUP($D$34, Parser!$N$5:'Parser'!$O$24, 2, FALSE)</f>
        <v>5.7807224523681935</v>
      </c>
      <c r="T13" s="242"/>
    </row>
    <row r="14" spans="2:20">
      <c r="B14" s="232">
        <v>12</v>
      </c>
      <c r="C14" s="234"/>
      <c r="D14" s="252">
        <f>(1+SQRT(($B14-1))*9/100)*(SQRT(D$2)/SQRT(8))*VLOOKUP($D$34, Parser!$N$5:'Parser'!$O$24, 2, FALSE)</f>
        <v>23.37293216037575</v>
      </c>
      <c r="E14" s="240">
        <f>(1+SQRT(($B14-1))*9/100)*(SQRT(E$2)/SQRT(8))*VLOOKUP($D$34, Parser!$N$5:'Parser'!$O$24, 2, FALSE)</f>
        <v>22.630744252292754</v>
      </c>
      <c r="F14" s="240">
        <f>(1+SQRT(($B14-1))*9/100)*(SQRT(F$2)/SQRT(8))*VLOOKUP($D$34, Parser!$N$5:'Parser'!$O$24, 2, FALSE)</f>
        <v>21.863376067109034</v>
      </c>
      <c r="G14" s="240">
        <f>(1+SQRT(($B14-1))*9/100)*(SQRT(G$2)/SQRT(8))*VLOOKUP($D$34, Parser!$N$5:'Parser'!$O$24, 2, FALSE)</f>
        <v>21.068076340544017</v>
      </c>
      <c r="H14" s="240">
        <f>(1+SQRT(($B14-1))*9/100)*(SQRT(H$2)/SQRT(8))*VLOOKUP($D$34, Parser!$N$5:'Parser'!$O$24, 2, FALSE)</f>
        <v>20.241553011815697</v>
      </c>
      <c r="I14" s="240">
        <f>(1+SQRT(($B14-1))*9/100)*(SQRT(I$2)/SQRT(8))*VLOOKUP($D$34, Parser!$N$5:'Parser'!$O$24, 2, FALSE)</f>
        <v>19.3798115565993</v>
      </c>
      <c r="J14" s="240">
        <f>(1+SQRT(($B14-1))*9/100)*(SQRT(J$2)/SQRT(8))*VLOOKUP($D$34, Parser!$N$5:'Parser'!$O$24, 2, FALSE)</f>
        <v>18.477925305846821</v>
      </c>
      <c r="K14" s="240">
        <f>(1+SQRT(($B14-1))*9/100)*(SQRT(K$2)/SQRT(8))*VLOOKUP($D$34, Parser!$N$5:'Parser'!$O$24, 2, FALSE)</f>
        <v>17.529699120281812</v>
      </c>
      <c r="L14" s="240">
        <f>(1+SQRT(($B14-1))*9/100)*(SQRT(L$2)/SQRT(8))*VLOOKUP($D$34, Parser!$N$5:'Parser'!$O$24, 2, FALSE)</f>
        <v>16.527158826814834</v>
      </c>
      <c r="M14" s="240">
        <f>(1+SQRT(($B14-1))*9/100)*(SQRT(M$2)/SQRT(8))*VLOOKUP($D$34, Parser!$N$5:'Parser'!$O$24, 2, FALSE)</f>
        <v>15.459741476684465</v>
      </c>
      <c r="N14" s="240">
        <f>(1+SQRT(($B14-1))*9/100)*(SQRT(N$2)/SQRT(8))*VLOOKUP($D$34, Parser!$N$5:'Parser'!$O$24, 2, FALSE)</f>
        <v>14.312939396401864</v>
      </c>
      <c r="O14" s="240">
        <f>(1+SQRT(($B14-1))*9/100)*(SQRT(O$2)/SQRT(8))*VLOOKUP($D$34, Parser!$N$5:'Parser'!$O$24, 2, FALSE)</f>
        <v>13.065866286022798</v>
      </c>
      <c r="P14" s="240">
        <f>(1+SQRT(($B14-1))*9/100)*(SQRT(P$2)/SQRT(8))*VLOOKUP($D$34, Parser!$N$5:'Parser'!$O$24, 2, FALSE)</f>
        <v>11.686466080187875</v>
      </c>
      <c r="Q14" s="240">
        <f>(1+SQRT(($B14-1))*9/100)*(SQRT(Q$2)/SQRT(8))*VLOOKUP($D$34, Parser!$N$5:'Parser'!$O$24, 2, FALSE)</f>
        <v>10.120776505907848</v>
      </c>
      <c r="R14" s="240">
        <f>(1+SQRT(($B14-1))*9/100)*(SQRT(R$2)/SQRT(8))*VLOOKUP($D$34, Parser!$N$5:'Parser'!$O$24, 2, FALSE)</f>
        <v>8.2635794134074168</v>
      </c>
      <c r="S14" s="253">
        <f>(1+SQRT(($B14-1))*9/100)*(SQRT(S$2)/SQRT(8))*VLOOKUP($D$34, Parser!$N$5:'Parser'!$O$24, 2, FALSE)</f>
        <v>5.8432330400939376</v>
      </c>
      <c r="T14" s="242"/>
    </row>
    <row r="15" spans="2:20">
      <c r="B15" s="232">
        <v>13</v>
      </c>
      <c r="C15" s="234"/>
      <c r="D15" s="252">
        <f>(1+SQRT(($B15-1))*9/100)*(SQRT(D$2)/SQRT(8))*VLOOKUP($D$34, Parser!$N$5:'Parser'!$O$24, 2, FALSE)</f>
        <v>23.611844616523161</v>
      </c>
      <c r="E15" s="240">
        <f>(1+SQRT(($B15-1))*9/100)*(SQRT(E$2)/SQRT(8))*VLOOKUP($D$34, Parser!$N$5:'Parser'!$O$24, 2, FALSE)</f>
        <v>22.862070243257865</v>
      </c>
      <c r="F15" s="240">
        <f>(1+SQRT(($B15-1))*9/100)*(SQRT(F$2)/SQRT(8))*VLOOKUP($D$34, Parser!$N$5:'Parser'!$O$24, 2, FALSE)</f>
        <v>22.086858206193099</v>
      </c>
      <c r="G15" s="240">
        <f>(1+SQRT(($B15-1))*9/100)*(SQRT(G$2)/SQRT(8))*VLOOKUP($D$34, Parser!$N$5:'Parser'!$O$24, 2, FALSE)</f>
        <v>21.283429118290648</v>
      </c>
      <c r="H15" s="240">
        <f>(1+SQRT(($B15-1))*9/100)*(SQRT(H$2)/SQRT(8))*VLOOKUP($D$34, Parser!$N$5:'Parser'!$O$24, 2, FALSE)</f>
        <v>20.448457268119892</v>
      </c>
      <c r="I15" s="240">
        <f>(1+SQRT(($B15-1))*9/100)*(SQRT(I$2)/SQRT(8))*VLOOKUP($D$34, Parser!$N$5:'Parser'!$O$24, 2, FALSE)</f>
        <v>19.577907300295102</v>
      </c>
      <c r="J15" s="240">
        <f>(1+SQRT(($B15-1))*9/100)*(SQRT(J$2)/SQRT(8))*VLOOKUP($D$34, Parser!$N$5:'Parser'!$O$24, 2, FALSE)</f>
        <v>18.66680218654955</v>
      </c>
      <c r="K15" s="240">
        <f>(1+SQRT(($B15-1))*9/100)*(SQRT(K$2)/SQRT(8))*VLOOKUP($D$34, Parser!$N$5:'Parser'!$O$24, 2, FALSE)</f>
        <v>17.708883462392368</v>
      </c>
      <c r="L15" s="240">
        <f>(1+SQRT(($B15-1))*9/100)*(SQRT(L$2)/SQRT(8))*VLOOKUP($D$34, Parser!$N$5:'Parser'!$O$24, 2, FALSE)</f>
        <v>16.696095444666604</v>
      </c>
      <c r="M15" s="240">
        <f>(1+SQRT(($B15-1))*9/100)*(SQRT(M$2)/SQRT(8))*VLOOKUP($D$34, Parser!$N$5:'Parser'!$O$24, 2, FALSE)</f>
        <v>15.617767212704887</v>
      </c>
      <c r="N15" s="240">
        <f>(1+SQRT(($B15-1))*9/100)*(SQRT(N$2)/SQRT(8))*VLOOKUP($D$34, Parser!$N$5:'Parser'!$O$24, 2, FALSE)</f>
        <v>14.459242799090919</v>
      </c>
      <c r="O15" s="240">
        <f>(1+SQRT(($B15-1))*9/100)*(SQRT(O$2)/SQRT(8))*VLOOKUP($D$34, Parser!$N$5:'Parser'!$O$24, 2, FALSE)</f>
        <v>13.19942240917706</v>
      </c>
      <c r="P15" s="240">
        <f>(1+SQRT(($B15-1))*9/100)*(SQRT(P$2)/SQRT(8))*VLOOKUP($D$34, Parser!$N$5:'Parser'!$O$24, 2, FALSE)</f>
        <v>11.805922308261581</v>
      </c>
      <c r="Q15" s="240">
        <f>(1+SQRT(($B15-1))*9/100)*(SQRT(Q$2)/SQRT(8))*VLOOKUP($D$34, Parser!$N$5:'Parser'!$O$24, 2, FALSE)</f>
        <v>10.224228634059946</v>
      </c>
      <c r="R15" s="240">
        <f>(1+SQRT(($B15-1))*9/100)*(SQRT(R$2)/SQRT(8))*VLOOKUP($D$34, Parser!$N$5:'Parser'!$O$24, 2, FALSE)</f>
        <v>8.3480477223333018</v>
      </c>
      <c r="S15" s="253">
        <f>(1+SQRT(($B15-1))*9/100)*(SQRT(S$2)/SQRT(8))*VLOOKUP($D$34, Parser!$N$5:'Parser'!$O$24, 2, FALSE)</f>
        <v>5.9029611541307903</v>
      </c>
      <c r="T15" s="242"/>
    </row>
    <row r="16" spans="2:20">
      <c r="B16" s="232">
        <v>14</v>
      </c>
      <c r="C16" s="234"/>
      <c r="D16" s="252">
        <f>(1+SQRT(($B16-1))*9/100)*(SQRT(D$2)/SQRT(8))*VLOOKUP($D$34, Parser!$N$5:'Parser'!$O$24, 2, FALSE)</f>
        <v>23.840993066251663</v>
      </c>
      <c r="E16" s="240">
        <f>(1+SQRT(($B16-1))*9/100)*(SQRT(E$2)/SQRT(8))*VLOOKUP($D$34, Parser!$N$5:'Parser'!$O$24, 2, FALSE)</f>
        <v>23.083942275659798</v>
      </c>
      <c r="F16" s="240">
        <f>(1+SQRT(($B16-1))*9/100)*(SQRT(F$2)/SQRT(8))*VLOOKUP($D$34, Parser!$N$5:'Parser'!$O$24, 2, FALSE)</f>
        <v>22.301206953591716</v>
      </c>
      <c r="G16" s="240">
        <f>(1+SQRT(($B16-1))*9/100)*(SQRT(G$2)/SQRT(8))*VLOOKUP($D$34, Parser!$N$5:'Parser'!$O$24, 2, FALSE)</f>
        <v>21.489980739587949</v>
      </c>
      <c r="H16" s="240">
        <f>(1+SQRT(($B16-1))*9/100)*(SQRT(H$2)/SQRT(8))*VLOOKUP($D$34, Parser!$N$5:'Parser'!$O$24, 2, FALSE)</f>
        <v>20.646905646822596</v>
      </c>
      <c r="I16" s="240">
        <f>(1+SQRT(($B16-1))*9/100)*(SQRT(I$2)/SQRT(8))*VLOOKUP($D$34, Parser!$N$5:'Parser'!$O$24, 2, FALSE)</f>
        <v>19.767907157555367</v>
      </c>
      <c r="J16" s="240">
        <f>(1+SQRT(($B16-1))*9/100)*(SQRT(J$2)/SQRT(8))*VLOOKUP($D$34, Parser!$N$5:'Parser'!$O$24, 2, FALSE)</f>
        <v>18.847959942409215</v>
      </c>
      <c r="K16" s="240">
        <f>(1+SQRT(($B16-1))*9/100)*(SQRT(K$2)/SQRT(8))*VLOOKUP($D$34, Parser!$N$5:'Parser'!$O$24, 2, FALSE)</f>
        <v>17.880744799688745</v>
      </c>
      <c r="L16" s="240">
        <f>(1+SQRT(($B16-1))*9/100)*(SQRT(L$2)/SQRT(8))*VLOOKUP($D$34, Parser!$N$5:'Parser'!$O$24, 2, FALSE)</f>
        <v>16.858127867368012</v>
      </c>
      <c r="M16" s="240">
        <f>(1+SQRT(($B16-1))*9/100)*(SQRT(M$2)/SQRT(8))*VLOOKUP($D$34, Parser!$N$5:'Parser'!$O$24, 2, FALSE)</f>
        <v>15.769334665529287</v>
      </c>
      <c r="N16" s="240">
        <f>(1+SQRT(($B16-1))*9/100)*(SQRT(N$2)/SQRT(8))*VLOOKUP($D$34, Parser!$N$5:'Parser'!$O$24, 2, FALSE)</f>
        <v>14.599566993387079</v>
      </c>
      <c r="O16" s="240">
        <f>(1+SQRT(($B16-1))*9/100)*(SQRT(O$2)/SQRT(8))*VLOOKUP($D$34, Parser!$N$5:'Parser'!$O$24, 2, FALSE)</f>
        <v>13.327520286809969</v>
      </c>
      <c r="P16" s="240">
        <f>(1+SQRT(($B16-1))*9/100)*(SQRT(P$2)/SQRT(8))*VLOOKUP($D$34, Parser!$N$5:'Parser'!$O$24, 2, FALSE)</f>
        <v>11.920496533125831</v>
      </c>
      <c r="Q16" s="240">
        <f>(1+SQRT(($B16-1))*9/100)*(SQRT(Q$2)/SQRT(8))*VLOOKUP($D$34, Parser!$N$5:'Parser'!$O$24, 2, FALSE)</f>
        <v>10.323452823411298</v>
      </c>
      <c r="R16" s="240">
        <f>(1+SQRT(($B16-1))*9/100)*(SQRT(R$2)/SQRT(8))*VLOOKUP($D$34, Parser!$N$5:'Parser'!$O$24, 2, FALSE)</f>
        <v>8.4290639336840059</v>
      </c>
      <c r="S16" s="253">
        <f>(1+SQRT(($B16-1))*9/100)*(SQRT(S$2)/SQRT(8))*VLOOKUP($D$34, Parser!$N$5:'Parser'!$O$24, 2, FALSE)</f>
        <v>5.9602482665629157</v>
      </c>
      <c r="T16" s="242"/>
    </row>
    <row r="17" spans="2:20">
      <c r="B17" s="232">
        <v>15</v>
      </c>
      <c r="C17" s="234"/>
      <c r="D17" s="252">
        <f>(1+SQRT(($B17-1))*9/100)*(SQRT(D$2)/SQRT(8))*VLOOKUP($D$34, Parser!$N$5:'Parser'!$O$24, 2, FALSE)</f>
        <v>24.061484966573786</v>
      </c>
      <c r="E17" s="240">
        <f>(1+SQRT(($B17-1))*9/100)*(SQRT(E$2)/SQRT(8))*VLOOKUP($D$34, Parser!$N$5:'Parser'!$O$24, 2, FALSE)</f>
        <v>23.297432640140098</v>
      </c>
      <c r="F17" s="240">
        <f>(1+SQRT(($B17-1))*9/100)*(SQRT(F$2)/SQRT(8))*VLOOKUP($D$34, Parser!$N$5:'Parser'!$O$24, 2, FALSE)</f>
        <v>22.507458240482737</v>
      </c>
      <c r="G17" s="240">
        <f>(1+SQRT(($B17-1))*9/100)*(SQRT(G$2)/SQRT(8))*VLOOKUP($D$34, Parser!$N$5:'Parser'!$O$24, 2, FALSE)</f>
        <v>21.688729452696926</v>
      </c>
      <c r="H17" s="240">
        <f>(1+SQRT(($B17-1))*9/100)*(SQRT(H$2)/SQRT(8))*VLOOKUP($D$34, Parser!$N$5:'Parser'!$O$24, 2, FALSE)</f>
        <v>20.83785723383026</v>
      </c>
      <c r="I17" s="240">
        <f>(1+SQRT(($B17-1))*9/100)*(SQRT(I$2)/SQRT(8))*VLOOKUP($D$34, Parser!$N$5:'Parser'!$O$24, 2, FALSE)</f>
        <v>19.9507293832256</v>
      </c>
      <c r="J17" s="240">
        <f>(1+SQRT(($B17-1))*9/100)*(SQRT(J$2)/SQRT(8))*VLOOKUP($D$34, Parser!$N$5:'Parser'!$O$24, 2, FALSE)</f>
        <v>19.022274095068394</v>
      </c>
      <c r="K17" s="240">
        <f>(1+SQRT(($B17-1))*9/100)*(SQRT(K$2)/SQRT(8))*VLOOKUP($D$34, Parser!$N$5:'Parser'!$O$24, 2, FALSE)</f>
        <v>18.04611372493034</v>
      </c>
      <c r="L17" s="240">
        <f>(1+SQRT(($B17-1))*9/100)*(SQRT(L$2)/SQRT(8))*VLOOKUP($D$34, Parser!$N$5:'Parser'!$O$24, 2, FALSE)</f>
        <v>17.014039185282492</v>
      </c>
      <c r="M17" s="240">
        <f>(1+SQRT(($B17-1))*9/100)*(SQRT(M$2)/SQRT(8))*VLOOKUP($D$34, Parser!$N$5:'Parser'!$O$24, 2, FALSE)</f>
        <v>15.915176349118379</v>
      </c>
      <c r="N17" s="240">
        <f>(1+SQRT(($B17-1))*9/100)*(SQRT(N$2)/SQRT(8))*VLOOKUP($D$34, Parser!$N$5:'Parser'!$O$24, 2, FALSE)</f>
        <v>14.73459015543853</v>
      </c>
      <c r="O17" s="240">
        <f>(1+SQRT(($B17-1))*9/100)*(SQRT(O$2)/SQRT(8))*VLOOKUP($D$34, Parser!$N$5:'Parser'!$O$24, 2, FALSE)</f>
        <v>13.450779006212061</v>
      </c>
      <c r="P17" s="240">
        <f>(1+SQRT(($B17-1))*9/100)*(SQRT(P$2)/SQRT(8))*VLOOKUP($D$34, Parser!$N$5:'Parser'!$O$24, 2, FALSE)</f>
        <v>12.030742483286893</v>
      </c>
      <c r="Q17" s="240">
        <f>(1+SQRT(($B17-1))*9/100)*(SQRT(Q$2)/SQRT(8))*VLOOKUP($D$34, Parser!$N$5:'Parser'!$O$24, 2, FALSE)</f>
        <v>10.41892861691513</v>
      </c>
      <c r="R17" s="240">
        <f>(1+SQRT(($B17-1))*9/100)*(SQRT(R$2)/SQRT(8))*VLOOKUP($D$34, Parser!$N$5:'Parser'!$O$24, 2, FALSE)</f>
        <v>8.507019592641246</v>
      </c>
      <c r="S17" s="253">
        <f>(1+SQRT(($B17-1))*9/100)*(SQRT(S$2)/SQRT(8))*VLOOKUP($D$34, Parser!$N$5:'Parser'!$O$24, 2, FALSE)</f>
        <v>6.0153712416434466</v>
      </c>
      <c r="T17" s="242"/>
    </row>
    <row r="18" spans="2:20">
      <c r="B18" s="232">
        <v>16</v>
      </c>
      <c r="C18" s="234"/>
      <c r="D18" s="252">
        <f>(1+SQRT(($B18-1))*9/100)*(SQRT(D$2)/SQRT(8))*VLOOKUP($D$34, Parser!$N$5:'Parser'!$O$24, 2, FALSE)</f>
        <v>24.274233020856016</v>
      </c>
      <c r="E18" s="240">
        <f>(1+SQRT(($B18-1))*9/100)*(SQRT(E$2)/SQRT(8))*VLOOKUP($D$34, Parser!$N$5:'Parser'!$O$24, 2, FALSE)</f>
        <v>23.503425057933374</v>
      </c>
      <c r="F18" s="240">
        <f>(1+SQRT(($B18-1))*9/100)*(SQRT(F$2)/SQRT(8))*VLOOKUP($D$34, Parser!$N$5:'Parser'!$O$24, 2, FALSE)</f>
        <v>22.706465822689459</v>
      </c>
      <c r="G18" s="240">
        <f>(1+SQRT(($B18-1))*9/100)*(SQRT(G$2)/SQRT(8))*VLOOKUP($D$34, Parser!$N$5:'Parser'!$O$24, 2, FALSE)</f>
        <v>21.880497957314375</v>
      </c>
      <c r="H18" s="240">
        <f>(1+SQRT(($B18-1))*9/100)*(SQRT(H$2)/SQRT(8))*VLOOKUP($D$34, Parser!$N$5:'Parser'!$O$24, 2, FALSE)</f>
        <v>21.022102453444383</v>
      </c>
      <c r="I18" s="240">
        <f>(1+SQRT(($B18-1))*9/100)*(SQRT(I$2)/SQRT(8))*VLOOKUP($D$34, Parser!$N$5:'Parser'!$O$24, 2, FALSE)</f>
        <v>20.127130750958678</v>
      </c>
      <c r="J18" s="240">
        <f>(1+SQRT(($B18-1))*9/100)*(SQRT(J$2)/SQRT(8))*VLOOKUP($D$34, Parser!$N$5:'Parser'!$O$24, 2, FALSE)</f>
        <v>19.190466199893642</v>
      </c>
      <c r="K18" s="240">
        <f>(1+SQRT(($B18-1))*9/100)*(SQRT(K$2)/SQRT(8))*VLOOKUP($D$34, Parser!$N$5:'Parser'!$O$24, 2, FALSE)</f>
        <v>18.205674765642009</v>
      </c>
      <c r="L18" s="240">
        <f>(1+SQRT(($B18-1))*9/100)*(SQRT(L$2)/SQRT(8))*VLOOKUP($D$34, Parser!$N$5:'Parser'!$O$24, 2, FALSE)</f>
        <v>17.164474777149703</v>
      </c>
      <c r="M18" s="240">
        <f>(1+SQRT(($B18-1))*9/100)*(SQRT(M$2)/SQRT(8))*VLOOKUP($D$34, Parser!$N$5:'Parser'!$O$24, 2, FALSE)</f>
        <v>16.055895960004296</v>
      </c>
      <c r="N18" s="240">
        <f>(1+SQRT(($B18-1))*9/100)*(SQRT(N$2)/SQRT(8))*VLOOKUP($D$34, Parser!$N$5:'Parser'!$O$24, 2, FALSE)</f>
        <v>14.864871199628883</v>
      </c>
      <c r="O18" s="240">
        <f>(1+SQRT(($B18-1))*9/100)*(SQRT(O$2)/SQRT(8))*VLOOKUP($D$34, Parser!$N$5:'Parser'!$O$24, 2, FALSE)</f>
        <v>13.569708784076031</v>
      </c>
      <c r="P18" s="240">
        <f>(1+SQRT(($B18-1))*9/100)*(SQRT(P$2)/SQRT(8))*VLOOKUP($D$34, Parser!$N$5:'Parser'!$O$24, 2, FALSE)</f>
        <v>12.137116510428008</v>
      </c>
      <c r="Q18" s="240">
        <f>(1+SQRT(($B18-1))*9/100)*(SQRT(Q$2)/SQRT(8))*VLOOKUP($D$34, Parser!$N$5:'Parser'!$O$24, 2, FALSE)</f>
        <v>10.511051226722191</v>
      </c>
      <c r="R18" s="240">
        <f>(1+SQRT(($B18-1))*9/100)*(SQRT(R$2)/SQRT(8))*VLOOKUP($D$34, Parser!$N$5:'Parser'!$O$24, 2, FALSE)</f>
        <v>8.5822373885748515</v>
      </c>
      <c r="S18" s="253">
        <f>(1+SQRT(($B18-1))*9/100)*(SQRT(S$2)/SQRT(8))*VLOOKUP($D$34, Parser!$N$5:'Parser'!$O$24, 2, FALSE)</f>
        <v>6.068558255214004</v>
      </c>
      <c r="T18" s="242"/>
    </row>
    <row r="19" spans="2:20">
      <c r="B19" s="232">
        <v>17</v>
      </c>
      <c r="C19" s="234"/>
      <c r="D19" s="252">
        <f>(1+SQRT(($B19-1))*9/100)*(SQRT(D$2)/SQRT(8))*VLOOKUP($D$34, Parser!$N$5:'Parser'!$O$24, 2, FALSE)</f>
        <v>24.479999999999997</v>
      </c>
      <c r="E19" s="240">
        <f>(1+SQRT(($B19-1))*9/100)*(SQRT(E$2)/SQRT(8))*VLOOKUP($D$34, Parser!$N$5:'Parser'!$O$24, 2, FALSE)</f>
        <v>23.702658078789387</v>
      </c>
      <c r="F19" s="240">
        <f>(1+SQRT(($B19-1))*9/100)*(SQRT(F$2)/SQRT(8))*VLOOKUP($D$34, Parser!$N$5:'Parser'!$O$24, 2, FALSE)</f>
        <v>22.898943207056519</v>
      </c>
      <c r="G19" s="240">
        <f>(1+SQRT(($B19-1))*9/100)*(SQRT(G$2)/SQRT(8))*VLOOKUP($D$34, Parser!$N$5:'Parser'!$O$24, 2, FALSE)</f>
        <v>22.065973805839612</v>
      </c>
      <c r="H19" s="240">
        <f>(1+SQRT(($B19-1))*9/100)*(SQRT(H$2)/SQRT(8))*VLOOKUP($D$34, Parser!$N$5:'Parser'!$O$24, 2, FALSE)</f>
        <v>21.200301884643054</v>
      </c>
      <c r="I19" s="240">
        <f>(1+SQRT(($B19-1))*9/100)*(SQRT(I$2)/SQRT(8))*VLOOKUP($D$34, Parser!$N$5:'Parser'!$O$24, 2, FALSE)</f>
        <v>20.297743716975045</v>
      </c>
      <c r="J19" s="240">
        <f>(1+SQRT(($B19-1))*9/100)*(SQRT(J$2)/SQRT(8))*VLOOKUP($D$34, Parser!$N$5:'Parser'!$O$24, 2, FALSE)</f>
        <v>19.353139280230479</v>
      </c>
      <c r="K19" s="240">
        <f>(1+SQRT(($B19-1))*9/100)*(SQRT(K$2)/SQRT(8))*VLOOKUP($D$34, Parser!$N$5:'Parser'!$O$24, 2, FALSE)</f>
        <v>18.359999999999996</v>
      </c>
      <c r="L19" s="240">
        <f>(1+SQRT(($B19-1))*9/100)*(SQRT(L$2)/SQRT(8))*VLOOKUP($D$34, Parser!$N$5:'Parser'!$O$24, 2, FALSE)</f>
        <v>17.30997400344668</v>
      </c>
      <c r="M19" s="240">
        <f>(1+SQRT(($B19-1))*9/100)*(SQRT(M$2)/SQRT(8))*VLOOKUP($D$34, Parser!$N$5:'Parser'!$O$24, 2, FALSE)</f>
        <v>16.191998023715289</v>
      </c>
      <c r="N19" s="240">
        <f>(1+SQRT(($B19-1))*9/100)*(SQRT(N$2)/SQRT(8))*VLOOKUP($D$34, Parser!$N$5:'Parser'!$O$24, 2, FALSE)</f>
        <v>14.990877225833046</v>
      </c>
      <c r="O19" s="240">
        <f>(1+SQRT(($B19-1))*9/100)*(SQRT(O$2)/SQRT(8))*VLOOKUP($D$34, Parser!$N$5:'Parser'!$O$24, 2, FALSE)</f>
        <v>13.684736022298713</v>
      </c>
      <c r="P19" s="240">
        <f>(1+SQRT(($B19-1))*9/100)*(SQRT(P$2)/SQRT(8))*VLOOKUP($D$34, Parser!$N$5:'Parser'!$O$24, 2, FALSE)</f>
        <v>12.239999999999998</v>
      </c>
      <c r="Q19" s="240">
        <f>(1+SQRT(($B19-1))*9/100)*(SQRT(Q$2)/SQRT(8))*VLOOKUP($D$34, Parser!$N$5:'Parser'!$O$24, 2, FALSE)</f>
        <v>10.600150942321527</v>
      </c>
      <c r="R19" s="240">
        <f>(1+SQRT(($B19-1))*9/100)*(SQRT(R$2)/SQRT(8))*VLOOKUP($D$34, Parser!$N$5:'Parser'!$O$24, 2, FALSE)</f>
        <v>8.6549870017233399</v>
      </c>
      <c r="S19" s="253">
        <f>(1+SQRT(($B19-1))*9/100)*(SQRT(S$2)/SQRT(8))*VLOOKUP($D$34, Parser!$N$5:'Parser'!$O$24, 2, FALSE)</f>
        <v>6.1199999999999992</v>
      </c>
      <c r="T19" s="242"/>
    </row>
    <row r="20" spans="2:20">
      <c r="B20" s="232">
        <v>18</v>
      </c>
      <c r="C20" s="234"/>
      <c r="D20" s="252">
        <f>(1+SQRT(($B20-1))*9/100)*(SQRT(D$2)/SQRT(8))*VLOOKUP($D$34, Parser!$N$5:'Parser'!$O$24, 2, FALSE)</f>
        <v>24.679431113500609</v>
      </c>
      <c r="E20" s="240">
        <f>(1+SQRT(($B20-1))*9/100)*(SQRT(E$2)/SQRT(8))*VLOOKUP($D$34, Parser!$N$5:'Parser'!$O$24, 2, FALSE)</f>
        <v>23.895756424115255</v>
      </c>
      <c r="F20" s="240">
        <f>(1+SQRT(($B20-1))*9/100)*(SQRT(F$2)/SQRT(8))*VLOOKUP($D$34, Parser!$N$5:'Parser'!$O$24, 2, FALSE)</f>
        <v>23.085493931802048</v>
      </c>
      <c r="G20" s="240">
        <f>(1+SQRT(($B20-1))*9/100)*(SQRT(G$2)/SQRT(8))*VLOOKUP($D$34, Parser!$N$5:'Parser'!$O$24, 2, FALSE)</f>
        <v>22.245738582251942</v>
      </c>
      <c r="H20" s="240">
        <f>(1+SQRT(($B20-1))*9/100)*(SQRT(H$2)/SQRT(8))*VLOOKUP($D$34, Parser!$N$5:'Parser'!$O$24, 2, FALSE)</f>
        <v>21.373014295239599</v>
      </c>
      <c r="I20" s="240">
        <f>(1+SQRT(($B20-1))*9/100)*(SQRT(I$2)/SQRT(8))*VLOOKUP($D$34, Parser!$N$5:'Parser'!$O$24, 2, FALSE)</f>
        <v>20.463103260726122</v>
      </c>
      <c r="J20" s="240">
        <f>(1+SQRT(($B20-1))*9/100)*(SQRT(J$2)/SQRT(8))*VLOOKUP($D$34, Parser!$N$5:'Parser'!$O$24, 2, FALSE)</f>
        <v>19.51080341897185</v>
      </c>
      <c r="K20" s="240">
        <f>(1+SQRT(($B20-1))*9/100)*(SQRT(K$2)/SQRT(8))*VLOOKUP($D$34, Parser!$N$5:'Parser'!$O$24, 2, FALSE)</f>
        <v>18.509573335125452</v>
      </c>
      <c r="L20" s="240">
        <f>(1+SQRT(($B20-1))*9/100)*(SQRT(L$2)/SQRT(8))*VLOOKUP($D$34, Parser!$N$5:'Parser'!$O$24, 2, FALSE)</f>
        <v>17.450993096182547</v>
      </c>
      <c r="M20" s="240">
        <f>(1+SQRT(($B20-1))*9/100)*(SQRT(M$2)/SQRT(8))*VLOOKUP($D$34, Parser!$N$5:'Parser'!$O$24, 2, FALSE)</f>
        <v>16.32390930621812</v>
      </c>
      <c r="N20" s="240">
        <f>(1+SQRT(($B20-1))*9/100)*(SQRT(N$2)/SQRT(8))*VLOOKUP($D$34, Parser!$N$5:'Parser'!$O$24, 2, FALSE)</f>
        <v>15.113003342560942</v>
      </c>
      <c r="O20" s="240">
        <f>(1+SQRT(($B20-1))*9/100)*(SQRT(O$2)/SQRT(8))*VLOOKUP($D$34, Parser!$N$5:'Parser'!$O$24, 2, FALSE)</f>
        <v>13.796221403952671</v>
      </c>
      <c r="P20" s="240">
        <f>(1+SQRT(($B20-1))*9/100)*(SQRT(P$2)/SQRT(8))*VLOOKUP($D$34, Parser!$N$5:'Parser'!$O$24, 2, FALSE)</f>
        <v>12.339715556750305</v>
      </c>
      <c r="Q20" s="240">
        <f>(1+SQRT(($B20-1))*9/100)*(SQRT(Q$2)/SQRT(8))*VLOOKUP($D$34, Parser!$N$5:'Parser'!$O$24, 2, FALSE)</f>
        <v>10.6865071476198</v>
      </c>
      <c r="R20" s="240">
        <f>(1+SQRT(($B20-1))*9/100)*(SQRT(R$2)/SQRT(8))*VLOOKUP($D$34, Parser!$N$5:'Parser'!$O$24, 2, FALSE)</f>
        <v>8.7254965480912734</v>
      </c>
      <c r="S20" s="253">
        <f>(1+SQRT(($B20-1))*9/100)*(SQRT(S$2)/SQRT(8))*VLOOKUP($D$34, Parser!$N$5:'Parser'!$O$24, 2, FALSE)</f>
        <v>6.1698577783751523</v>
      </c>
      <c r="T20" s="242"/>
    </row>
    <row r="21" spans="2:20">
      <c r="B21" s="232">
        <v>19</v>
      </c>
      <c r="C21" s="234"/>
      <c r="D21" s="252">
        <f>(1+SQRT(($B21-1))*9/100)*(SQRT(D$2)/SQRT(8))*VLOOKUP($D$34, Parser!$N$5:'Parser'!$O$24, 2, FALSE)</f>
        <v>24.87307791313324</v>
      </c>
      <c r="E21" s="240">
        <f>(1+SQRT(($B21-1))*9/100)*(SQRT(E$2)/SQRT(8))*VLOOKUP($D$34, Parser!$N$5:'Parser'!$O$24, 2, FALSE)</f>
        <v>24.083254131621143</v>
      </c>
      <c r="F21" s="240">
        <f>(1+SQRT(($B21-1))*9/100)*(SQRT(F$2)/SQRT(8))*VLOOKUP($D$34, Parser!$N$5:'Parser'!$O$24, 2, FALSE)</f>
        <v>23.266633926369689</v>
      </c>
      <c r="G21" s="240">
        <f>(1+SQRT(($B21-1))*9/100)*(SQRT(G$2)/SQRT(8))*VLOOKUP($D$34, Parser!$N$5:'Parser'!$O$24, 2, FALSE)</f>
        <v>22.420289448603182</v>
      </c>
      <c r="H21" s="240">
        <f>(1+SQRT(($B21-1))*9/100)*(SQRT(H$2)/SQRT(8))*VLOOKUP($D$34, Parser!$N$5:'Parser'!$O$24, 2, FALSE)</f>
        <v>21.540717343083013</v>
      </c>
      <c r="I21" s="240">
        <f>(1+SQRT(($B21-1))*9/100)*(SQRT(I$2)/SQRT(8))*VLOOKUP($D$34, Parser!$N$5:'Parser'!$O$24, 2, FALSE)</f>
        <v>20.623666704784764</v>
      </c>
      <c r="J21" s="240">
        <f>(1+SQRT(($B21-1))*9/100)*(SQRT(J$2)/SQRT(8))*VLOOKUP($D$34, Parser!$N$5:'Parser'!$O$24, 2, FALSE)</f>
        <v>19.663894656082192</v>
      </c>
      <c r="K21" s="240">
        <f>(1+SQRT(($B21-1))*9/100)*(SQRT(K$2)/SQRT(8))*VLOOKUP($D$34, Parser!$N$5:'Parser'!$O$24, 2, FALSE)</f>
        <v>18.654808434849926</v>
      </c>
      <c r="L21" s="240">
        <f>(1+SQRT(($B21-1))*9/100)*(SQRT(L$2)/SQRT(8))*VLOOKUP($D$34, Parser!$N$5:'Parser'!$O$24, 2, FALSE)</f>
        <v>17.587922061357851</v>
      </c>
      <c r="M21" s="240">
        <f>(1+SQRT(($B21-1))*9/100)*(SQRT(M$2)/SQRT(8))*VLOOKUP($D$34, Parser!$N$5:'Parser'!$O$24, 2, FALSE)</f>
        <v>16.451994624720992</v>
      </c>
      <c r="N21" s="240">
        <f>(1+SQRT(($B21-1))*9/100)*(SQRT(N$2)/SQRT(8))*VLOOKUP($D$34, Parser!$N$5:'Parser'!$O$24, 2, FALSE)</f>
        <v>15.231587304916671</v>
      </c>
      <c r="O21" s="240">
        <f>(1+SQRT(($B21-1))*9/100)*(SQRT(O$2)/SQRT(8))*VLOOKUP($D$34, Parser!$N$5:'Parser'!$O$24, 2, FALSE)</f>
        <v>13.904473255853635</v>
      </c>
      <c r="P21" s="240">
        <f>(1+SQRT(($B21-1))*9/100)*(SQRT(P$2)/SQRT(8))*VLOOKUP($D$34, Parser!$N$5:'Parser'!$O$24, 2, FALSE)</f>
        <v>12.43653895656662</v>
      </c>
      <c r="Q21" s="240">
        <f>(1+SQRT(($B21-1))*9/100)*(SQRT(Q$2)/SQRT(8))*VLOOKUP($D$34, Parser!$N$5:'Parser'!$O$24, 2, FALSE)</f>
        <v>10.770358671541507</v>
      </c>
      <c r="R21" s="240">
        <f>(1+SQRT(($B21-1))*9/100)*(SQRT(R$2)/SQRT(8))*VLOOKUP($D$34, Parser!$N$5:'Parser'!$O$24, 2, FALSE)</f>
        <v>8.7939610306789255</v>
      </c>
      <c r="S21" s="253">
        <f>(1+SQRT(($B21-1))*9/100)*(SQRT(S$2)/SQRT(8))*VLOOKUP($D$34, Parser!$N$5:'Parser'!$O$24, 2, FALSE)</f>
        <v>6.2182694782833101</v>
      </c>
      <c r="T21" s="242"/>
    </row>
    <row r="22" spans="2:20">
      <c r="B22" s="232">
        <v>20</v>
      </c>
      <c r="C22" s="234"/>
      <c r="D22" s="252">
        <f>(1+SQRT(($B22-1))*9/100)*(SQRT(D$2)/SQRT(8))*VLOOKUP($D$34, Parser!$N$5:'Parser'!$O$24, 2, FALSE)</f>
        <v>25.061416288535888</v>
      </c>
      <c r="E22" s="240">
        <f>(1+SQRT(($B22-1))*9/100)*(SQRT(E$2)/SQRT(8))*VLOOKUP($D$34, Parser!$N$5:'Parser'!$O$24, 2, FALSE)</f>
        <v>24.2656119794677</v>
      </c>
      <c r="F22" s="240">
        <f>(1+SQRT(($B22-1))*9/100)*(SQRT(F$2)/SQRT(8))*VLOOKUP($D$34, Parser!$N$5:'Parser'!$O$24, 2, FALSE)</f>
        <v>23.442808344754273</v>
      </c>
      <c r="G22" s="240">
        <f>(1+SQRT(($B22-1))*9/100)*(SQRT(G$2)/SQRT(8))*VLOOKUP($D$34, Parser!$N$5:'Parser'!$O$24, 2, FALSE)</f>
        <v>22.590055366016138</v>
      </c>
      <c r="H22" s="240">
        <f>(1+SQRT(($B22-1))*9/100)*(SQRT(H$2)/SQRT(8))*VLOOKUP($D$34, Parser!$N$5:'Parser'!$O$24, 2, FALSE)</f>
        <v>21.703823160689197</v>
      </c>
      <c r="I22" s="240">
        <f>(1+SQRT(($B22-1))*9/100)*(SQRT(I$2)/SQRT(8))*VLOOKUP($D$34, Parser!$N$5:'Parser'!$O$24, 2, FALSE)</f>
        <v>20.779828635993685</v>
      </c>
      <c r="J22" s="240">
        <f>(1+SQRT(($B22-1))*9/100)*(SQRT(J$2)/SQRT(8))*VLOOKUP($D$34, Parser!$N$5:'Parser'!$O$24, 2, FALSE)</f>
        <v>19.812789215354243</v>
      </c>
      <c r="K22" s="240">
        <f>(1+SQRT(($B22-1))*9/100)*(SQRT(K$2)/SQRT(8))*VLOOKUP($D$34, Parser!$N$5:'Parser'!$O$24, 2, FALSE)</f>
        <v>18.796062216401914</v>
      </c>
      <c r="L22" s="240">
        <f>(1+SQRT(($B22-1))*9/100)*(SQRT(L$2)/SQRT(8))*VLOOKUP($D$34, Parser!$N$5:'Parser'!$O$24, 2, FALSE)</f>
        <v>17.721097403762723</v>
      </c>
      <c r="M22" s="240">
        <f>(1+SQRT(($B22-1))*9/100)*(SQRT(M$2)/SQRT(8))*VLOOKUP($D$34, Parser!$N$5:'Parser'!$O$24, 2, FALSE)</f>
        <v>16.57656875063233</v>
      </c>
      <c r="N22" s="240">
        <f>(1+SQRT(($B22-1))*9/100)*(SQRT(N$2)/SQRT(8))*VLOOKUP($D$34, Parser!$N$5:'Parser'!$O$24, 2, FALSE)</f>
        <v>15.346920534596979</v>
      </c>
      <c r="O22" s="240">
        <f>(1+SQRT(($B22-1))*9/100)*(SQRT(O$2)/SQRT(8))*VLOOKUP($D$34, Parser!$N$5:'Parser'!$O$24, 2, FALSE)</f>
        <v>14.009757608396685</v>
      </c>
      <c r="P22" s="240">
        <f>(1+SQRT(($B22-1))*9/100)*(SQRT(P$2)/SQRT(8))*VLOOKUP($D$34, Parser!$N$5:'Parser'!$O$24, 2, FALSE)</f>
        <v>12.530708144267944</v>
      </c>
      <c r="Q22" s="240">
        <f>(1+SQRT(($B22-1))*9/100)*(SQRT(Q$2)/SQRT(8))*VLOOKUP($D$34, Parser!$N$5:'Parser'!$O$24, 2, FALSE)</f>
        <v>10.851911580344598</v>
      </c>
      <c r="R22" s="240">
        <f>(1+SQRT(($B22-1))*9/100)*(SQRT(R$2)/SQRT(8))*VLOOKUP($D$34, Parser!$N$5:'Parser'!$O$24, 2, FALSE)</f>
        <v>8.8605487018813616</v>
      </c>
      <c r="S22" s="253">
        <f>(1+SQRT(($B22-1))*9/100)*(SQRT(S$2)/SQRT(8))*VLOOKUP($D$34, Parser!$N$5:'Parser'!$O$24, 2, FALSE)</f>
        <v>6.265354072133972</v>
      </c>
      <c r="T22" s="242"/>
    </row>
    <row r="23" spans="2:20">
      <c r="B23" s="232">
        <v>21</v>
      </c>
      <c r="C23" s="234"/>
      <c r="D23" s="252">
        <f>(1+SQRT(($B23-1))*9/100)*(SQRT(D$2)/SQRT(8))*VLOOKUP($D$34, Parser!$N$5:'Parser'!$O$24, 2, FALSE)</f>
        <v>25.244860247099318</v>
      </c>
      <c r="E23" s="240">
        <f>(1+SQRT(($B23-1))*9/100)*(SQRT(E$2)/SQRT(8))*VLOOKUP($D$34, Parser!$N$5:'Parser'!$O$24, 2, FALSE)</f>
        <v>24.443230828587328</v>
      </c>
      <c r="F23" s="240">
        <f>(1+SQRT(($B23-1))*9/100)*(SQRT(F$2)/SQRT(8))*VLOOKUP($D$34, Parser!$N$5:'Parser'!$O$24, 2, FALSE)</f>
        <v>23.614404455408749</v>
      </c>
      <c r="G23" s="240">
        <f>(1+SQRT(($B23-1))*9/100)*(SQRT(G$2)/SQRT(8))*VLOOKUP($D$34, Parser!$N$5:'Parser'!$O$24, 2, FALSE)</f>
        <v>22.755409515709772</v>
      </c>
      <c r="H23" s="240">
        <f>(1+SQRT(($B23-1))*9/100)*(SQRT(H$2)/SQRT(8))*VLOOKUP($D$34, Parser!$N$5:'Parser'!$O$24, 2, FALSE)</f>
        <v>21.862690288975905</v>
      </c>
      <c r="I23" s="240">
        <f>(1+SQRT(($B23-1))*9/100)*(SQRT(I$2)/SQRT(8))*VLOOKUP($D$34, Parser!$N$5:'Parser'!$O$24, 2, FALSE)</f>
        <v>20.931932331146786</v>
      </c>
      <c r="J23" s="240">
        <f>(1+SQRT(($B23-1))*9/100)*(SQRT(J$2)/SQRT(8))*VLOOKUP($D$34, Parser!$N$5:'Parser'!$O$24, 2, FALSE)</f>
        <v>19.957814398368736</v>
      </c>
      <c r="K23" s="240">
        <f>(1+SQRT(($B23-1))*9/100)*(SQRT(K$2)/SQRT(8))*VLOOKUP($D$34, Parser!$N$5:'Parser'!$O$24, 2, FALSE)</f>
        <v>18.933645185324487</v>
      </c>
      <c r="L23" s="240">
        <f>(1+SQRT(($B23-1))*9/100)*(SQRT(L$2)/SQRT(8))*VLOOKUP($D$34, Parser!$N$5:'Parser'!$O$24, 2, FALSE)</f>
        <v>17.850811870830629</v>
      </c>
      <c r="M23" s="240">
        <f>(1+SQRT(($B23-1))*9/100)*(SQRT(M$2)/SQRT(8))*VLOOKUP($D$34, Parser!$N$5:'Parser'!$O$24, 2, FALSE)</f>
        <v>16.697905524101344</v>
      </c>
      <c r="N23" s="240">
        <f>(1+SQRT(($B23-1))*9/100)*(SQRT(N$2)/SQRT(8))*VLOOKUP($D$34, Parser!$N$5:'Parser'!$O$24, 2, FALSE)</f>
        <v>15.459256558316145</v>
      </c>
      <c r="O23" s="240">
        <f>(1+SQRT(($B23-1))*9/100)*(SQRT(O$2)/SQRT(8))*VLOOKUP($D$34, Parser!$N$5:'Parser'!$O$24, 2, FALSE)</f>
        <v>14.112305898749053</v>
      </c>
      <c r="P23" s="240">
        <f>(1+SQRT(($B23-1))*9/100)*(SQRT(P$2)/SQRT(8))*VLOOKUP($D$34, Parser!$N$5:'Parser'!$O$24, 2, FALSE)</f>
        <v>12.622430123549659</v>
      </c>
      <c r="Q23" s="240">
        <f>(1+SQRT(($B23-1))*9/100)*(SQRT(Q$2)/SQRT(8))*VLOOKUP($D$34, Parser!$N$5:'Parser'!$O$24, 2, FALSE)</f>
        <v>10.931345144487953</v>
      </c>
      <c r="R23" s="240">
        <f>(1+SQRT(($B23-1))*9/100)*(SQRT(R$2)/SQRT(8))*VLOOKUP($D$34, Parser!$N$5:'Parser'!$O$24, 2, FALSE)</f>
        <v>8.9254059354153146</v>
      </c>
      <c r="S23" s="253">
        <f>(1+SQRT(($B23-1))*9/100)*(SQRT(S$2)/SQRT(8))*VLOOKUP($D$34, Parser!$N$5:'Parser'!$O$24, 2, FALSE)</f>
        <v>6.3112150617748295</v>
      </c>
      <c r="T23" s="242"/>
    </row>
    <row r="24" spans="2:20">
      <c r="B24" s="232">
        <v>22</v>
      </c>
      <c r="C24" s="234"/>
      <c r="D24" s="252">
        <f>(1+SQRT(($B24-1))*9/100)*(SQRT(D$2)/SQRT(8))*VLOOKUP($D$34, Parser!$N$5:'Parser'!$O$24, 2, FALSE)</f>
        <v>25.423772625828459</v>
      </c>
      <c r="E24" s="240">
        <f>(1+SQRT(($B24-1))*9/100)*(SQRT(E$2)/SQRT(8))*VLOOKUP($D$34, Parser!$N$5:'Parser'!$O$24, 2, FALSE)</f>
        <v>24.616461994399405</v>
      </c>
      <c r="F24" s="240">
        <f>(1+SQRT(($B24-1))*9/100)*(SQRT(F$2)/SQRT(8))*VLOOKUP($D$34, Parser!$N$5:'Parser'!$O$24, 2, FALSE)</f>
        <v>23.781761661273048</v>
      </c>
      <c r="G24" s="240">
        <f>(1+SQRT(($B24-1))*9/100)*(SQRT(G$2)/SQRT(8))*VLOOKUP($D$34, Parser!$N$5:'Parser'!$O$24, 2, FALSE)</f>
        <v>22.916678954540561</v>
      </c>
      <c r="H24" s="240">
        <f>(1+SQRT(($B24-1))*9/100)*(SQRT(H$2)/SQRT(8))*VLOOKUP($D$34, Parser!$N$5:'Parser'!$O$24, 2, FALSE)</f>
        <v>22.017632954006846</v>
      </c>
      <c r="I24" s="240">
        <f>(1+SQRT(($B24-1))*9/100)*(SQRT(I$2)/SQRT(8))*VLOOKUP($D$34, Parser!$N$5:'Parser'!$O$24, 2, FALSE)</f>
        <v>21.08027863879542</v>
      </c>
      <c r="J24" s="240">
        <f>(1+SQRT(($B24-1))*9/100)*(SQRT(J$2)/SQRT(8))*VLOOKUP($D$34, Parser!$N$5:'Parser'!$O$24, 2, FALSE)</f>
        <v>20.099257052964429</v>
      </c>
      <c r="K24" s="240">
        <f>(1+SQRT(($B24-1))*9/100)*(SQRT(K$2)/SQRT(8))*VLOOKUP($D$34, Parser!$N$5:'Parser'!$O$24, 2, FALSE)</f>
        <v>19.067829469371343</v>
      </c>
      <c r="L24" s="240">
        <f>(1+SQRT(($B24-1))*9/100)*(SQRT(L$2)/SQRT(8))*VLOOKUP($D$34, Parser!$N$5:'Parser'!$O$24, 2, FALSE)</f>
        <v>17.977322027068219</v>
      </c>
      <c r="M24" s="240">
        <f>(1+SQRT(($B24-1))*9/100)*(SQRT(M$2)/SQRT(8))*VLOOKUP($D$34, Parser!$N$5:'Parser'!$O$24, 2, FALSE)</f>
        <v>16.816244939248424</v>
      </c>
      <c r="N24" s="240">
        <f>(1+SQRT(($B24-1))*9/100)*(SQRT(N$2)/SQRT(8))*VLOOKUP($D$34, Parser!$N$5:'Parser'!$O$24, 2, FALSE)</f>
        <v>15.568817567454639</v>
      </c>
      <c r="O24" s="240">
        <f>(1+SQRT(($B24-1))*9/100)*(SQRT(O$2)/SQRT(8))*VLOOKUP($D$34, Parser!$N$5:'Parser'!$O$24, 2, FALSE)</f>
        <v>14.212320958962692</v>
      </c>
      <c r="P24" s="240">
        <f>(1+SQRT(($B24-1))*9/100)*(SQRT(P$2)/SQRT(8))*VLOOKUP($D$34, Parser!$N$5:'Parser'!$O$24, 2, FALSE)</f>
        <v>12.711886312914229</v>
      </c>
      <c r="Q24" s="240">
        <f>(1+SQRT(($B24-1))*9/100)*(SQRT(Q$2)/SQRT(8))*VLOOKUP($D$34, Parser!$N$5:'Parser'!$O$24, 2, FALSE)</f>
        <v>11.008816477003423</v>
      </c>
      <c r="R24" s="240">
        <f>(1+SQRT(($B24-1))*9/100)*(SQRT(R$2)/SQRT(8))*VLOOKUP($D$34, Parser!$N$5:'Parser'!$O$24, 2, FALSE)</f>
        <v>8.9886610135341094</v>
      </c>
      <c r="S24" s="253">
        <f>(1+SQRT(($B24-1))*9/100)*(SQRT(S$2)/SQRT(8))*VLOOKUP($D$34, Parser!$N$5:'Parser'!$O$24, 2, FALSE)</f>
        <v>6.3559431564571147</v>
      </c>
      <c r="T24" s="242"/>
    </row>
    <row r="25" spans="2:20">
      <c r="B25" s="232">
        <v>23</v>
      </c>
      <c r="C25" s="234"/>
      <c r="D25" s="252">
        <f>(1+SQRT(($B25-1))*9/100)*(SQRT(D$2)/SQRT(8))*VLOOKUP($D$34, Parser!$N$5:'Parser'!$O$24, 2, FALSE)</f>
        <v>25.598473530913957</v>
      </c>
      <c r="E25" s="240">
        <f>(1+SQRT(($B25-1))*9/100)*(SQRT(E$2)/SQRT(8))*VLOOKUP($D$34, Parser!$N$5:'Parser'!$O$24, 2, FALSE)</f>
        <v>24.785615418390279</v>
      </c>
      <c r="F25" s="240">
        <f>(1+SQRT(($B25-1))*9/100)*(SQRT(F$2)/SQRT(8))*VLOOKUP($D$34, Parser!$N$5:'Parser'!$O$24, 2, FALSE)</f>
        <v>23.945179394270358</v>
      </c>
      <c r="G25" s="240">
        <f>(1+SQRT(($B25-1))*9/100)*(SQRT(G$2)/SQRT(8))*VLOOKUP($D$34, Parser!$N$5:'Parser'!$O$24, 2, FALSE)</f>
        <v>23.074152222329491</v>
      </c>
      <c r="H25" s="240">
        <f>(1+SQRT(($B25-1))*9/100)*(SQRT(H$2)/SQRT(8))*VLOOKUP($D$34, Parser!$N$5:'Parser'!$O$24, 2, FALSE)</f>
        <v>22.168928375875019</v>
      </c>
      <c r="I25" s="240">
        <f>(1+SQRT(($B25-1))*9/100)*(SQRT(I$2)/SQRT(8))*VLOOKUP($D$34, Parser!$N$5:'Parser'!$O$24, 2, FALSE)</f>
        <v>21.225132976971437</v>
      </c>
      <c r="J25" s="240">
        <f>(1+SQRT(($B25-1))*9/100)*(SQRT(J$2)/SQRT(8))*VLOOKUP($D$34, Parser!$N$5:'Parser'!$O$24, 2, FALSE)</f>
        <v>20.237370245305193</v>
      </c>
      <c r="K25" s="240">
        <f>(1+SQRT(($B25-1))*9/100)*(SQRT(K$2)/SQRT(8))*VLOOKUP($D$34, Parser!$N$5:'Parser'!$O$24, 2, FALSE)</f>
        <v>19.198855148185466</v>
      </c>
      <c r="L25" s="240">
        <f>(1+SQRT(($B25-1))*9/100)*(SQRT(L$2)/SQRT(8))*VLOOKUP($D$34, Parser!$N$5:'Parser'!$O$24, 2, FALSE)</f>
        <v>18.100854221733599</v>
      </c>
      <c r="M25" s="240">
        <f>(1+SQRT(($B25-1))*9/100)*(SQRT(M$2)/SQRT(8))*VLOOKUP($D$34, Parser!$N$5:'Parser'!$O$24, 2, FALSE)</f>
        <v>16.931798726416954</v>
      </c>
      <c r="N25" s="240">
        <f>(1+SQRT(($B25-1))*9/100)*(SQRT(N$2)/SQRT(8))*VLOOKUP($D$34, Parser!$N$5:'Parser'!$O$24, 2, FALSE)</f>
        <v>15.675799586220103</v>
      </c>
      <c r="O25" s="240">
        <f>(1+SQRT(($B25-1))*9/100)*(SQRT(O$2)/SQRT(8))*VLOOKUP($D$34, Parser!$N$5:'Parser'!$O$24, 2, FALSE)</f>
        <v>14.309981733838168</v>
      </c>
      <c r="P25" s="240">
        <f>(1+SQRT(($B25-1))*9/100)*(SQRT(P$2)/SQRT(8))*VLOOKUP($D$34, Parser!$N$5:'Parser'!$O$24, 2, FALSE)</f>
        <v>12.799236765456978</v>
      </c>
      <c r="Q25" s="240">
        <f>(1+SQRT(($B25-1))*9/100)*(SQRT(Q$2)/SQRT(8))*VLOOKUP($D$34, Parser!$N$5:'Parser'!$O$24, 2, FALSE)</f>
        <v>11.08446418793751</v>
      </c>
      <c r="R25" s="240">
        <f>(1+SQRT(($B25-1))*9/100)*(SQRT(R$2)/SQRT(8))*VLOOKUP($D$34, Parser!$N$5:'Parser'!$O$24, 2, FALSE)</f>
        <v>9.0504271108667993</v>
      </c>
      <c r="S25" s="253">
        <f>(1+SQRT(($B25-1))*9/100)*(SQRT(S$2)/SQRT(8))*VLOOKUP($D$34, Parser!$N$5:'Parser'!$O$24, 2, FALSE)</f>
        <v>6.3996183827284892</v>
      </c>
      <c r="T25" s="242"/>
    </row>
    <row r="26" spans="2:20">
      <c r="B26" s="232">
        <v>24</v>
      </c>
      <c r="C26" s="234"/>
      <c r="D26" s="252">
        <f>(1+SQRT(($B26-1))*9/100)*(SQRT(D$2)/SQRT(8))*VLOOKUP($D$34, Parser!$N$5:'Parser'!$O$24, 2, FALSE)</f>
        <v>25.769247067766607</v>
      </c>
      <c r="E26" s="240">
        <f>(1+SQRT(($B26-1))*9/100)*(SQRT(E$2)/SQRT(8))*VLOOKUP($D$34, Parser!$N$5:'Parser'!$O$24, 2, FALSE)</f>
        <v>24.950966184441093</v>
      </c>
      <c r="F26" s="240">
        <f>(1+SQRT(($B26-1))*9/100)*(SQRT(F$2)/SQRT(8))*VLOOKUP($D$34, Parser!$N$5:'Parser'!$O$24, 2, FALSE)</f>
        <v>24.104923410677916</v>
      </c>
      <c r="G26" s="240">
        <f>(1+SQRT(($B26-1))*9/100)*(SQRT(G$2)/SQRT(8))*VLOOKUP($D$34, Parser!$N$5:'Parser'!$O$24, 2, FALSE)</f>
        <v>23.228085408233135</v>
      </c>
      <c r="H26" s="240">
        <f>(1+SQRT(($B26-1))*9/100)*(SQRT(H$2)/SQRT(8))*VLOOKUP($D$34, Parser!$N$5:'Parser'!$O$24, 2, FALSE)</f>
        <v>22.316822597083529</v>
      </c>
      <c r="I26" s="240">
        <f>(1+SQRT(($B26-1))*9/100)*(SQRT(I$2)/SQRT(8))*VLOOKUP($D$34, Parser!$N$5:'Parser'!$O$24, 2, FALSE)</f>
        <v>21.366730913436982</v>
      </c>
      <c r="J26" s="240">
        <f>(1+SQRT(($B26-1))*9/100)*(SQRT(J$2)/SQRT(8))*VLOOKUP($D$34, Parser!$N$5:'Parser'!$O$24, 2, FALSE)</f>
        <v>20.372378580439459</v>
      </c>
      <c r="K26" s="240">
        <f>(1+SQRT(($B26-1))*9/100)*(SQRT(K$2)/SQRT(8))*VLOOKUP($D$34, Parser!$N$5:'Parser'!$O$24, 2, FALSE)</f>
        <v>19.32693530082495</v>
      </c>
      <c r="L26" s="240">
        <f>(1+SQRT(($B26-1))*9/100)*(SQRT(L$2)/SQRT(8))*VLOOKUP($D$34, Parser!$N$5:'Parser'!$O$24, 2, FALSE)</f>
        <v>18.221609347689323</v>
      </c>
      <c r="M26" s="240">
        <f>(1+SQRT(($B26-1))*9/100)*(SQRT(M$2)/SQRT(8))*VLOOKUP($D$34, Parser!$N$5:'Parser'!$O$24, 2, FALSE)</f>
        <v>17.044754803672713</v>
      </c>
      <c r="N26" s="240">
        <f>(1+SQRT(($B26-1))*9/100)*(SQRT(N$2)/SQRT(8))*VLOOKUP($D$34, Parser!$N$5:'Parser'!$O$24, 2, FALSE)</f>
        <v>15.780376592934948</v>
      </c>
      <c r="O26" s="240">
        <f>(1+SQRT(($B26-1))*9/100)*(SQRT(O$2)/SQRT(8))*VLOOKUP($D$34, Parser!$N$5:'Parser'!$O$24, 2, FALSE)</f>
        <v>14.405447043128317</v>
      </c>
      <c r="P26" s="240">
        <f>(1+SQRT(($B26-1))*9/100)*(SQRT(P$2)/SQRT(8))*VLOOKUP($D$34, Parser!$N$5:'Parser'!$O$24, 2, FALSE)</f>
        <v>12.884623533883303</v>
      </c>
      <c r="Q26" s="240">
        <f>(1+SQRT(($B26-1))*9/100)*(SQRT(Q$2)/SQRT(8))*VLOOKUP($D$34, Parser!$N$5:'Parser'!$O$24, 2, FALSE)</f>
        <v>11.158411298541765</v>
      </c>
      <c r="R26" s="240">
        <f>(1+SQRT(($B26-1))*9/100)*(SQRT(R$2)/SQRT(8))*VLOOKUP($D$34, Parser!$N$5:'Parser'!$O$24, 2, FALSE)</f>
        <v>9.1108046738446617</v>
      </c>
      <c r="S26" s="253">
        <f>(1+SQRT(($B26-1))*9/100)*(SQRT(S$2)/SQRT(8))*VLOOKUP($D$34, Parser!$N$5:'Parser'!$O$24, 2, FALSE)</f>
        <v>6.4423117669416516</v>
      </c>
      <c r="T26" s="242"/>
    </row>
    <row r="27" spans="2:20">
      <c r="B27" s="232">
        <v>25</v>
      </c>
      <c r="C27" s="234"/>
      <c r="D27" s="252">
        <f>(1+SQRT(($B27-1))*9/100)*(SQRT(D$2)/SQRT(8))*VLOOKUP($D$34, Parser!$N$5:'Parser'!$O$24, 2, FALSE)</f>
        <v>25.936346766617497</v>
      </c>
      <c r="E27" s="240">
        <f>(1+SQRT(($B27-1))*9/100)*(SQRT(E$2)/SQRT(8))*VLOOKUP($D$34, Parser!$N$5:'Parser'!$O$24, 2, FALSE)</f>
        <v>25.112759772142532</v>
      </c>
      <c r="F27" s="240">
        <f>(1+SQRT(($B27-1))*9/100)*(SQRT(F$2)/SQRT(8))*VLOOKUP($D$34, Parser!$N$5:'Parser'!$O$24, 2, FALSE)</f>
        <v>24.261230866311195</v>
      </c>
      <c r="G27" s="240">
        <f>(1+SQRT(($B27-1))*9/100)*(SQRT(G$2)/SQRT(8))*VLOOKUP($D$34, Parser!$N$5:'Parser'!$O$24, 2, FALSE)</f>
        <v>23.378707041313501</v>
      </c>
      <c r="H27" s="240">
        <f>(1+SQRT(($B27-1))*9/100)*(SQRT(H$2)/SQRT(8))*VLOOKUP($D$34, Parser!$N$5:'Parser'!$O$24, 2, FALSE)</f>
        <v>22.461535181253133</v>
      </c>
      <c r="I27" s="240">
        <f>(1+SQRT(($B27-1))*9/100)*(SQRT(I$2)/SQRT(8))*VLOOKUP($D$34, Parser!$N$5:'Parser'!$O$24, 2, FALSE)</f>
        <v>21.505282664354429</v>
      </c>
      <c r="J27" s="240">
        <f>(1+SQRT(($B27-1))*9/100)*(SQRT(J$2)/SQRT(8))*VLOOKUP($D$34, Parser!$N$5:'Parser'!$O$24, 2, FALSE)</f>
        <v>20.504482491613722</v>
      </c>
      <c r="K27" s="240">
        <f>(1+SQRT(($B27-1))*9/100)*(SQRT(K$2)/SQRT(8))*VLOOKUP($D$34, Parser!$N$5:'Parser'!$O$24, 2, FALSE)</f>
        <v>19.452260074963121</v>
      </c>
      <c r="L27" s="240">
        <f>(1+SQRT(($B27-1))*9/100)*(SQRT(L$2)/SQRT(8))*VLOOKUP($D$34, Parser!$N$5:'Parser'!$O$24, 2, FALSE)</f>
        <v>18.339766677881016</v>
      </c>
      <c r="M27" s="240">
        <f>(1+SQRT(($B27-1))*9/100)*(SQRT(M$2)/SQRT(8))*VLOOKUP($D$34, Parser!$N$5:'Parser'!$O$24, 2, FALSE)</f>
        <v>17.155280865501023</v>
      </c>
      <c r="N27" s="240">
        <f>(1+SQRT(($B27-1))*9/100)*(SQRT(N$2)/SQRT(8))*VLOOKUP($D$34, Parser!$N$5:'Parser'!$O$24, 2, FALSE)</f>
        <v>15.882703842524299</v>
      </c>
      <c r="O27" s="240">
        <f>(1+SQRT(($B27-1))*9/100)*(SQRT(O$2)/SQRT(8))*VLOOKUP($D$34, Parser!$N$5:'Parser'!$O$24, 2, FALSE)</f>
        <v>14.4988586145409</v>
      </c>
      <c r="P27" s="240">
        <f>(1+SQRT(($B27-1))*9/100)*(SQRT(P$2)/SQRT(8))*VLOOKUP($D$34, Parser!$N$5:'Parser'!$O$24, 2, FALSE)</f>
        <v>12.968173383308748</v>
      </c>
      <c r="Q27" s="240">
        <f>(1+SQRT(($B27-1))*9/100)*(SQRT(Q$2)/SQRT(8))*VLOOKUP($D$34, Parser!$N$5:'Parser'!$O$24, 2, FALSE)</f>
        <v>11.230767590626566</v>
      </c>
      <c r="R27" s="240">
        <f>(1+SQRT(($B27-1))*9/100)*(SQRT(R$2)/SQRT(8))*VLOOKUP($D$34, Parser!$N$5:'Parser'!$O$24, 2, FALSE)</f>
        <v>9.1698833389405081</v>
      </c>
      <c r="S27" s="253">
        <f>(1+SQRT(($B27-1))*9/100)*(SQRT(S$2)/SQRT(8))*VLOOKUP($D$34, Parser!$N$5:'Parser'!$O$24, 2, FALSE)</f>
        <v>6.4840866916543742</v>
      </c>
      <c r="T27" s="242"/>
    </row>
    <row r="28" spans="2:20">
      <c r="B28" s="232">
        <v>26</v>
      </c>
      <c r="C28" s="234"/>
      <c r="D28" s="252">
        <f>(1+SQRT(($B28-1))*9/100)*(SQRT(D$2)/SQRT(8))*VLOOKUP($D$34, Parser!$N$5:'Parser'!$O$24, 2, FALSE)</f>
        <v>26.099999999999998</v>
      </c>
      <c r="E28" s="240">
        <f>(1+SQRT(($B28-1))*9/100)*(SQRT(E$2)/SQRT(8))*VLOOKUP($D$34, Parser!$N$5:'Parser'!$O$24, 2, FALSE)</f>
        <v>25.271216334003391</v>
      </c>
      <c r="F28" s="240">
        <f>(1+SQRT(($B28-1))*9/100)*(SQRT(F$2)/SQRT(8))*VLOOKUP($D$34, Parser!$N$5:'Parser'!$O$24, 2, FALSE)</f>
        <v>24.414314448699969</v>
      </c>
      <c r="G28" s="240">
        <f>(1+SQRT(($B28-1))*9/100)*(SQRT(G$2)/SQRT(8))*VLOOKUP($D$34, Parser!$N$5:'Parser'!$O$24, 2, FALSE)</f>
        <v>23.526222072402525</v>
      </c>
      <c r="H28" s="240">
        <f>(1+SQRT(($B28-1))*9/100)*(SQRT(H$2)/SQRT(8))*VLOOKUP($D$34, Parser!$N$5:'Parser'!$O$24, 2, FALSE)</f>
        <v>22.603263038773846</v>
      </c>
      <c r="I28" s="240">
        <f>(1+SQRT(($B28-1))*9/100)*(SQRT(I$2)/SQRT(8))*VLOOKUP($D$34, Parser!$N$5:'Parser'!$O$24, 2, FALSE)</f>
        <v>21.640976757068984</v>
      </c>
      <c r="J28" s="240">
        <f>(1+SQRT(($B28-1))*9/100)*(SQRT(J$2)/SQRT(8))*VLOOKUP($D$34, Parser!$N$5:'Parser'!$O$24, 2, FALSE)</f>
        <v>20.633861732598675</v>
      </c>
      <c r="K28" s="240">
        <f>(1+SQRT(($B28-1))*9/100)*(SQRT(K$2)/SQRT(8))*VLOOKUP($D$34, Parser!$N$5:'Parser'!$O$24, 2, FALSE)</f>
        <v>19.574999999999999</v>
      </c>
      <c r="L28" s="240">
        <f>(1+SQRT(($B28-1))*9/100)*(SQRT(L$2)/SQRT(8))*VLOOKUP($D$34, Parser!$N$5:'Parser'!$O$24, 2, FALSE)</f>
        <v>18.45548698896889</v>
      </c>
      <c r="M28" s="240">
        <f>(1+SQRT(($B28-1))*9/100)*(SQRT(M$2)/SQRT(8))*VLOOKUP($D$34, Parser!$N$5:'Parser'!$O$24, 2, FALSE)</f>
        <v>17.263527304696453</v>
      </c>
      <c r="N28" s="240">
        <f>(1+SQRT(($B28-1))*9/100)*(SQRT(N$2)/SQRT(8))*VLOOKUP($D$34, Parser!$N$5:'Parser'!$O$24, 2, FALSE)</f>
        <v>15.982920571660234</v>
      </c>
      <c r="O28" s="240">
        <f>(1+SQRT(($B28-1))*9/100)*(SQRT(O$2)/SQRT(8))*VLOOKUP($D$34, Parser!$N$5:'Parser'!$O$24, 2, FALSE)</f>
        <v>14.590343553186129</v>
      </c>
      <c r="P28" s="240">
        <f>(1+SQRT(($B28-1))*9/100)*(SQRT(P$2)/SQRT(8))*VLOOKUP($D$34, Parser!$N$5:'Parser'!$O$24, 2, FALSE)</f>
        <v>13.049999999999999</v>
      </c>
      <c r="Q28" s="240">
        <f>(1+SQRT(($B28-1))*9/100)*(SQRT(Q$2)/SQRT(8))*VLOOKUP($D$34, Parser!$N$5:'Parser'!$O$24, 2, FALSE)</f>
        <v>11.301631519386923</v>
      </c>
      <c r="R28" s="240">
        <f>(1+SQRT(($B28-1))*9/100)*(SQRT(R$2)/SQRT(8))*VLOOKUP($D$34, Parser!$N$5:'Parser'!$O$24, 2, FALSE)</f>
        <v>9.2277434944844448</v>
      </c>
      <c r="S28" s="253">
        <f>(1+SQRT(($B28-1))*9/100)*(SQRT(S$2)/SQRT(8))*VLOOKUP($D$34, Parser!$N$5:'Parser'!$O$24, 2, FALSE)</f>
        <v>6.5249999999999995</v>
      </c>
      <c r="T28" s="242"/>
    </row>
    <row r="29" spans="2:20">
      <c r="B29" s="232">
        <v>27</v>
      </c>
      <c r="C29" s="234"/>
      <c r="D29" s="252">
        <f>(1+SQRT(($B29-1))*9/100)*(SQRT(D$2)/SQRT(8))*VLOOKUP($D$34, Parser!$N$5:'Parser'!$O$24, 2, FALSE)</f>
        <v>26.260411612020313</v>
      </c>
      <c r="E29" s="240">
        <f>(1+SQRT(($B29-1))*9/100)*(SQRT(E$2)/SQRT(8))*VLOOKUP($D$34, Parser!$N$5:'Parser'!$O$24, 2, FALSE)</f>
        <v>25.426534209476632</v>
      </c>
      <c r="F29" s="240">
        <f>(1+SQRT(($B29-1))*9/100)*(SQRT(F$2)/SQRT(8))*VLOOKUP($D$34, Parser!$N$5:'Parser'!$O$24, 2, FALSE)</f>
        <v>24.564365771959999</v>
      </c>
      <c r="G29" s="240">
        <f>(1+SQRT(($B29-1))*9/100)*(SQRT(G$2)/SQRT(8))*VLOOKUP($D$34, Parser!$N$5:'Parser'!$O$24, 2, FALSE)</f>
        <v>23.670815145482294</v>
      </c>
      <c r="H29" s="240">
        <f>(1+SQRT(($B29-1))*9/100)*(SQRT(H$2)/SQRT(8))*VLOOKUP($D$34, Parser!$N$5:'Parser'!$O$24, 2, FALSE)</f>
        <v>22.742183569845448</v>
      </c>
      <c r="I29" s="240">
        <f>(1+SQRT(($B29-1))*9/100)*(SQRT(I$2)/SQRT(8))*VLOOKUP($D$34, Parser!$N$5:'Parser'!$O$24, 2, FALSE)</f>
        <v>21.773983039340841</v>
      </c>
      <c r="J29" s="240">
        <f>(1+SQRT(($B29-1))*9/100)*(SQRT(J$2)/SQRT(8))*VLOOKUP($D$34, Parser!$N$5:'Parser'!$O$24, 2, FALSE)</f>
        <v>20.760678246879532</v>
      </c>
      <c r="K29" s="240">
        <f>(1+SQRT(($B29-1))*9/100)*(SQRT(K$2)/SQRT(8))*VLOOKUP($D$34, Parser!$N$5:'Parser'!$O$24, 2, FALSE)</f>
        <v>19.695308709015233</v>
      </c>
      <c r="L29" s="240">
        <f>(1+SQRT(($B29-1))*9/100)*(SQRT(L$2)/SQRT(8))*VLOOKUP($D$34, Parser!$N$5:'Parser'!$O$24, 2, FALSE)</f>
        <v>18.568915127609515</v>
      </c>
      <c r="M29" s="240">
        <f>(1+SQRT(($B29-1))*9/100)*(SQRT(M$2)/SQRT(8))*VLOOKUP($D$34, Parser!$N$5:'Parser'!$O$24, 2, FALSE)</f>
        <v>17.369629612899633</v>
      </c>
      <c r="N29" s="240">
        <f>(1+SQRT(($B29-1))*9/100)*(SQRT(N$2)/SQRT(8))*VLOOKUP($D$34, Parser!$N$5:'Parser'!$O$24, 2, FALSE)</f>
        <v>16.081152221227004</v>
      </c>
      <c r="O29" s="240">
        <f>(1+SQRT(($B29-1))*9/100)*(SQRT(O$2)/SQRT(8))*VLOOKUP($D$34, Parser!$N$5:'Parser'!$O$24, 2, FALSE)</f>
        <v>14.680016370400564</v>
      </c>
      <c r="P29" s="240">
        <f>(1+SQRT(($B29-1))*9/100)*(SQRT(P$2)/SQRT(8))*VLOOKUP($D$34, Parser!$N$5:'Parser'!$O$24, 2, FALSE)</f>
        <v>13.130205806010157</v>
      </c>
      <c r="Q29" s="240">
        <f>(1+SQRT(($B29-1))*9/100)*(SQRT(Q$2)/SQRT(8))*VLOOKUP($D$34, Parser!$N$5:'Parser'!$O$24, 2, FALSE)</f>
        <v>11.371091784922724</v>
      </c>
      <c r="R29" s="240">
        <f>(1+SQRT(($B29-1))*9/100)*(SQRT(R$2)/SQRT(8))*VLOOKUP($D$34, Parser!$N$5:'Parser'!$O$24, 2, FALSE)</f>
        <v>9.2844575638047573</v>
      </c>
      <c r="S29" s="253">
        <f>(1+SQRT(($B29-1))*9/100)*(SQRT(S$2)/SQRT(8))*VLOOKUP($D$34, Parser!$N$5:'Parser'!$O$24, 2, FALSE)</f>
        <v>6.5651029030050783</v>
      </c>
      <c r="T29" s="242"/>
    </row>
    <row r="30" spans="2:20">
      <c r="B30" s="232">
        <v>28</v>
      </c>
      <c r="C30" s="234"/>
      <c r="D30" s="252">
        <f>(1+SQRT(($B30-1))*9/100)*(SQRT(D$2)/SQRT(8))*VLOOKUP($D$34, Parser!$N$5:'Parser'!$O$24, 2, FALSE)</f>
        <v>26.417766924784743</v>
      </c>
      <c r="E30" s="240">
        <f>(1+SQRT(($B30-1))*9/100)*(SQRT(E$2)/SQRT(8))*VLOOKUP($D$34, Parser!$N$5:'Parser'!$O$24, 2, FALSE)</f>
        <v>25.578892835920108</v>
      </c>
      <c r="F30" s="240">
        <f>(1+SQRT(($B30-1))*9/100)*(SQRT(F$2)/SQRT(8))*VLOOKUP($D$34, Parser!$N$5:'Parser'!$O$24, 2, FALSE)</f>
        <v>24.711558189048286</v>
      </c>
      <c r="G30" s="240">
        <f>(1+SQRT(($B30-1))*9/100)*(SQRT(G$2)/SQRT(8))*VLOOKUP($D$34, Parser!$N$5:'Parser'!$O$24, 2, FALSE)</f>
        <v>23.812653307642002</v>
      </c>
      <c r="H30" s="240">
        <f>(1+SQRT(($B30-1))*9/100)*(SQRT(H$2)/SQRT(8))*VLOOKUP($D$34, Parser!$N$5:'Parser'!$O$24, 2, FALSE)</f>
        <v>22.878457268119892</v>
      </c>
      <c r="I30" s="240">
        <f>(1+SQRT(($B30-1))*9/100)*(SQRT(I$2)/SQRT(8))*VLOOKUP($D$34, Parser!$N$5:'Parser'!$O$24, 2, FALSE)</f>
        <v>21.904455172143006</v>
      </c>
      <c r="J30" s="240">
        <f>(1+SQRT(($B30-1))*9/100)*(SQRT(J$2)/SQRT(8))*VLOOKUP($D$34, Parser!$N$5:'Parser'!$O$24, 2, FALSE)</f>
        <v>20.885078544445474</v>
      </c>
      <c r="K30" s="240">
        <f>(1+SQRT(($B30-1))*9/100)*(SQRT(K$2)/SQRT(8))*VLOOKUP($D$34, Parser!$N$5:'Parser'!$O$24, 2, FALSE)</f>
        <v>19.813325193588557</v>
      </c>
      <c r="L30" s="240">
        <f>(1+SQRT(($B30-1))*9/100)*(SQRT(L$2)/SQRT(8))*VLOOKUP($D$34, Parser!$N$5:'Parser'!$O$24, 2, FALSE)</f>
        <v>18.680182136320976</v>
      </c>
      <c r="M30" s="240">
        <f>(1+SQRT(($B30-1))*9/100)*(SQRT(M$2)/SQRT(8))*VLOOKUP($D$34, Parser!$N$5:'Parser'!$O$24, 2, FALSE)</f>
        <v>17.473710369162003</v>
      </c>
      <c r="N30" s="240">
        <f>(1+SQRT(($B30-1))*9/100)*(SQRT(N$2)/SQRT(8))*VLOOKUP($D$34, Parser!$N$5:'Parser'!$O$24, 2, FALSE)</f>
        <v>16.177512277374234</v>
      </c>
      <c r="O30" s="240">
        <f>(1+SQRT(($B30-1))*9/100)*(SQRT(O$2)/SQRT(8))*VLOOKUP($D$34, Parser!$N$5:'Parser'!$O$24, 2, FALSE)</f>
        <v>14.767980664391066</v>
      </c>
      <c r="P30" s="240">
        <f>(1+SQRT(($B30-1))*9/100)*(SQRT(P$2)/SQRT(8))*VLOOKUP($D$34, Parser!$N$5:'Parser'!$O$24, 2, FALSE)</f>
        <v>13.208883462392372</v>
      </c>
      <c r="Q30" s="240">
        <f>(1+SQRT(($B30-1))*9/100)*(SQRT(Q$2)/SQRT(8))*VLOOKUP($D$34, Parser!$N$5:'Parser'!$O$24, 2, FALSE)</f>
        <v>11.439228634059946</v>
      </c>
      <c r="R30" s="240">
        <f>(1+SQRT(($B30-1))*9/100)*(SQRT(R$2)/SQRT(8))*VLOOKUP($D$34, Parser!$N$5:'Parser'!$O$24, 2, FALSE)</f>
        <v>9.3400910681604881</v>
      </c>
      <c r="S30" s="253">
        <f>(1+SQRT(($B30-1))*9/100)*(SQRT(S$2)/SQRT(8))*VLOOKUP($D$34, Parser!$N$5:'Parser'!$O$24, 2, FALSE)</f>
        <v>6.6044417311961858</v>
      </c>
      <c r="T30" s="242"/>
    </row>
    <row r="31" spans="2:20">
      <c r="B31" s="232">
        <v>29</v>
      </c>
      <c r="C31" s="234"/>
      <c r="D31" s="252">
        <f>(1+SQRT(($B31-1))*9/100)*(SQRT(D$2)/SQRT(8))*VLOOKUP($D$34, Parser!$N$5:'Parser'!$O$24, 2, FALSE)</f>
        <v>26.572234247849273</v>
      </c>
      <c r="E31" s="240">
        <f>(1+SQRT(($B31-1))*9/100)*(SQRT(E$2)/SQRT(8))*VLOOKUP($D$34, Parser!$N$5:'Parser'!$O$24, 2, FALSE)</f>
        <v>25.728455178360647</v>
      </c>
      <c r="F31" s="240">
        <f>(1+SQRT(($B31-1))*9/100)*(SQRT(F$2)/SQRT(8))*VLOOKUP($D$34, Parser!$N$5:'Parser'!$O$24, 2, FALSE)</f>
        <v>24.856049139138182</v>
      </c>
      <c r="G31" s="240">
        <f>(1+SQRT(($B31-1))*9/100)*(SQRT(G$2)/SQRT(8))*VLOOKUP($D$34, Parser!$N$5:'Parser'!$O$24, 2, FALSE)</f>
        <v>23.951888271065204</v>
      </c>
      <c r="H31" s="240">
        <f>(1+SQRT(($B31-1))*9/100)*(SQRT(H$2)/SQRT(8))*VLOOKUP($D$34, Parser!$N$5:'Parser'!$O$24, 2, FALSE)</f>
        <v>23.012229893948351</v>
      </c>
      <c r="I31" s="240">
        <f>(1+SQRT(($B31-1))*9/100)*(SQRT(I$2)/SQRT(8))*VLOOKUP($D$34, Parser!$N$5:'Parser'!$O$24, 2, FALSE)</f>
        <v>22.032532710386917</v>
      </c>
      <c r="J31" s="240">
        <f>(1+SQRT(($B31-1))*9/100)*(SQRT(J$2)/SQRT(8))*VLOOKUP($D$34, Parser!$N$5:'Parser'!$O$24, 2, FALSE)</f>
        <v>21.007195685683715</v>
      </c>
      <c r="K31" s="240">
        <f>(1+SQRT(($B31-1))*9/100)*(SQRT(K$2)/SQRT(8))*VLOOKUP($D$34, Parser!$N$5:'Parser'!$O$24, 2, FALSE)</f>
        <v>19.92917568588695</v>
      </c>
      <c r="L31" s="240">
        <f>(1+SQRT(($B31-1))*9/100)*(SQRT(L$2)/SQRT(8))*VLOOKUP($D$34, Parser!$N$5:'Parser'!$O$24, 2, FALSE)</f>
        <v>18.789407027931638</v>
      </c>
      <c r="M31" s="240">
        <f>(1+SQRT(($B31-1))*9/100)*(SQRT(M$2)/SQRT(8))*VLOOKUP($D$34, Parser!$N$5:'Parser'!$O$24, 2, FALSE)</f>
        <v>17.575880899790654</v>
      </c>
      <c r="N31" s="240">
        <f>(1+SQRT(($B31-1))*9/100)*(SQRT(N$2)/SQRT(8))*VLOOKUP($D$34, Parser!$N$5:'Parser'!$O$24, 2, FALSE)</f>
        <v>16.272103808234665</v>
      </c>
      <c r="O31" s="240">
        <f>(1+SQRT(($B31-1))*9/100)*(SQRT(O$2)/SQRT(8))*VLOOKUP($D$34, Parser!$N$5:'Parser'!$O$24, 2, FALSE)</f>
        <v>14.854330523059744</v>
      </c>
      <c r="P31" s="240">
        <f>(1+SQRT(($B31-1))*9/100)*(SQRT(P$2)/SQRT(8))*VLOOKUP($D$34, Parser!$N$5:'Parser'!$O$24, 2, FALSE)</f>
        <v>13.286117123924637</v>
      </c>
      <c r="Q31" s="240">
        <f>(1+SQRT(($B31-1))*9/100)*(SQRT(Q$2)/SQRT(8))*VLOOKUP($D$34, Parser!$N$5:'Parser'!$O$24, 2, FALSE)</f>
        <v>11.506114946974176</v>
      </c>
      <c r="R31" s="240">
        <f>(1+SQRT(($B31-1))*9/100)*(SQRT(R$2)/SQRT(8))*VLOOKUP($D$34, Parser!$N$5:'Parser'!$O$24, 2, FALSE)</f>
        <v>9.394703513965819</v>
      </c>
      <c r="S31" s="253">
        <f>(1+SQRT(($B31-1))*9/100)*(SQRT(S$2)/SQRT(8))*VLOOKUP($D$34, Parser!$N$5:'Parser'!$O$24, 2, FALSE)</f>
        <v>6.6430585619623184</v>
      </c>
      <c r="T31" s="242"/>
    </row>
    <row r="32" spans="2:20" ht="13.8" thickBot="1">
      <c r="B32" s="232">
        <v>30</v>
      </c>
      <c r="C32" s="234"/>
      <c r="D32" s="254">
        <f>(1+SQRT(($B32-1))*9/100)*(SQRT(D$2)/SQRT(8))*VLOOKUP($D$34, Parser!$N$5:'Parser'!$O$24, 2, FALSE)</f>
        <v>26.723966987557894</v>
      </c>
      <c r="E32" s="255">
        <f>(1+SQRT(($B32-1))*9/100)*(SQRT(E$2)/SQRT(8))*VLOOKUP($D$34, Parser!$N$5:'Parser'!$O$24, 2, FALSE)</f>
        <v>25.875369771852125</v>
      </c>
      <c r="F32" s="255">
        <f>(1+SQRT(($B32-1))*9/100)*(SQRT(F$2)/SQRT(8))*VLOOKUP($D$34, Parser!$N$5:'Parser'!$O$24, 2, FALSE)</f>
        <v>24.997982120724739</v>
      </c>
      <c r="G32" s="255">
        <f>(1+SQRT(($B32-1))*9/100)*(SQRT(G$2)/SQRT(8))*VLOOKUP($D$34, Parser!$N$5:'Parser'!$O$24, 2, FALSE)</f>
        <v>24.088658314361723</v>
      </c>
      <c r="H32" s="255">
        <f>(1+SQRT(($B32-1))*9/100)*(SQRT(H$2)/SQRT(8))*VLOOKUP($D$34, Parser!$N$5:'Parser'!$O$24, 2, FALSE)</f>
        <v>23.143634301121832</v>
      </c>
      <c r="I32" s="255">
        <f>(1+SQRT(($B32-1))*9/100)*(SQRT(I$2)/SQRT(8))*VLOOKUP($D$34, Parser!$N$5:'Parser'!$O$24, 2, FALSE)</f>
        <v>22.158342851893458</v>
      </c>
      <c r="J32" s="255">
        <f>(1+SQRT(($B32-1))*9/100)*(SQRT(J$2)/SQRT(8))*VLOOKUP($D$34, Parser!$N$5:'Parser'!$O$24, 2, FALSE)</f>
        <v>21.127150948957894</v>
      </c>
      <c r="K32" s="255">
        <f>(1+SQRT(($B32-1))*9/100)*(SQRT(K$2)/SQRT(8))*VLOOKUP($D$34, Parser!$N$5:'Parser'!$O$24, 2, FALSE)</f>
        <v>20.042975240668419</v>
      </c>
      <c r="L32" s="255">
        <f>(1+SQRT(($B32-1))*9/100)*(SQRT(L$2)/SQRT(8))*VLOOKUP($D$34, Parser!$N$5:'Parser'!$O$24, 2, FALSE)</f>
        <v>18.896698277107618</v>
      </c>
      <c r="M32" s="255">
        <f>(1+SQRT(($B32-1))*9/100)*(SQRT(M$2)/SQRT(8))*VLOOKUP($D$34, Parser!$N$5:'Parser'!$O$24, 2, FALSE)</f>
        <v>17.676242673544532</v>
      </c>
      <c r="N32" s="255">
        <f>(1+SQRT(($B32-1))*9/100)*(SQRT(N$2)/SQRT(8))*VLOOKUP($D$34, Parser!$N$5:'Parser'!$O$24, 2, FALSE)</f>
        <v>16.36502075562483</v>
      </c>
      <c r="O32" s="255">
        <f>(1+SQRT(($B32-1))*9/100)*(SQRT(O$2)/SQRT(8))*VLOOKUP($D$34, Parser!$N$5:'Parser'!$O$24, 2, FALSE)</f>
        <v>14.939151703159933</v>
      </c>
      <c r="P32" s="255">
        <f>(1+SQRT(($B32-1))*9/100)*(SQRT(P$2)/SQRT(8))*VLOOKUP($D$34, Parser!$N$5:'Parser'!$O$24, 2, FALSE)</f>
        <v>13.361983493778947</v>
      </c>
      <c r="Q32" s="255">
        <f>(1+SQRT(($B32-1))*9/100)*(SQRT(Q$2)/SQRT(8))*VLOOKUP($D$34, Parser!$N$5:'Parser'!$O$24, 2, FALSE)</f>
        <v>11.571817150560916</v>
      </c>
      <c r="R32" s="255">
        <f>(1+SQRT(($B32-1))*9/100)*(SQRT(R$2)/SQRT(8))*VLOOKUP($D$34, Parser!$N$5:'Parser'!$O$24, 2, FALSE)</f>
        <v>9.4483491385538088</v>
      </c>
      <c r="S32" s="256">
        <f>(1+SQRT(($B32-1))*9/100)*(SQRT(S$2)/SQRT(8))*VLOOKUP($D$34, Parser!$N$5:'Parser'!$O$24, 2, FALSE)</f>
        <v>6.6809917468894735</v>
      </c>
      <c r="T32" s="242"/>
    </row>
    <row r="33" spans="2:20">
      <c r="B33" s="243"/>
      <c r="T33" s="242"/>
    </row>
    <row r="34" spans="2:20">
      <c r="B34" s="244" t="s">
        <v>594</v>
      </c>
      <c r="D34" s="238" t="s">
        <v>595</v>
      </c>
      <c r="E34" s="239"/>
      <c r="T34" s="242"/>
    </row>
    <row r="35" spans="2:20" ht="13.8" thickBot="1">
      <c r="B35" s="245"/>
      <c r="C35" s="246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8"/>
    </row>
  </sheetData>
  <conditionalFormatting sqref="D3:S3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U25"/>
  <sheetViews>
    <sheetView zoomScale="85" zoomScaleNormal="85" workbookViewId="0">
      <selection activeCell="D30" sqref="D3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16384" width="8.88671875" style="236"/>
  </cols>
  <sheetData>
    <row r="1" spans="2:21" ht="13.8" thickBot="1">
      <c r="B1" s="237"/>
    </row>
    <row r="2" spans="2:21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</row>
    <row r="3" spans="2:21">
      <c r="B3" s="232">
        <v>1</v>
      </c>
      <c r="C3" s="234"/>
      <c r="D3" s="249">
        <f>(1+SQRT(($B3-1))*9/100)*(POWER((D$2+6.5)/14,0.6)/POWER((15/14),0.6))*VLOOKUP($D$24, Parser!$N$5:'Parser'!$O$24, 2, FALSE)</f>
        <v>18</v>
      </c>
      <c r="E3" s="249">
        <f>(1+SQRT(($B3-1))*9/100)*(POWER((E$2+6.5)/14,0.6)/POWER((15/14),0.6))*VLOOKUP($D$24, Parser!$N$5:'Parser'!$O$24, 2, FALSE)</f>
        <v>17.637561902650916</v>
      </c>
      <c r="F3" s="249">
        <f>(1+SQRT(($B3-1))*9/100)*(POWER((F$2+6.5)/14,0.6)/POWER((15/14),0.6))*VLOOKUP($D$24, Parser!$N$5:'Parser'!$O$24, 2, FALSE)</f>
        <v>17.270088817168556</v>
      </c>
      <c r="G3" s="249">
        <f>(1+SQRT(($B3-1))*9/100)*(POWER((G$2+6.5)/14,0.6)/POWER((15/14),0.6))*VLOOKUP($D$24, Parser!$N$5:'Parser'!$O$24, 2, FALSE)</f>
        <v>16.897327080472252</v>
      </c>
      <c r="H3" s="249">
        <f>(1+SQRT(($B3-1))*9/100)*(POWER((H$2+6.5)/14,0.6)/POWER((15/14),0.6))*VLOOKUP($D$24, Parser!$N$5:'Parser'!$O$24, 2, FALSE)</f>
        <v>16.519000299634133</v>
      </c>
      <c r="I3" s="249">
        <f>(1+SQRT(($B3-1))*9/100)*(POWER((I$2+6.5)/14,0.6)/POWER((15/14),0.6))*VLOOKUP($D$24, Parser!$N$5:'Parser'!$O$24, 2, FALSE)</f>
        <v>16.134806353988555</v>
      </c>
      <c r="J3" s="249">
        <f>(1+SQRT(($B3-1))*9/100)*(POWER((J$2+6.5)/14,0.6)/POWER((15/14),0.6))*VLOOKUP($D$24, Parser!$N$5:'Parser'!$O$24, 2, FALSE)</f>
        <v>15.744413864783203</v>
      </c>
      <c r="K3" s="249">
        <f>(1+SQRT(($B3-1))*9/100)*(POWER((K$2+6.5)/14,0.6)/POWER((15/14),0.6))*VLOOKUP($D$24, Parser!$N$5:'Parser'!$O$24, 2, FALSE)</f>
        <v>15.347458011397697</v>
      </c>
      <c r="L3" s="249">
        <f>(1+SQRT(($B3-1))*9/100)*(POWER((L$2+6.5)/14,0.6)/POWER((15/14),0.6))*VLOOKUP($D$24, Parser!$N$5:'Parser'!$O$24, 2, FALSE)</f>
        <v>14.943535539140573</v>
      </c>
      <c r="M3" s="249">
        <f>(1+SQRT(($B3-1))*9/100)*(POWER((M$2+6.5)/14,0.6)/POWER((15/14),0.6))*VLOOKUP($D$24, Parser!$N$5:'Parser'!$O$24, 2, FALSE)</f>
        <v>14.532198758051349</v>
      </c>
      <c r="N3" s="249">
        <f>(1+SQRT(($B3-1))*9/100)*(POWER((N$2+6.5)/14,0.6)/POWER((15/14),0.6))*VLOOKUP($D$24, Parser!$N$5:'Parser'!$O$24, 2, FALSE)</f>
        <v>14.112948270296085</v>
      </c>
      <c r="O3" s="249">
        <f>(1+SQRT(($B3-1))*9/100)*(POWER((O$2+6.5)/14,0.6)/POWER((15/14),0.6))*VLOOKUP($D$24, Parser!$N$5:'Parser'!$O$24, 2, FALSE)</f>
        <v>13.685224078739404</v>
      </c>
      <c r="P3" s="249">
        <f>(1+SQRT(($B3-1))*9/100)*(POWER((P$2+6.5)/14,0.6)/POWER((15/14),0.6))*VLOOKUP($D$24, Parser!$N$5:'Parser'!$O$24, 2, FALSE)</f>
        <v>13.248394610721002</v>
      </c>
      <c r="Q3" s="249">
        <f>(1+SQRT(($B3-1))*9/100)*(POWER((Q$2+6.5)/14,0.6)/POWER((15/14),0.6))*VLOOKUP($D$24, Parser!$N$5:'Parser'!$O$24, 2, FALSE)</f>
        <v>12.801743023076137</v>
      </c>
      <c r="R3" s="249">
        <f>(1+SQRT(($B3-1))*9/100)*(POWER((R$2+6.5)/14,0.6)/POWER((15/14),0.6))*VLOOKUP($D$24, Parser!$N$5:'Parser'!$O$24, 2, FALSE)</f>
        <v>12.344449912212099</v>
      </c>
      <c r="S3" s="249">
        <f>(1+SQRT(($B3-1))*9/100)*(POWER((S$2+6.5)/14,0.6)/POWER((15/14),0.6))*VLOOKUP($D$24, Parser!$N$5:'Parser'!$O$24, 2, FALSE)</f>
        <v>11.875571196956049</v>
      </c>
      <c r="T3" s="257">
        <f>(1+SQRT(($B3-1))*9/100)*(POWER((T$2+6.5)/14,0.6)/POWER((15/14),0.6))*VLOOKUP($D$24, Parser!$N$5:'Parser'!$O$24, 2, FALSE)</f>
        <v>11.394009407002203</v>
      </c>
      <c r="U3" s="242"/>
    </row>
    <row r="4" spans="2:21">
      <c r="B4" s="232">
        <v>2</v>
      </c>
      <c r="C4" s="234"/>
      <c r="D4" s="252">
        <f>(1+SQRT(($B4-1))*9/100)*(POWER((D$2+6.5)/14,0.6)/POWER((15/14),0.6))*VLOOKUP($D$24, Parser!$N$5:'Parser'!$O$24, 2, FALSE)</f>
        <v>19.62</v>
      </c>
      <c r="E4" s="252">
        <f>(1+SQRT(($B4-1))*9/100)*(POWER((E$2+6.5)/14,0.6)/POWER((15/14),0.6))*VLOOKUP($D$24, Parser!$N$5:'Parser'!$O$24, 2, FALSE)</f>
        <v>19.224942473889499</v>
      </c>
      <c r="F4" s="252">
        <f>(1+SQRT(($B4-1))*9/100)*(POWER((F$2+6.5)/14,0.6)/POWER((15/14),0.6))*VLOOKUP($D$24, Parser!$N$5:'Parser'!$O$24, 2, FALSE)</f>
        <v>18.824396810713729</v>
      </c>
      <c r="G4" s="252">
        <f>(1+SQRT(($B4-1))*9/100)*(POWER((G$2+6.5)/14,0.6)/POWER((15/14),0.6))*VLOOKUP($D$24, Parser!$N$5:'Parser'!$O$24, 2, FALSE)</f>
        <v>18.418086517714752</v>
      </c>
      <c r="H4" s="252">
        <f>(1+SQRT(($B4-1))*9/100)*(POWER((H$2+6.5)/14,0.6)/POWER((15/14),0.6))*VLOOKUP($D$24, Parser!$N$5:'Parser'!$O$24, 2, FALSE)</f>
        <v>18.005710326601207</v>
      </c>
      <c r="I4" s="252">
        <f>(1+SQRT(($B4-1))*9/100)*(POWER((I$2+6.5)/14,0.6)/POWER((15/14),0.6))*VLOOKUP($D$24, Parser!$N$5:'Parser'!$O$24, 2, FALSE)</f>
        <v>17.586938925847527</v>
      </c>
      <c r="J4" s="252">
        <f>(1+SQRT(($B4-1))*9/100)*(POWER((J$2+6.5)/14,0.6)/POWER((15/14),0.6))*VLOOKUP($D$24, Parser!$N$5:'Parser'!$O$24, 2, FALSE)</f>
        <v>17.161411112613692</v>
      </c>
      <c r="K4" s="252">
        <f>(1+SQRT(($B4-1))*9/100)*(POWER((K$2+6.5)/14,0.6)/POWER((15/14),0.6))*VLOOKUP($D$24, Parser!$N$5:'Parser'!$O$24, 2, FALSE)</f>
        <v>16.72872923242349</v>
      </c>
      <c r="L4" s="252">
        <f>(1+SQRT(($B4-1))*9/100)*(POWER((L$2+6.5)/14,0.6)/POWER((15/14),0.6))*VLOOKUP($D$24, Parser!$N$5:'Parser'!$O$24, 2, FALSE)</f>
        <v>16.288453737663225</v>
      </c>
      <c r="M4" s="252">
        <f>(1+SQRT(($B4-1))*9/100)*(POWER((M$2+6.5)/14,0.6)/POWER((15/14),0.6))*VLOOKUP($D$24, Parser!$N$5:'Parser'!$O$24, 2, FALSE)</f>
        <v>15.840096646275972</v>
      </c>
      <c r="N4" s="252">
        <f>(1+SQRT(($B4-1))*9/100)*(POWER((N$2+6.5)/14,0.6)/POWER((15/14),0.6))*VLOOKUP($D$24, Parser!$N$5:'Parser'!$O$24, 2, FALSE)</f>
        <v>15.383113614622733</v>
      </c>
      <c r="O4" s="252">
        <f>(1+SQRT(($B4-1))*9/100)*(POWER((O$2+6.5)/14,0.6)/POWER((15/14),0.6))*VLOOKUP($D$24, Parser!$N$5:'Parser'!$O$24, 2, FALSE)</f>
        <v>14.916894245825953</v>
      </c>
      <c r="P4" s="252">
        <f>(1+SQRT(($B4-1))*9/100)*(POWER((P$2+6.5)/14,0.6)/POWER((15/14),0.6))*VLOOKUP($D$24, Parser!$N$5:'Parser'!$O$24, 2, FALSE)</f>
        <v>14.440750125685891</v>
      </c>
      <c r="Q4" s="252">
        <f>(1+SQRT(($B4-1))*9/100)*(POWER((Q$2+6.5)/14,0.6)/POWER((15/14),0.6))*VLOOKUP($D$24, Parser!$N$5:'Parser'!$O$24, 2, FALSE)</f>
        <v>13.953899895152992</v>
      </c>
      <c r="R4" s="252">
        <f>(1+SQRT(($B4-1))*9/100)*(POWER((R$2+6.5)/14,0.6)/POWER((15/14),0.6))*VLOOKUP($D$24, Parser!$N$5:'Parser'!$O$24, 2, FALSE)</f>
        <v>13.455450404311188</v>
      </c>
      <c r="S4" s="252">
        <f>(1+SQRT(($B4-1))*9/100)*(POWER((S$2+6.5)/14,0.6)/POWER((15/14),0.6))*VLOOKUP($D$24, Parser!$N$5:'Parser'!$O$24, 2, FALSE)</f>
        <v>12.944372604682092</v>
      </c>
      <c r="T4" s="258">
        <f>(1+SQRT(($B4-1))*9/100)*(POWER((T$2+6.5)/14,0.6)/POWER((15/14),0.6))*VLOOKUP($D$24, Parser!$N$5:'Parser'!$O$24, 2, FALSE)</f>
        <v>12.419470253632403</v>
      </c>
      <c r="U4" s="242"/>
    </row>
    <row r="5" spans="2:21">
      <c r="B5" s="232">
        <v>3</v>
      </c>
      <c r="C5" s="234"/>
      <c r="D5" s="252">
        <f>(1+SQRT(($B5-1))*9/100)*(POWER((D$2+6.5)/14,0.6)/POWER((15/14),0.6))*VLOOKUP($D$24, Parser!$N$5:'Parser'!$O$24, 2, FALSE)</f>
        <v>20.291025971044416</v>
      </c>
      <c r="E5" s="252">
        <f>(1+SQRT(($B5-1))*9/100)*(POWER((E$2+6.5)/14,0.6)/POWER((15/14),0.6))*VLOOKUP($D$24, Parser!$N$5:'Parser'!$O$24, 2, FALSE)</f>
        <v>19.882457035144075</v>
      </c>
      <c r="F5" s="252">
        <f>(1+SQRT(($B5-1))*9/100)*(POWER((F$2+6.5)/14,0.6)/POWER((15/14),0.6))*VLOOKUP($D$24, Parser!$N$5:'Parser'!$O$24, 2, FALSE)</f>
        <v>19.468212261745052</v>
      </c>
      <c r="G5" s="252">
        <f>(1+SQRT(($B5-1))*9/100)*(POWER((G$2+6.5)/14,0.6)/POWER((15/14),0.6))*VLOOKUP($D$24, Parser!$N$5:'Parser'!$O$24, 2, FALSE)</f>
        <v>19.048005701727476</v>
      </c>
      <c r="H5" s="252">
        <f>(1+SQRT(($B5-1))*9/100)*(POWER((H$2+6.5)/14,0.6)/POWER((15/14),0.6))*VLOOKUP($D$24, Parser!$N$5:'Parser'!$O$24, 2, FALSE)</f>
        <v>18.621525783087041</v>
      </c>
      <c r="I5" s="252">
        <f>(1+SQRT(($B5-1))*9/100)*(POWER((I$2+6.5)/14,0.6)/POWER((15/14),0.6))*VLOOKUP($D$24, Parser!$N$5:'Parser'!$O$24, 2, FALSE)</f>
        <v>18.188431931475236</v>
      </c>
      <c r="J5" s="252">
        <f>(1+SQRT(($B5-1))*9/100)*(POWER((J$2+6.5)/14,0.6)/POWER((15/14),0.6))*VLOOKUP($D$24, Parser!$N$5:'Parser'!$O$24, 2, FALSE)</f>
        <v>17.74835059051043</v>
      </c>
      <c r="K5" s="252">
        <f>(1+SQRT(($B5-1))*9/100)*(POWER((K$2+6.5)/14,0.6)/POWER((15/14),0.6))*VLOOKUP($D$24, Parser!$N$5:'Parser'!$O$24, 2, FALSE)</f>
        <v>17.300870505488017</v>
      </c>
      <c r="L5" s="252">
        <f>(1+SQRT(($B5-1))*9/100)*(POWER((L$2+6.5)/14,0.6)/POWER((15/14),0.6))*VLOOKUP($D$24, Parser!$N$5:'Parser'!$O$24, 2, FALSE)</f>
        <v>16.8455370957737</v>
      </c>
      <c r="M5" s="252">
        <f>(1+SQRT(($B5-1))*9/100)*(POWER((M$2+6.5)/14,0.6)/POWER((15/14),0.6))*VLOOKUP($D$24, Parser!$N$5:'Parser'!$O$24, 2, FALSE)</f>
        <v>16.381845689777741</v>
      </c>
      <c r="N5" s="252">
        <f>(1+SQRT(($B5-1))*9/100)*(POWER((N$2+6.5)/14,0.6)/POWER((15/14),0.6))*VLOOKUP($D$24, Parser!$N$5:'Parser'!$O$24, 2, FALSE)</f>
        <v>15.909233326699123</v>
      </c>
      <c r="O5" s="252">
        <f>(1+SQRT(($B5-1))*9/100)*(POWER((O$2+6.5)/14,0.6)/POWER((15/14),0.6))*VLOOKUP($D$24, Parser!$N$5:'Parser'!$O$24, 2, FALSE)</f>
        <v>15.427068733403537</v>
      </c>
      <c r="P5" s="252">
        <f>(1+SQRT(($B5-1))*9/100)*(POWER((P$2+6.5)/14,0.6)/POWER((15/14),0.6))*VLOOKUP($D$24, Parser!$N$5:'Parser'!$O$24, 2, FALSE)</f>
        <v>14.934639951154706</v>
      </c>
      <c r="Q5" s="252">
        <f>(1+SQRT(($B5-1))*9/100)*(POWER((Q$2+6.5)/14,0.6)/POWER((15/14),0.6))*VLOOKUP($D$24, Parser!$N$5:'Parser'!$O$24, 2, FALSE)</f>
        <v>14.431138897548587</v>
      </c>
      <c r="R5" s="252">
        <f>(1+SQRT(($B5-1))*9/100)*(POWER((R$2+6.5)/14,0.6)/POWER((15/14),0.6))*VLOOKUP($D$24, Parser!$N$5:'Parser'!$O$24, 2, FALSE)</f>
        <v>13.915641875941816</v>
      </c>
      <c r="S5" s="252">
        <f>(1+SQRT(($B5-1))*9/100)*(POWER((S$2+6.5)/14,0.6)/POWER((15/14),0.6))*VLOOKUP($D$24, Parser!$N$5:'Parser'!$O$24, 2, FALSE)</f>
        <v>13.387084643245677</v>
      </c>
      <c r="T5" s="258">
        <f>(1+SQRT(($B5-1))*9/100)*(POWER((T$2+6.5)/14,0.6)/POWER((15/14),0.6))*VLOOKUP($D$24, Parser!$N$5:'Parser'!$O$24, 2, FALSE)</f>
        <v>12.844230043989226</v>
      </c>
      <c r="U5" s="242"/>
    </row>
    <row r="6" spans="2:21">
      <c r="B6" s="232">
        <v>4</v>
      </c>
      <c r="C6" s="234"/>
      <c r="D6" s="252">
        <f>(1+SQRT(($B6-1))*9/100)*(POWER((D$2+6.5)/14,0.6)/POWER((15/14),0.6))*VLOOKUP($D$24, Parser!$N$5:'Parser'!$O$24, 2, FALSE)</f>
        <v>20.805922308261579</v>
      </c>
      <c r="E6" s="252">
        <f>(1+SQRT(($B6-1))*9/100)*(POWER((E$2+6.5)/14,0.6)/POWER((15/14),0.6))*VLOOKUP($D$24, Parser!$N$5:'Parser'!$O$24, 2, FALSE)</f>
        <v>20.386985702983846</v>
      </c>
      <c r="F6" s="252">
        <f>(1+SQRT(($B6-1))*9/100)*(POWER((F$2+6.5)/14,0.6)/POWER((15/14),0.6))*VLOOKUP($D$24, Parser!$N$5:'Parser'!$O$24, 2, FALSE)</f>
        <v>19.962229232599231</v>
      </c>
      <c r="G6" s="252">
        <f>(1+SQRT(($B6-1))*9/100)*(POWER((G$2+6.5)/14,0.6)/POWER((15/14),0.6))*VLOOKUP($D$24, Parser!$N$5:'Parser'!$O$24, 2, FALSE)</f>
        <v>19.531359691866118</v>
      </c>
      <c r="H6" s="252">
        <f>(1+SQRT(($B6-1))*9/100)*(POWER((H$2+6.5)/14,0.6)/POWER((15/14),0.6))*VLOOKUP($D$24, Parser!$N$5:'Parser'!$O$24, 2, FALSE)</f>
        <v>19.094057602463195</v>
      </c>
      <c r="I6" s="252">
        <f>(1+SQRT(($B6-1))*9/100)*(POWER((I$2+6.5)/14,0.6)/POWER((15/14),0.6))*VLOOKUP($D$24, Parser!$N$5:'Parser'!$O$24, 2, FALSE)</f>
        <v>18.649973747773952</v>
      </c>
      <c r="J6" s="252">
        <f>(1+SQRT(($B6-1))*9/100)*(POWER((J$2+6.5)/14,0.6)/POWER((15/14),0.6))*VLOOKUP($D$24, Parser!$N$5:'Parser'!$O$24, 2, FALSE)</f>
        <v>18.198725092210875</v>
      </c>
      <c r="K6" s="252">
        <f>(1+SQRT(($B6-1))*9/100)*(POWER((K$2+6.5)/14,0.6)/POWER((15/14),0.6))*VLOOKUP($D$24, Parser!$N$5:'Parser'!$O$24, 2, FALSE)</f>
        <v>17.739889945247068</v>
      </c>
      <c r="L6" s="252">
        <f>(1+SQRT(($B6-1))*9/100)*(POWER((L$2+6.5)/14,0.6)/POWER((15/14),0.6))*VLOOKUP($D$24, Parser!$N$5:'Parser'!$O$24, 2, FALSE)</f>
        <v>17.273002191005808</v>
      </c>
      <c r="M6" s="252">
        <f>(1+SQRT(($B6-1))*9/100)*(POWER((M$2+6.5)/14,0.6)/POWER((15/14),0.6))*VLOOKUP($D$24, Parser!$N$5:'Parser'!$O$24, 2, FALSE)</f>
        <v>16.797544351568433</v>
      </c>
      <c r="N6" s="252">
        <f>(1+SQRT(($B6-1))*9/100)*(POWER((N$2+6.5)/14,0.6)/POWER((15/14),0.6))*VLOOKUP($D$24, Parser!$N$5:'Parser'!$O$24, 2, FALSE)</f>
        <v>16.312939180683056</v>
      </c>
      <c r="O6" s="252">
        <f>(1+SQRT(($B6-1))*9/100)*(POWER((O$2+6.5)/14,0.6)/POWER((15/14),0.6))*VLOOKUP($D$24, Parser!$N$5:'Parser'!$O$24, 2, FALSE)</f>
        <v>15.81853938630015</v>
      </c>
      <c r="P6" s="252">
        <f>(1+SQRT(($B6-1))*9/100)*(POWER((P$2+6.5)/14,0.6)/POWER((15/14),0.6))*VLOOKUP($D$24, Parser!$N$5:'Parser'!$O$24, 2, FALSE)</f>
        <v>15.313614943325142</v>
      </c>
      <c r="Q6" s="252">
        <f>(1+SQRT(($B6-1))*9/100)*(POWER((Q$2+6.5)/14,0.6)/POWER((15/14),0.6))*VLOOKUP($D$24, Parser!$N$5:'Parser'!$O$24, 2, FALSE)</f>
        <v>14.797337263802879</v>
      </c>
      <c r="R6" s="252">
        <f>(1+SQRT(($B6-1))*9/100)*(POWER((R$2+6.5)/14,0.6)/POWER((15/14),0.6))*VLOOKUP($D$24, Parser!$N$5:'Parser'!$O$24, 2, FALSE)</f>
        <v>14.268759211761743</v>
      </c>
      <c r="S6" s="252">
        <f>(1+SQRT(($B6-1))*9/100)*(POWER((S$2+6.5)/14,0.6)/POWER((15/14),0.6))*VLOOKUP($D$24, Parser!$N$5:'Parser'!$O$24, 2, FALSE)</f>
        <v>13.726789538338693</v>
      </c>
      <c r="T6" s="258">
        <f>(1+SQRT(($B6-1))*9/100)*(POWER((T$2+6.5)/14,0.6)/POWER((15/14),0.6))*VLOOKUP($D$24, Parser!$N$5:'Parser'!$O$24, 2, FALSE)</f>
        <v>13.170159694538302</v>
      </c>
      <c r="U6" s="242"/>
    </row>
    <row r="7" spans="2:21">
      <c r="B7" s="232">
        <v>5</v>
      </c>
      <c r="C7" s="234"/>
      <c r="D7" s="252">
        <f>(1+SQRT(($B7-1))*9/100)*(POWER((D$2+6.5)/14,0.6)/POWER((15/14),0.6))*VLOOKUP($D$24, Parser!$N$5:'Parser'!$O$24, 2, FALSE)</f>
        <v>21.24</v>
      </c>
      <c r="E7" s="252">
        <f>(1+SQRT(($B7-1))*9/100)*(POWER((E$2+6.5)/14,0.6)/POWER((15/14),0.6))*VLOOKUP($D$24, Parser!$N$5:'Parser'!$O$24, 2, FALSE)</f>
        <v>20.812323045128082</v>
      </c>
      <c r="F7" s="252">
        <f>(1+SQRT(($B7-1))*9/100)*(POWER((F$2+6.5)/14,0.6)/POWER((15/14),0.6))*VLOOKUP($D$24, Parser!$N$5:'Parser'!$O$24, 2, FALSE)</f>
        <v>20.378704804258899</v>
      </c>
      <c r="G7" s="252">
        <f>(1+SQRT(($B7-1))*9/100)*(POWER((G$2+6.5)/14,0.6)/POWER((15/14),0.6))*VLOOKUP($D$24, Parser!$N$5:'Parser'!$O$24, 2, FALSE)</f>
        <v>19.938845954957255</v>
      </c>
      <c r="H7" s="252">
        <f>(1+SQRT(($B7-1))*9/100)*(POWER((H$2+6.5)/14,0.6)/POWER((15/14),0.6))*VLOOKUP($D$24, Parser!$N$5:'Parser'!$O$24, 2, FALSE)</f>
        <v>19.492420353568274</v>
      </c>
      <c r="I7" s="252">
        <f>(1+SQRT(($B7-1))*9/100)*(POWER((I$2+6.5)/14,0.6)/POWER((15/14),0.6))*VLOOKUP($D$24, Parser!$N$5:'Parser'!$O$24, 2, FALSE)</f>
        <v>19.039071497706491</v>
      </c>
      <c r="J7" s="252">
        <f>(1+SQRT(($B7-1))*9/100)*(POWER((J$2+6.5)/14,0.6)/POWER((15/14),0.6))*VLOOKUP($D$24, Parser!$N$5:'Parser'!$O$24, 2, FALSE)</f>
        <v>18.578408360444179</v>
      </c>
      <c r="K7" s="252">
        <f>(1+SQRT(($B7-1))*9/100)*(POWER((K$2+6.5)/14,0.6)/POWER((15/14),0.6))*VLOOKUP($D$24, Parser!$N$5:'Parser'!$O$24, 2, FALSE)</f>
        <v>18.110000453449281</v>
      </c>
      <c r="L7" s="252">
        <f>(1+SQRT(($B7-1))*9/100)*(POWER((L$2+6.5)/14,0.6)/POWER((15/14),0.6))*VLOOKUP($D$24, Parser!$N$5:'Parser'!$O$24, 2, FALSE)</f>
        <v>17.633371936185874</v>
      </c>
      <c r="M7" s="252">
        <f>(1+SQRT(($B7-1))*9/100)*(POWER((M$2+6.5)/14,0.6)/POWER((15/14),0.6))*VLOOKUP($D$24, Parser!$N$5:'Parser'!$O$24, 2, FALSE)</f>
        <v>17.14799453450059</v>
      </c>
      <c r="N7" s="252">
        <f>(1+SQRT(($B7-1))*9/100)*(POWER((N$2+6.5)/14,0.6)/POWER((15/14),0.6))*VLOOKUP($D$24, Parser!$N$5:'Parser'!$O$24, 2, FALSE)</f>
        <v>16.653278958949379</v>
      </c>
      <c r="O7" s="252">
        <f>(1+SQRT(($B7-1))*9/100)*(POWER((O$2+6.5)/14,0.6)/POWER((15/14),0.6))*VLOOKUP($D$24, Parser!$N$5:'Parser'!$O$24, 2, FALSE)</f>
        <v>16.148564412912496</v>
      </c>
      <c r="P7" s="252">
        <f>(1+SQRT(($B7-1))*9/100)*(POWER((P$2+6.5)/14,0.6)/POWER((15/14),0.6))*VLOOKUP($D$24, Parser!$N$5:'Parser'!$O$24, 2, FALSE)</f>
        <v>15.633105640650779</v>
      </c>
      <c r="Q7" s="252">
        <f>(1+SQRT(($B7-1))*9/100)*(POWER((Q$2+6.5)/14,0.6)/POWER((15/14),0.6))*VLOOKUP($D$24, Parser!$N$5:'Parser'!$O$24, 2, FALSE)</f>
        <v>15.106056767229841</v>
      </c>
      <c r="R7" s="252">
        <f>(1+SQRT(($B7-1))*9/100)*(POWER((R$2+6.5)/14,0.6)/POWER((15/14),0.6))*VLOOKUP($D$24, Parser!$N$5:'Parser'!$O$24, 2, FALSE)</f>
        <v>14.566450896410275</v>
      </c>
      <c r="S7" s="252">
        <f>(1+SQRT(($B7-1))*9/100)*(POWER((S$2+6.5)/14,0.6)/POWER((15/14),0.6))*VLOOKUP($D$24, Parser!$N$5:'Parser'!$O$24, 2, FALSE)</f>
        <v>14.013174012408136</v>
      </c>
      <c r="T7" s="258">
        <f>(1+SQRT(($B7-1))*9/100)*(POWER((T$2+6.5)/14,0.6)/POWER((15/14),0.6))*VLOOKUP($D$24, Parser!$N$5:'Parser'!$O$24, 2, FALSE)</f>
        <v>13.4449311002626</v>
      </c>
      <c r="U7" s="242"/>
    </row>
    <row r="8" spans="2:21">
      <c r="B8" s="232">
        <v>6</v>
      </c>
      <c r="C8" s="234"/>
      <c r="D8" s="252">
        <f>(1+SQRT(($B8-1))*9/100)*(POWER((D$2+6.5)/14,0.6)/POWER((15/14),0.6))*VLOOKUP($D$24, Parser!$N$5:'Parser'!$O$24, 2, FALSE)</f>
        <v>21.622430123549663</v>
      </c>
      <c r="E8" s="252">
        <f>(1+SQRT(($B8-1))*9/100)*(POWER((E$2+6.5)/14,0.6)/POWER((15/14),0.6))*VLOOKUP($D$24, Parser!$N$5:'Parser'!$O$24, 2, FALSE)</f>
        <v>21.187052766102834</v>
      </c>
      <c r="F8" s="252">
        <f>(1+SQRT(($B8-1))*9/100)*(POWER((F$2+6.5)/14,0.6)/POWER((15/14),0.6))*VLOOKUP($D$24, Parser!$N$5:'Parser'!$O$24, 2, FALSE)</f>
        <v>20.745627148706863</v>
      </c>
      <c r="G8" s="252">
        <f>(1+SQRT(($B8-1))*9/100)*(POWER((G$2+6.5)/14,0.6)/POWER((15/14),0.6))*VLOOKUP($D$24, Parser!$N$5:'Parser'!$O$24, 2, FALSE)</f>
        <v>20.297848559570813</v>
      </c>
      <c r="H8" s="252">
        <f>(1+SQRT(($B8-1))*9/100)*(POWER((H$2+6.5)/14,0.6)/POWER((15/14),0.6))*VLOOKUP($D$24, Parser!$N$5:'Parser'!$O$24, 2, FALSE)</f>
        <v>19.843384982763052</v>
      </c>
      <c r="I8" s="252">
        <f>(1+SQRT(($B8-1))*9/100)*(POWER((I$2+6.5)/14,0.6)/POWER((15/14),0.6))*VLOOKUP($D$24, Parser!$N$5:'Parser'!$O$24, 2, FALSE)</f>
        <v>19.381873497006811</v>
      </c>
      <c r="J8" s="252">
        <f>(1+SQRT(($B8-1))*9/100)*(POWER((J$2+6.5)/14,0.6)/POWER((15/14),0.6))*VLOOKUP($D$24, Parser!$N$5:'Parser'!$O$24, 2, FALSE)</f>
        <v>18.912916034862292</v>
      </c>
      <c r="K8" s="252">
        <f>(1+SQRT(($B8-1))*9/100)*(POWER((K$2+6.5)/14,0.6)/POWER((15/14),0.6))*VLOOKUP($D$24, Parser!$N$5:'Parser'!$O$24, 2, FALSE)</f>
        <v>18.436074356975507</v>
      </c>
      <c r="L8" s="252">
        <f>(1+SQRT(($B8-1))*9/100)*(POWER((L$2+6.5)/14,0.6)/POWER((15/14),0.6))*VLOOKUP($D$24, Parser!$N$5:'Parser'!$O$24, 2, FALSE)</f>
        <v>17.950864055213781</v>
      </c>
      <c r="M8" s="252">
        <f>(1+SQRT(($B8-1))*9/100)*(POWER((M$2+6.5)/14,0.6)/POWER((15/14),0.6))*VLOOKUP($D$24, Parser!$N$5:'Parser'!$O$24, 2, FALSE)</f>
        <v>17.456747343750028</v>
      </c>
      <c r="N8" s="252">
        <f>(1+SQRT(($B8-1))*9/100)*(POWER((N$2+6.5)/14,0.6)/POWER((15/14),0.6))*VLOOKUP($D$24, Parser!$N$5:'Parser'!$O$24, 2, FALSE)</f>
        <v>16.953124322874896</v>
      </c>
      <c r="O8" s="252">
        <f>(1+SQRT(($B8-1))*9/100)*(POWER((O$2+6.5)/14,0.6)/POWER((15/14),0.6))*VLOOKUP($D$24, Parser!$N$5:'Parser'!$O$24, 2, FALSE)</f>
        <v>16.439322298203447</v>
      </c>
      <c r="P8" s="252">
        <f>(1+SQRT(($B8-1))*9/100)*(POWER((P$2+6.5)/14,0.6)/POWER((15/14),0.6))*VLOOKUP($D$24, Parser!$N$5:'Parser'!$O$24, 2, FALSE)</f>
        <v>15.914582595529264</v>
      </c>
      <c r="Q8" s="252">
        <f>(1+SQRT(($B8-1))*9/100)*(POWER((Q$2+6.5)/14,0.6)/POWER((15/14),0.6))*VLOOKUP($D$24, Parser!$N$5:'Parser'!$O$24, 2, FALSE)</f>
        <v>15.378044109783509</v>
      </c>
      <c r="R8" s="252">
        <f>(1+SQRT(($B8-1))*9/100)*(POWER((R$2+6.5)/14,0.6)/POWER((15/14),0.6))*VLOOKUP($D$24, Parser!$N$5:'Parser'!$O$24, 2, FALSE)</f>
        <v>14.828722535581381</v>
      </c>
      <c r="S8" s="252">
        <f>(1+SQRT(($B8-1))*9/100)*(POWER((S$2+6.5)/14,0.6)/POWER((15/14),0.6))*VLOOKUP($D$24, Parser!$N$5:'Parser'!$O$24, 2, FALSE)</f>
        <v>14.265483799078952</v>
      </c>
      <c r="T8" s="258">
        <f>(1+SQRT(($B8-1))*9/100)*(POWER((T$2+6.5)/14,0.6)/POWER((15/14),0.6))*VLOOKUP($D$24, Parser!$N$5:'Parser'!$O$24, 2, FALSE)</f>
        <v>13.687009568331813</v>
      </c>
      <c r="U8" s="242"/>
    </row>
    <row r="9" spans="2:21" ht="13.8" thickBot="1">
      <c r="B9" s="232">
        <v>7</v>
      </c>
      <c r="C9" s="234"/>
      <c r="D9" s="252">
        <f>(1+SQRT(($B9-1))*9/100)*(POWER((D$2+6.5)/14,0.6)/POWER((15/14),0.6))*VLOOKUP($D$24, Parser!$N$5:'Parser'!$O$24, 2, FALSE)</f>
        <v>21.968173383308752</v>
      </c>
      <c r="E9" s="252">
        <f>(1+SQRT(($B9-1))*9/100)*(POWER((E$2+6.5)/14,0.6)/POWER((15/14),0.6))*VLOOKUP($D$24, Parser!$N$5:'Parser'!$O$24, 2, FALSE)</f>
        <v>21.525834329793128</v>
      </c>
      <c r="F9" s="252">
        <f>(1+SQRT(($B9-1))*9/100)*(POWER((F$2+6.5)/14,0.6)/POWER((15/14),0.6))*VLOOKUP($D$24, Parser!$N$5:'Parser'!$O$24, 2, FALSE)</f>
        <v>21.077350304483353</v>
      </c>
      <c r="G9" s="252">
        <f>(1+SQRT(($B9-1))*9/100)*(POWER((G$2+6.5)/14,0.6)/POWER((15/14),0.6))*VLOOKUP($D$24, Parser!$N$5:'Parser'!$O$24, 2, FALSE)</f>
        <v>20.622411723238482</v>
      </c>
      <c r="H9" s="252">
        <f>(1+SQRT(($B9-1))*9/100)*(POWER((H$2+6.5)/14,0.6)/POWER((15/14),0.6))*VLOOKUP($D$24, Parser!$N$5:'Parser'!$O$24, 2, FALSE)</f>
        <v>20.16068126118288</v>
      </c>
      <c r="I9" s="252">
        <f>(1+SQRT(($B9-1))*9/100)*(POWER((I$2+6.5)/14,0.6)/POWER((15/14),0.6))*VLOOKUP($D$24, Parser!$N$5:'Parser'!$O$24, 2, FALSE)</f>
        <v>19.691790193918457</v>
      </c>
      <c r="J9" s="252">
        <f>(1+SQRT(($B9-1))*9/100)*(POWER((J$2+6.5)/14,0.6)/POWER((15/14),0.6))*VLOOKUP($D$24, Parser!$N$5:'Parser'!$O$24, 2, FALSE)</f>
        <v>19.215334088895979</v>
      </c>
      <c r="K9" s="252">
        <f>(1+SQRT(($B9-1))*9/100)*(POWER((K$2+6.5)/14,0.6)/POWER((15/14),0.6))*VLOOKUP($D$24, Parser!$N$5:'Parser'!$O$24, 2, FALSE)</f>
        <v>18.730867699301971</v>
      </c>
      <c r="L9" s="252">
        <f>(1+SQRT(($B9-1))*9/100)*(POWER((L$2+6.5)/14,0.6)/POWER((15/14),0.6))*VLOOKUP($D$24, Parser!$N$5:'Parser'!$O$24, 2, FALSE)</f>
        <v>18.237898871304239</v>
      </c>
      <c r="M9" s="252">
        <f>(1+SQRT(($B9-1))*9/100)*(POWER((M$2+6.5)/14,0.6)/POWER((15/14),0.6))*VLOOKUP($D$24, Parser!$N$5:'Parser'!$O$24, 2, FALSE)</f>
        <v>17.735881219865341</v>
      </c>
      <c r="N9" s="252">
        <f>(1+SQRT(($B9-1))*9/100)*(POWER((N$2+6.5)/14,0.6)/POWER((15/14),0.6))*VLOOKUP($D$24, Parser!$N$5:'Parser'!$O$24, 2, FALSE)</f>
        <v>17.224205252862873</v>
      </c>
      <c r="O9" s="252">
        <f>(1+SQRT(($B9-1))*9/100)*(POWER((O$2+6.5)/14,0.6)/POWER((15/14),0.6))*VLOOKUP($D$24, Parser!$N$5:'Parser'!$O$24, 2, FALSE)</f>
        <v>16.702187519509945</v>
      </c>
      <c r="P9" s="252">
        <f>(1+SQRT(($B9-1))*9/100)*(POWER((P$2+6.5)/14,0.6)/POWER((15/14),0.6))*VLOOKUP($D$24, Parser!$N$5:'Parser'!$O$24, 2, FALSE)</f>
        <v>16.169057214378455</v>
      </c>
      <c r="Q9" s="252">
        <f>(1+SQRT(($B9-1))*9/100)*(POWER((Q$2+6.5)/14,0.6)/POWER((15/14),0.6))*VLOOKUP($D$24, Parser!$N$5:'Parser'!$O$24, 2, FALSE)</f>
        <v>15.623939463305538</v>
      </c>
      <c r="R9" s="252">
        <f>(1+SQRT(($B9-1))*9/100)*(POWER((R$2+6.5)/14,0.6)/POWER((15/14),0.6))*VLOOKUP($D$24, Parser!$N$5:'Parser'!$O$24, 2, FALSE)</f>
        <v>15.065834221835882</v>
      </c>
      <c r="S9" s="252">
        <f>(1+SQRT(($B9-1))*9/100)*(POWER((S$2+6.5)/14,0.6)/POWER((15/14),0.6))*VLOOKUP($D$24, Parser!$N$5:'Parser'!$O$24, 2, FALSE)</f>
        <v>14.493589282253216</v>
      </c>
      <c r="T9" s="258">
        <f>(1+SQRT(($B9-1))*9/100)*(POWER((T$2+6.5)/14,0.6)/POWER((15/14),0.6))*VLOOKUP($D$24, Parser!$N$5:'Parser'!$O$24, 2, FALSE)</f>
        <v>13.90586523244863</v>
      </c>
      <c r="U9" s="242"/>
    </row>
    <row r="10" spans="2:21" ht="13.8" thickBot="1">
      <c r="B10" s="232">
        <v>8</v>
      </c>
      <c r="C10" s="234"/>
      <c r="D10" s="259">
        <f>(1+SQRT(($B10-1))*9/100)*(POWER((D$2+6.5)/14,0.6)/POWER((15/14),0.6))*VLOOKUP($D$24, Parser!$N$5:'Parser'!$O$24, 2, FALSE)</f>
        <v>22.286117123924637</v>
      </c>
      <c r="E10" s="259">
        <f>(1+SQRT(($B10-1))*9/100)*(POWER((E$2+6.5)/14,0.6)/POWER((15/14),0.6))*VLOOKUP($D$24, Parser!$N$5:'Parser'!$O$24, 2, FALSE)</f>
        <v>21.837376130163854</v>
      </c>
      <c r="F10" s="259">
        <f>(1+SQRT(($B10-1))*9/100)*(POWER((F$2+6.5)/14,0.6)/POWER((15/14),0.6))*VLOOKUP($D$24, Parser!$N$5:'Parser'!$O$24, 2, FALSE)</f>
        <v>21.382401228888863</v>
      </c>
      <c r="G10" s="259">
        <f>(1+SQRT(($B10-1))*9/100)*(POWER((G$2+6.5)/14,0.6)/POWER((15/14),0.6))*VLOOKUP($D$24, Parser!$N$5:'Parser'!$O$24, 2, FALSE)</f>
        <v>20.920878355370451</v>
      </c>
      <c r="H10" s="259">
        <f>(1+SQRT(($B10-1))*9/100)*(POWER((H$2+6.5)/14,0.6)/POWER((15/14),0.6))*VLOOKUP($D$24, Parser!$N$5:'Parser'!$O$24, 2, FALSE)</f>
        <v>20.452465302655135</v>
      </c>
      <c r="I10" s="259">
        <f>(1+SQRT(($B10-1))*9/100)*(POWER((I$2+6.5)/14,0.6)/POWER((15/14),0.6))*VLOOKUP($D$24, Parser!$N$5:'Parser'!$O$24, 2, FALSE)</f>
        <v>19.97678800982402</v>
      </c>
      <c r="J10" s="259">
        <f>(1+SQRT(($B10-1))*9/100)*(POWER((J$2+6.5)/14,0.6)/POWER((15/14),0.6))*VLOOKUP($D$24, Parser!$N$5:'Parser'!$O$24, 2, FALSE)</f>
        <v>19.493436191005632</v>
      </c>
      <c r="K10" s="259">
        <f>(1+SQRT(($B10-1))*9/100)*(POWER((K$2+6.5)/14,0.6)/POWER((15/14),0.6))*VLOOKUP($D$24, Parser!$N$5:'Parser'!$O$24, 2, FALSE)</f>
        <v>19.001958155362473</v>
      </c>
      <c r="L10" s="259">
        <f>(1+SQRT(($B10-1))*9/100)*(POWER((L$2+6.5)/14,0.6)/POWER((15/14),0.6))*VLOOKUP($D$24, Parser!$N$5:'Parser'!$O$24, 2, FALSE)</f>
        <v>18.501854626156504</v>
      </c>
      <c r="M10" s="259">
        <f>(1+SQRT(($B10-1))*9/100)*(POWER((M$2+6.5)/14,0.6)/POWER((15/14),0.6))*VLOOKUP($D$24, Parser!$N$5:'Parser'!$O$24, 2, FALSE)</f>
        <v>17.992571310560251</v>
      </c>
      <c r="N10" s="259">
        <f>(1+SQRT(($B10-1))*9/100)*(POWER((N$2+6.5)/14,0.6)/POWER((15/14),0.6))*VLOOKUP($D$24, Parser!$N$5:'Parser'!$O$24, 2, FALSE)</f>
        <v>17.473489895317119</v>
      </c>
      <c r="O10" s="259">
        <f>(1+SQRT(($B10-1))*9/100)*(POWER((O$2+6.5)/14,0.6)/POWER((15/14),0.6))*VLOOKUP($D$24, Parser!$N$5:'Parser'!$O$24, 2, FALSE)</f>
        <v>16.943917038107777</v>
      </c>
      <c r="P10" s="259">
        <f>(1+SQRT(($B10-1))*9/100)*(POWER((P$2+6.5)/14,0.6)/POWER((15/14),0.6))*VLOOKUP($D$24, Parser!$N$5:'Parser'!$O$24, 2, FALSE)</f>
        <v>16.403070777694456</v>
      </c>
      <c r="Q10" s="259">
        <f>(1+SQRT(($B10-1))*9/100)*(POWER((Q$2+6.5)/14,0.6)/POWER((15/14),0.6))*VLOOKUP($D$24, Parser!$N$5:'Parser'!$O$24, 2, FALSE)</f>
        <v>15.850063577925546</v>
      </c>
      <c r="R10" s="259">
        <f>(1+SQRT(($B10-1))*9/100)*(POWER((R$2+6.5)/14,0.6)/POWER((15/14),0.6))*VLOOKUP($D$24, Parser!$N$5:'Parser'!$O$24, 2, FALSE)</f>
        <v>15.283880920776669</v>
      </c>
      <c r="S10" s="259">
        <f>(1+SQRT(($B10-1))*9/100)*(POWER((S$2+6.5)/14,0.6)/POWER((15/14),0.6))*VLOOKUP($D$24, Parser!$N$5:'Parser'!$O$24, 2, FALSE)</f>
        <v>14.703353922714909</v>
      </c>
      <c r="T10" s="260">
        <f>(1+SQRT(($B10-1))*9/100)*(POWER((T$2+6.5)/14,0.6)/POWER((15/14),0.6))*VLOOKUP($D$24, Parser!$N$5:'Parser'!$O$24, 2, FALSE)</f>
        <v>14.107123786419454</v>
      </c>
      <c r="U10" s="242"/>
    </row>
    <row r="11" spans="2:21">
      <c r="B11" s="232">
        <v>9</v>
      </c>
      <c r="C11" s="234"/>
      <c r="D11" s="252">
        <f>(1+SQRT(($B11-1))*9/100)*(POWER((D$2+6.5)/14,0.6)/POWER((15/14),0.6))*VLOOKUP($D$24, Parser!$N$5:'Parser'!$O$24, 2, FALSE)</f>
        <v>22.582051942088828</v>
      </c>
      <c r="E11" s="252">
        <f>(1+SQRT(($B11-1))*9/100)*(POWER((E$2+6.5)/14,0.6)/POWER((15/14),0.6))*VLOOKUP($D$24, Parser!$N$5:'Parser'!$O$24, 2, FALSE)</f>
        <v>22.127352167637227</v>
      </c>
      <c r="F11" s="252">
        <f>(1+SQRT(($B11-1))*9/100)*(POWER((F$2+6.5)/14,0.6)/POWER((15/14),0.6))*VLOOKUP($D$24, Parser!$N$5:'Parser'!$O$24, 2, FALSE)</f>
        <v>21.66633570632154</v>
      </c>
      <c r="G11" s="252">
        <f>(1+SQRT(($B11-1))*9/100)*(POWER((G$2+6.5)/14,0.6)/POWER((15/14),0.6))*VLOOKUP($D$24, Parser!$N$5:'Parser'!$O$24, 2, FALSE)</f>
        <v>21.198684322982697</v>
      </c>
      <c r="H11" s="252">
        <f>(1+SQRT(($B11-1))*9/100)*(POWER((H$2+6.5)/14,0.6)/POWER((15/14),0.6))*VLOOKUP($D$24, Parser!$N$5:'Parser'!$O$24, 2, FALSE)</f>
        <v>20.724051266539941</v>
      </c>
      <c r="I11" s="252">
        <f>(1+SQRT(($B11-1))*9/100)*(POWER((I$2+6.5)/14,0.6)/POWER((15/14),0.6))*VLOOKUP($D$24, Parser!$N$5:'Parser'!$O$24, 2, FALSE)</f>
        <v>20.242057508961913</v>
      </c>
      <c r="J11" s="252">
        <f>(1+SQRT(($B11-1))*9/100)*(POWER((J$2+6.5)/14,0.6)/POWER((15/14),0.6))*VLOOKUP($D$24, Parser!$N$5:'Parser'!$O$24, 2, FALSE)</f>
        <v>19.752287316237656</v>
      </c>
      <c r="K11" s="252">
        <f>(1+SQRT(($B11-1))*9/100)*(POWER((K$2+6.5)/14,0.6)/POWER((15/14),0.6))*VLOOKUP($D$24, Parser!$N$5:'Parser'!$O$24, 2, FALSE)</f>
        <v>19.254282999578336</v>
      </c>
      <c r="L11" s="252">
        <f>(1+SQRT(($B11-1))*9/100)*(POWER((L$2+6.5)/14,0.6)/POWER((15/14),0.6))*VLOOKUP($D$24, Parser!$N$5:'Parser'!$O$24, 2, FALSE)</f>
        <v>18.747538652406821</v>
      </c>
      <c r="M11" s="252">
        <f>(1+SQRT(($B11-1))*9/100)*(POWER((M$2+6.5)/14,0.6)/POWER((15/14),0.6))*VLOOKUP($D$24, Parser!$N$5:'Parser'!$O$24, 2, FALSE)</f>
        <v>18.231492621504128</v>
      </c>
      <c r="N11" s="252">
        <f>(1+SQRT(($B11-1))*9/100)*(POWER((N$2+6.5)/14,0.6)/POWER((15/14),0.6))*VLOOKUP($D$24, Parser!$N$5:'Parser'!$O$24, 2, FALSE)</f>
        <v>17.705518383102159</v>
      </c>
      <c r="O11" s="252">
        <f>(1+SQRT(($B11-1))*9/100)*(POWER((O$2+6.5)/14,0.6)/POWER((15/14),0.6))*VLOOKUP($D$24, Parser!$N$5:'Parser'!$O$24, 2, FALSE)</f>
        <v>17.168913388067665</v>
      </c>
      <c r="P11" s="252">
        <f>(1+SQRT(($B11-1))*9/100)*(POWER((P$2+6.5)/14,0.6)/POWER((15/14),0.6))*VLOOKUP($D$24, Parser!$N$5:'Parser'!$O$24, 2, FALSE)</f>
        <v>16.620885291588408</v>
      </c>
      <c r="Q11" s="252">
        <f>(1+SQRT(($B11-1))*9/100)*(POWER((Q$2+6.5)/14,0.6)/POWER((15/14),0.6))*VLOOKUP($D$24, Parser!$N$5:'Parser'!$O$24, 2, FALSE)</f>
        <v>16.060534772021033</v>
      </c>
      <c r="R11" s="252">
        <f>(1+SQRT(($B11-1))*9/100)*(POWER((R$2+6.5)/14,0.6)/POWER((15/14),0.6))*VLOOKUP($D$24, Parser!$N$5:'Parser'!$O$24, 2, FALSE)</f>
        <v>15.486833839671528</v>
      </c>
      <c r="S11" s="252">
        <f>(1+SQRT(($B11-1))*9/100)*(POWER((S$2+6.5)/14,0.6)/POWER((15/14),0.6))*VLOOKUP($D$24, Parser!$N$5:'Parser'!$O$24, 2, FALSE)</f>
        <v>14.898598089535303</v>
      </c>
      <c r="T11" s="258">
        <f>(1+SQRT(($B11-1))*9/100)*(POWER((T$2+6.5)/14,0.6)/POWER((15/14),0.6))*VLOOKUP($D$24, Parser!$N$5:'Parser'!$O$24, 2, FALSE)</f>
        <v>14.294450680976247</v>
      </c>
      <c r="U11" s="242"/>
    </row>
    <row r="12" spans="2:21">
      <c r="B12" s="232">
        <v>10</v>
      </c>
      <c r="C12" s="234"/>
      <c r="D12" s="252">
        <f>(1+SQRT(($B12-1))*9/100)*(POWER((D$2+6.5)/14,0.6)/POWER((15/14),0.6))*VLOOKUP($D$24, Parser!$N$5:'Parser'!$O$24, 2, FALSE)</f>
        <v>22.86</v>
      </c>
      <c r="E12" s="252">
        <f>(1+SQRT(($B12-1))*9/100)*(POWER((E$2+6.5)/14,0.6)/POWER((15/14),0.6))*VLOOKUP($D$24, Parser!$N$5:'Parser'!$O$24, 2, FALSE)</f>
        <v>22.399703616366665</v>
      </c>
      <c r="F12" s="252">
        <f>(1+SQRT(($B12-1))*9/100)*(POWER((F$2+6.5)/14,0.6)/POWER((15/14),0.6))*VLOOKUP($D$24, Parser!$N$5:'Parser'!$O$24, 2, FALSE)</f>
        <v>21.933012797804068</v>
      </c>
      <c r="G12" s="252">
        <f>(1+SQRT(($B12-1))*9/100)*(POWER((G$2+6.5)/14,0.6)/POWER((15/14),0.6))*VLOOKUP($D$24, Parser!$N$5:'Parser'!$O$24, 2, FALSE)</f>
        <v>21.459605392199759</v>
      </c>
      <c r="H12" s="252">
        <f>(1+SQRT(($B12-1))*9/100)*(POWER((H$2+6.5)/14,0.6)/POWER((15/14),0.6))*VLOOKUP($D$24, Parser!$N$5:'Parser'!$O$24, 2, FALSE)</f>
        <v>20.979130380535349</v>
      </c>
      <c r="I12" s="252">
        <f>(1+SQRT(($B12-1))*9/100)*(POWER((I$2+6.5)/14,0.6)/POWER((15/14),0.6))*VLOOKUP($D$24, Parser!$N$5:'Parser'!$O$24, 2, FALSE)</f>
        <v>20.491204069565466</v>
      </c>
      <c r="J12" s="252">
        <f>(1+SQRT(($B12-1))*9/100)*(POWER((J$2+6.5)/14,0.6)/POWER((15/14),0.6))*VLOOKUP($D$24, Parser!$N$5:'Parser'!$O$24, 2, FALSE)</f>
        <v>19.995405608274666</v>
      </c>
      <c r="K12" s="252">
        <f>(1+SQRT(($B12-1))*9/100)*(POWER((K$2+6.5)/14,0.6)/POWER((15/14),0.6))*VLOOKUP($D$24, Parser!$N$5:'Parser'!$O$24, 2, FALSE)</f>
        <v>19.491271674475076</v>
      </c>
      <c r="L12" s="252">
        <f>(1+SQRT(($B12-1))*9/100)*(POWER((L$2+6.5)/14,0.6)/POWER((15/14),0.6))*VLOOKUP($D$24, Parser!$N$5:'Parser'!$O$24, 2, FALSE)</f>
        <v>18.978290134708526</v>
      </c>
      <c r="M12" s="252">
        <f>(1+SQRT(($B12-1))*9/100)*(POWER((M$2+6.5)/14,0.6)/POWER((15/14),0.6))*VLOOKUP($D$24, Parser!$N$5:'Parser'!$O$24, 2, FALSE)</f>
        <v>18.455892422725213</v>
      </c>
      <c r="N12" s="252">
        <f>(1+SQRT(($B12-1))*9/100)*(POWER((N$2+6.5)/14,0.6)/POWER((15/14),0.6))*VLOOKUP($D$24, Parser!$N$5:'Parser'!$O$24, 2, FALSE)</f>
        <v>17.923444303276028</v>
      </c>
      <c r="O12" s="252">
        <f>(1+SQRT(($B12-1))*9/100)*(POWER((O$2+6.5)/14,0.6)/POWER((15/14),0.6))*VLOOKUP($D$24, Parser!$N$5:'Parser'!$O$24, 2, FALSE)</f>
        <v>17.380234579999044</v>
      </c>
      <c r="P12" s="252">
        <f>(1+SQRT(($B12-1))*9/100)*(POWER((P$2+6.5)/14,0.6)/POWER((15/14),0.6))*VLOOKUP($D$24, Parser!$N$5:'Parser'!$O$24, 2, FALSE)</f>
        <v>16.825461155615674</v>
      </c>
      <c r="Q12" s="252">
        <f>(1+SQRT(($B12-1))*9/100)*(POWER((Q$2+6.5)/14,0.6)/POWER((15/14),0.6))*VLOOKUP($D$24, Parser!$N$5:'Parser'!$O$24, 2, FALSE)</f>
        <v>16.258213639306692</v>
      </c>
      <c r="R12" s="252">
        <f>(1+SQRT(($B12-1))*9/100)*(POWER((R$2+6.5)/14,0.6)/POWER((15/14),0.6))*VLOOKUP($D$24, Parser!$N$5:'Parser'!$O$24, 2, FALSE)</f>
        <v>15.677451388509366</v>
      </c>
      <c r="S12" s="252">
        <f>(1+SQRT(($B12-1))*9/100)*(POWER((S$2+6.5)/14,0.6)/POWER((15/14),0.6))*VLOOKUP($D$24, Parser!$N$5:'Parser'!$O$24, 2, FALSE)</f>
        <v>15.081975420134182</v>
      </c>
      <c r="T12" s="258">
        <f>(1+SQRT(($B12-1))*9/100)*(POWER((T$2+6.5)/14,0.6)/POWER((15/14),0.6))*VLOOKUP($D$24, Parser!$N$5:'Parser'!$O$24, 2, FALSE)</f>
        <v>14.4703919468928</v>
      </c>
      <c r="U12" s="242"/>
    </row>
    <row r="13" spans="2:21">
      <c r="B13" s="232">
        <v>11</v>
      </c>
      <c r="C13" s="234"/>
      <c r="D13" s="252">
        <f>(1+SQRT(($B13-1))*9/100)*(POWER((D$2+6.5)/14,0.6)/POWER((15/14),0.6))*VLOOKUP($D$24, Parser!$N$5:'Parser'!$O$24, 2, FALSE)</f>
        <v>23.122889809472774</v>
      </c>
      <c r="E13" s="252">
        <f>(1+SQRT(($B13-1))*9/100)*(POWER((E$2+6.5)/14,0.6)/POWER((15/14),0.6))*VLOOKUP($D$24, Parser!$N$5:'Parser'!$O$24, 2, FALSE)</f>
        <v>22.657300021264007</v>
      </c>
      <c r="F13" s="252">
        <f>(1+SQRT(($B13-1))*9/100)*(POWER((F$2+6.5)/14,0.6)/POWER((15/14),0.6))*VLOOKUP($D$24, Parser!$N$5:'Parser'!$O$24, 2, FALSE)</f>
        <v>22.185242262177585</v>
      </c>
      <c r="G13" s="252">
        <f>(1+SQRT(($B13-1))*9/100)*(POWER((G$2+6.5)/14,0.6)/POWER((15/14),0.6))*VLOOKUP($D$24, Parser!$N$5:'Parser'!$O$24, 2, FALSE)</f>
        <v>21.706390675354452</v>
      </c>
      <c r="H13" s="252">
        <f>(1+SQRT(($B13-1))*9/100)*(POWER((H$2+6.5)/14,0.6)/POWER((15/14),0.6))*VLOOKUP($D$24, Parser!$N$5:'Parser'!$O$24, 2, FALSE)</f>
        <v>21.220390205060436</v>
      </c>
      <c r="I13" s="252">
        <f>(1+SQRT(($B13-1))*9/100)*(POWER((I$2+6.5)/14,0.6)/POWER((15/14),0.6))*VLOOKUP($D$24, Parser!$N$5:'Parser'!$O$24, 2, FALSE)</f>
        <v>20.726852745581027</v>
      </c>
      <c r="J13" s="252">
        <f>(1+SQRT(($B13-1))*9/100)*(POWER((J$2+6.5)/14,0.6)/POWER((15/14),0.6))*VLOOKUP($D$24, Parser!$N$5:'Parser'!$O$24, 2, FALSE)</f>
        <v>20.225352606117632</v>
      </c>
      <c r="K13" s="252">
        <f>(1+SQRT(($B13-1))*9/100)*(POWER((K$2+6.5)/14,0.6)/POWER((15/14),0.6))*VLOOKUP($D$24, Parser!$N$5:'Parser'!$O$24, 2, FALSE)</f>
        <v>19.715421136281059</v>
      </c>
      <c r="L13" s="252">
        <f>(1+SQRT(($B13-1))*9/100)*(POWER((L$2+6.5)/14,0.6)/POWER((15/14),0.6))*VLOOKUP($D$24, Parser!$N$5:'Parser'!$O$24, 2, FALSE)</f>
        <v>19.196540313082654</v>
      </c>
      <c r="M13" s="252">
        <f>(1+SQRT(($B13-1))*9/100)*(POWER((M$2+6.5)/14,0.6)/POWER((15/14),0.6))*VLOOKUP($D$24, Parser!$N$5:'Parser'!$O$24, 2, FALSE)</f>
        <v>18.66813503176547</v>
      </c>
      <c r="N13" s="252">
        <f>(1+SQRT(($B13-1))*9/100)*(POWER((N$2+6.5)/14,0.6)/POWER((15/14),0.6))*VLOOKUP($D$24, Parser!$N$5:'Parser'!$O$24, 2, FALSE)</f>
        <v>18.129563763380322</v>
      </c>
      <c r="O13" s="252">
        <f>(1+SQRT(($B13-1))*9/100)*(POWER((O$2+6.5)/14,0.6)/POWER((15/14),0.6))*VLOOKUP($D$24, Parser!$N$5:'Parser'!$O$24, 2, FALSE)</f>
        <v>17.580107132813044</v>
      </c>
      <c r="P13" s="252">
        <f>(1+SQRT(($B13-1))*9/100)*(POWER((P$2+6.5)/14,0.6)/POWER((15/14),0.6))*VLOOKUP($D$24, Parser!$N$5:'Parser'!$O$24, 2, FALSE)</f>
        <v>17.018953818673037</v>
      </c>
      <c r="Q13" s="252">
        <f>(1+SQRT(($B13-1))*9/100)*(POWER((Q$2+6.5)/14,0.6)/POWER((15/14),0.6))*VLOOKUP($D$24, Parser!$N$5:'Parser'!$O$24, 2, FALSE)</f>
        <v>16.445182960654243</v>
      </c>
      <c r="R13" s="252">
        <f>(1+SQRT(($B13-1))*9/100)*(POWER((R$2+6.5)/14,0.6)/POWER((15/14),0.6))*VLOOKUP($D$24, Parser!$N$5:'Parser'!$O$24, 2, FALSE)</f>
        <v>15.857741948813123</v>
      </c>
      <c r="S13" s="252">
        <f>(1+SQRT(($B13-1))*9/100)*(POWER((S$2+6.5)/14,0.6)/POWER((15/14),0.6))*VLOOKUP($D$24, Parser!$N$5:'Parser'!$O$24, 2, FALSE)</f>
        <v>15.255418011764633</v>
      </c>
      <c r="T13" s="258">
        <f>(1+SQRT(($B13-1))*9/100)*(POWER((T$2+6.5)/14,0.6)/POWER((15/14),0.6))*VLOOKUP($D$24, Parser!$N$5:'Parser'!$O$24, 2, FALSE)</f>
        <v>14.636801333678232</v>
      </c>
      <c r="U13" s="242"/>
    </row>
    <row r="14" spans="2:21">
      <c r="B14" s="232">
        <v>12</v>
      </c>
      <c r="C14" s="234"/>
      <c r="D14" s="252">
        <f>(1+SQRT(($B14-1))*9/100)*(POWER((D$2+6.5)/14,0.6)/POWER((15/14),0.6))*VLOOKUP($D$24, Parser!$N$5:'Parser'!$O$24, 2, FALSE)</f>
        <v>23.37293216037575</v>
      </c>
      <c r="E14" s="252">
        <f>(1+SQRT(($B14-1))*9/100)*(POWER((E$2+6.5)/14,0.6)/POWER((15/14),0.6))*VLOOKUP($D$24, Parser!$N$5:'Parser'!$O$24, 2, FALSE)</f>
        <v>22.902307656949315</v>
      </c>
      <c r="F14" s="252">
        <f>(1+SQRT(($B14-1))*9/100)*(POWER((F$2+6.5)/14,0.6)/POWER((15/14),0.6))*VLOOKUP($D$24, Parser!$N$5:'Parser'!$O$24, 2, FALSE)</f>
        <v>22.425145240408032</v>
      </c>
      <c r="G14" s="252">
        <f>(1+SQRT(($B14-1))*9/100)*(POWER((G$2+6.5)/14,0.6)/POWER((15/14),0.6))*VLOOKUP($D$24, Parser!$N$5:'Parser'!$O$24, 2, FALSE)</f>
        <v>21.941115530197663</v>
      </c>
      <c r="H14" s="252">
        <f>(1+SQRT(($B14-1))*9/100)*(POWER((H$2+6.5)/14,0.6)/POWER((15/14),0.6))*VLOOKUP($D$24, Parser!$N$5:'Parser'!$O$24, 2, FALSE)</f>
        <v>21.44985963114307</v>
      </c>
      <c r="I14" s="252">
        <f>(1+SQRT(($B14-1))*9/100)*(POWER((I$2+6.5)/14,0.6)/POWER((15/14),0.6))*VLOOKUP($D$24, Parser!$N$5:'Parser'!$O$24, 2, FALSE)</f>
        <v>20.950985240698557</v>
      </c>
      <c r="J14" s="252">
        <f>(1+SQRT(($B14-1))*9/100)*(POWER((J$2+6.5)/14,0.6)/POWER((15/14),0.6))*VLOOKUP($D$24, Parser!$N$5:'Parser'!$O$24, 2, FALSE)</f>
        <v>20.444062064803177</v>
      </c>
      <c r="K14" s="252">
        <f>(1+SQRT(($B14-1))*9/100)*(POWER((K$2+6.5)/14,0.6)/POWER((15/14),0.6))*VLOOKUP($D$24, Parser!$N$5:'Parser'!$O$24, 2, FALSE)</f>
        <v>19.928616385256312</v>
      </c>
      <c r="L14" s="252">
        <f>(1+SQRT(($B14-1))*9/100)*(POWER((L$2+6.5)/14,0.6)/POWER((15/14),0.6))*VLOOKUP($D$24, Parser!$N$5:'Parser'!$O$24, 2, FALSE)</f>
        <v>19.404124577360925</v>
      </c>
      <c r="M14" s="252">
        <f>(1+SQRT(($B14-1))*9/100)*(POWER((M$2+6.5)/14,0.6)/POWER((15/14),0.6))*VLOOKUP($D$24, Parser!$N$5:'Parser'!$O$24, 2, FALSE)</f>
        <v>18.870005317390607</v>
      </c>
      <c r="N14" s="252">
        <f>(1+SQRT(($B14-1))*9/100)*(POWER((N$2+6.5)/14,0.6)/POWER((15/14),0.6))*VLOOKUP($D$24, Parser!$N$5:'Parser'!$O$24, 2, FALSE)</f>
        <v>18.325610139140146</v>
      </c>
      <c r="O14" s="252">
        <f>(1+SQRT(($B14-1))*9/100)*(POWER((O$2+6.5)/14,0.6)/POWER((15/14),0.6))*VLOOKUP($D$24, Parser!$N$5:'Parser'!$O$24, 2, FALSE)</f>
        <v>17.770211888439825</v>
      </c>
      <c r="P14" s="252">
        <f>(1+SQRT(($B14-1))*9/100)*(POWER((P$2+6.5)/14,0.6)/POWER((15/14),0.6))*VLOOKUP($D$24, Parser!$N$5:'Parser'!$O$24, 2, FALSE)</f>
        <v>17.202990470570537</v>
      </c>
      <c r="Q14" s="252">
        <f>(1+SQRT(($B14-1))*9/100)*(POWER((Q$2+6.5)/14,0.6)/POWER((15/14),0.6))*VLOOKUP($D$24, Parser!$N$5:'Parser'!$O$24, 2, FALSE)</f>
        <v>16.623015067384561</v>
      </c>
      <c r="R14" s="252">
        <f>(1+SQRT(($B14-1))*9/100)*(POWER((R$2+6.5)/14,0.6)/POWER((15/14),0.6))*VLOOKUP($D$24, Parser!$N$5:'Parser'!$O$24, 2, FALSE)</f>
        <v>16.029221686404988</v>
      </c>
      <c r="S14" s="252">
        <f>(1+SQRT(($B14-1))*9/100)*(POWER((S$2+6.5)/14,0.6)/POWER((15/14),0.6))*VLOOKUP($D$24, Parser!$N$5:'Parser'!$O$24, 2, FALSE)</f>
        <v>15.420384441786997</v>
      </c>
      <c r="T14" s="258">
        <f>(1+SQRT(($B14-1))*9/100)*(POWER((T$2+6.5)/14,0.6)/POWER((15/14),0.6))*VLOOKUP($D$24, Parser!$N$5:'Parser'!$O$24, 2, FALSE)</f>
        <v>14.795078272474756</v>
      </c>
      <c r="U14" s="242"/>
    </row>
    <row r="15" spans="2:21" ht="13.8" thickBot="1">
      <c r="B15" s="232">
        <v>13</v>
      </c>
      <c r="C15" s="234"/>
      <c r="D15" s="252">
        <f>(1+SQRT(($B15-1))*9/100)*(POWER((D$2+6.5)/14,0.6)/POWER((15/14),0.6))*VLOOKUP($D$24, Parser!$N$5:'Parser'!$O$24, 2, FALSE)</f>
        <v>23.611844616523161</v>
      </c>
      <c r="E15" s="252">
        <f>(1+SQRT(($B15-1))*9/100)*(POWER((E$2+6.5)/14,0.6)/POWER((15/14),0.6))*VLOOKUP($D$24, Parser!$N$5:'Parser'!$O$24, 2, FALSE)</f>
        <v>23.136409503316781</v>
      </c>
      <c r="F15" s="252">
        <f>(1+SQRT(($B15-1))*9/100)*(POWER((F$2+6.5)/14,0.6)/POWER((15/14),0.6))*VLOOKUP($D$24, Parser!$N$5:'Parser'!$O$24, 2, FALSE)</f>
        <v>22.654369648029903</v>
      </c>
      <c r="G15" s="252">
        <f>(1+SQRT(($B15-1))*9/100)*(POWER((G$2+6.5)/14,0.6)/POWER((15/14),0.6))*VLOOKUP($D$24, Parser!$N$5:'Parser'!$O$24, 2, FALSE)</f>
        <v>22.165392303259985</v>
      </c>
      <c r="H15" s="252">
        <f>(1+SQRT(($B15-1))*9/100)*(POWER((H$2+6.5)/14,0.6)/POWER((15/14),0.6))*VLOOKUP($D$24, Parser!$N$5:'Parser'!$O$24, 2, FALSE)</f>
        <v>21.669114905292261</v>
      </c>
      <c r="I15" s="252">
        <f>(1+SQRT(($B15-1))*9/100)*(POWER((I$2+6.5)/14,0.6)/POWER((15/14),0.6))*VLOOKUP($D$24, Parser!$N$5:'Parser'!$O$24, 2, FALSE)</f>
        <v>21.165141141559353</v>
      </c>
      <c r="J15" s="252">
        <f>(1+SQRT(($B15-1))*9/100)*(POWER((J$2+6.5)/14,0.6)/POWER((15/14),0.6))*VLOOKUP($D$24, Parser!$N$5:'Parser'!$O$24, 2, FALSE)</f>
        <v>20.653036319638552</v>
      </c>
      <c r="K15" s="252">
        <f>(1+SQRT(($B15-1))*9/100)*(POWER((K$2+6.5)/14,0.6)/POWER((15/14),0.6))*VLOOKUP($D$24, Parser!$N$5:'Parser'!$O$24, 2, FALSE)</f>
        <v>20.132321879096445</v>
      </c>
      <c r="L15" s="252">
        <f>(1+SQRT(($B15-1))*9/100)*(POWER((L$2+6.5)/14,0.6)/POWER((15/14),0.6))*VLOOKUP($D$24, Parser!$N$5:'Parser'!$O$24, 2, FALSE)</f>
        <v>19.602468842871051</v>
      </c>
      <c r="M15" s="252">
        <f>(1+SQRT(($B15-1))*9/100)*(POWER((M$2+6.5)/14,0.6)/POWER((15/14),0.6))*VLOOKUP($D$24, Parser!$N$5:'Parser'!$O$24, 2, FALSE)</f>
        <v>19.062889945085519</v>
      </c>
      <c r="N15" s="252">
        <f>(1+SQRT(($B15-1))*9/100)*(POWER((N$2+6.5)/14,0.6)/POWER((15/14),0.6))*VLOOKUP($D$24, Parser!$N$5:'Parser'!$O$24, 2, FALSE)</f>
        <v>18.512930091070025</v>
      </c>
      <c r="O15" s="252">
        <f>(1+SQRT(($B15-1))*9/100)*(POWER((O$2+6.5)/14,0.6)/POWER((15/14),0.6))*VLOOKUP($D$24, Parser!$N$5:'Parser'!$O$24, 2, FALSE)</f>
        <v>17.951854693860898</v>
      </c>
      <c r="P15" s="252">
        <f>(1+SQRT(($B15-1))*9/100)*(POWER((P$2+6.5)/14,0.6)/POWER((15/14),0.6))*VLOOKUP($D$24, Parser!$N$5:'Parser'!$O$24, 2, FALSE)</f>
        <v>17.378835275929283</v>
      </c>
      <c r="Q15" s="252">
        <f>(1+SQRT(($B15-1))*9/100)*(POWER((Q$2+6.5)/14,0.6)/POWER((15/14),0.6))*VLOOKUP($D$24, Parser!$N$5:'Parser'!$O$24, 2, FALSE)</f>
        <v>16.792931504529626</v>
      </c>
      <c r="R15" s="252">
        <f>(1+SQRT(($B15-1))*9/100)*(POWER((R$2+6.5)/14,0.6)/POWER((15/14),0.6))*VLOOKUP($D$24, Parser!$N$5:'Parser'!$O$24, 2, FALSE)</f>
        <v>16.193068511311392</v>
      </c>
      <c r="S15" s="252">
        <f>(1+SQRT(($B15-1))*9/100)*(POWER((S$2+6.5)/14,0.6)/POWER((15/14),0.6))*VLOOKUP($D$24, Parser!$N$5:'Parser'!$O$24, 2, FALSE)</f>
        <v>15.578007879721344</v>
      </c>
      <c r="T15" s="258">
        <f>(1+SQRT(($B15-1))*9/100)*(POWER((T$2+6.5)/14,0.6)/POWER((15/14),0.6))*VLOOKUP($D$24, Parser!$N$5:'Parser'!$O$24, 2, FALSE)</f>
        <v>14.946309982074402</v>
      </c>
      <c r="U15" s="242"/>
    </row>
    <row r="16" spans="2:21" ht="13.8" thickBot="1">
      <c r="B16" s="232">
        <v>14</v>
      </c>
      <c r="C16" s="234"/>
      <c r="D16" s="259">
        <f>(1+SQRT(($B16-1))*9/100)*(POWER((D$2+6.5)/14,0.6)/POWER((15/14),0.6))*VLOOKUP($D$24, Parser!$N$5:'Parser'!$O$24, 2, FALSE)</f>
        <v>23.840993066251663</v>
      </c>
      <c r="E16" s="259">
        <f>(1+SQRT(($B16-1))*9/100)*(POWER((E$2+6.5)/14,0.6)/POWER((15/14),0.6))*VLOOKUP($D$24, Parser!$N$5:'Parser'!$O$24, 2, FALSE)</f>
        <v>23.360943945926945</v>
      </c>
      <c r="F16" s="259">
        <f>(1+SQRT(($B16-1))*9/100)*(POWER((F$2+6.5)/14,0.6)/POWER((15/14),0.6))*VLOOKUP($D$24, Parser!$N$5:'Parser'!$O$24, 2, FALSE)</f>
        <v>22.874225985759221</v>
      </c>
      <c r="G16" s="259">
        <f>(1+SQRT(($B16-1))*9/100)*(POWER((G$2+6.5)/14,0.6)/POWER((15/14),0.6))*VLOOKUP($D$24, Parser!$N$5:'Parser'!$O$24, 2, FALSE)</f>
        <v>22.380503209095856</v>
      </c>
      <c r="H16" s="259">
        <f>(1+SQRT(($B16-1))*9/100)*(POWER((H$2+6.5)/14,0.6)/POWER((15/14),0.6))*VLOOKUP($D$24, Parser!$N$5:'Parser'!$O$24, 2, FALSE)</f>
        <v>21.879409533610364</v>
      </c>
      <c r="I16" s="259">
        <f>(1+SQRT(($B16-1))*9/100)*(POWER((I$2+6.5)/14,0.6)/POWER((15/14),0.6))*VLOOKUP($D$24, Parser!$N$5:'Parser'!$O$24, 2, FALSE)</f>
        <v>21.370544800597465</v>
      </c>
      <c r="J16" s="259">
        <f>(1+SQRT(($B16-1))*9/100)*(POWER((J$2+6.5)/14,0.6)/POWER((15/14),0.6))*VLOOKUP($D$24, Parser!$N$5:'Parser'!$O$24, 2, FALSE)</f>
        <v>20.853470099027383</v>
      </c>
      <c r="K16" s="259">
        <f>(1+SQRT(($B16-1))*9/100)*(POWER((K$2+6.5)/14,0.6)/POWER((15/14),0.6))*VLOOKUP($D$24, Parser!$N$5:'Parser'!$O$24, 2, FALSE)</f>
        <v>20.327702224128945</v>
      </c>
      <c r="L16" s="259">
        <f>(1+SQRT(($B16-1))*9/100)*(POWER((L$2+6.5)/14,0.6)/POWER((15/14),0.6))*VLOOKUP($D$24, Parser!$N$5:'Parser'!$O$24, 2, FALSE)</f>
        <v>19.79270706521865</v>
      </c>
      <c r="M16" s="259">
        <f>(1+SQRT(($B16-1))*9/100)*(POWER((M$2+6.5)/14,0.6)/POWER((15/14),0.6))*VLOOKUP($D$24, Parser!$N$5:'Parser'!$O$24, 2, FALSE)</f>
        <v>19.247891657116295</v>
      </c>
      <c r="N16" s="259">
        <f>(1+SQRT(($B16-1))*9/100)*(POWER((N$2+6.5)/14,0.6)/POWER((15/14),0.6))*VLOOKUP($D$24, Parser!$N$5:'Parser'!$O$24, 2, FALSE)</f>
        <v>18.692594547583187</v>
      </c>
      <c r="O16" s="259">
        <f>(1+SQRT(($B16-1))*9/100)*(POWER((O$2+6.5)/14,0.6)/POWER((15/14),0.6))*VLOOKUP($D$24, Parser!$N$5:'Parser'!$O$24, 2, FALSE)</f>
        <v>18.126074020629247</v>
      </c>
      <c r="P16" s="259">
        <f>(1+SQRT(($B16-1))*9/100)*(POWER((P$2+6.5)/14,0.6)/POWER((15/14),0.6))*VLOOKUP($D$24, Parser!$N$5:'Parser'!$O$24, 2, FALSE)</f>
        <v>17.547493558509185</v>
      </c>
      <c r="Q16" s="259">
        <f>(1+SQRT(($B16-1))*9/100)*(POWER((Q$2+6.5)/14,0.6)/POWER((15/14),0.6))*VLOOKUP($D$24, Parser!$N$5:'Parser'!$O$24, 2, FALSE)</f>
        <v>16.955903702727436</v>
      </c>
      <c r="R16" s="259">
        <f>(1+SQRT(($B16-1))*9/100)*(POWER((R$2+6.5)/14,0.6)/POWER((15/14),0.6))*VLOOKUP($D$24, Parser!$N$5:'Parser'!$O$24, 2, FALSE)</f>
        <v>16.35021915354109</v>
      </c>
      <c r="S16" s="259">
        <f>(1+SQRT(($B16-1))*9/100)*(POWER((S$2+6.5)/14,0.6)/POWER((15/14),0.6))*VLOOKUP($D$24, Parser!$N$5:'Parser'!$O$24, 2, FALSE)</f>
        <v>15.729189475800396</v>
      </c>
      <c r="T16" s="260">
        <f>(1+SQRT(($B16-1))*9/100)*(POWER((T$2+6.5)/14,0.6)/POWER((15/14),0.6))*VLOOKUP($D$24, Parser!$N$5:'Parser'!$O$24, 2, FALSE)</f>
        <v>15.091361070508098</v>
      </c>
      <c r="U16" s="242"/>
    </row>
    <row r="17" spans="2:21">
      <c r="B17" s="232">
        <v>15</v>
      </c>
      <c r="C17" s="234"/>
      <c r="D17" s="252">
        <f>(1+SQRT(($B17-1))*9/100)*(POWER((D$2+6.5)/14,0.6)/POWER((15/14),0.6))*VLOOKUP($D$24, Parser!$N$5:'Parser'!$O$24, 2, FALSE)</f>
        <v>24.061484966573786</v>
      </c>
      <c r="E17" s="252">
        <f>(1+SQRT(($B17-1))*9/100)*(POWER((E$2+6.5)/14,0.6)/POWER((15/14),0.6))*VLOOKUP($D$24, Parser!$N$5:'Parser'!$O$24, 2, FALSE)</f>
        <v>23.5769961426472</v>
      </c>
      <c r="F17" s="252">
        <f>(1+SQRT(($B17-1))*9/100)*(POWER((F$2+6.5)/14,0.6)/POWER((15/14),0.6))*VLOOKUP($D$24, Parser!$N$5:'Parser'!$O$24, 2, FALSE)</f>
        <v>23.085776802538629</v>
      </c>
      <c r="G17" s="252">
        <f>(1+SQRT(($B17-1))*9/100)*(POWER((G$2+6.5)/14,0.6)/POWER((15/14),0.6))*VLOOKUP($D$24, Parser!$N$5:'Parser'!$O$24, 2, FALSE)</f>
        <v>22.587487862336843</v>
      </c>
      <c r="H17" s="252">
        <f>(1+SQRT(($B17-1))*9/100)*(POWER((H$2+6.5)/14,0.6)/POWER((15/14),0.6))*VLOOKUP($D$24, Parser!$N$5:'Parser'!$O$24, 2, FALSE)</f>
        <v>22.081759854026366</v>
      </c>
      <c r="I17" s="252">
        <f>(1+SQRT(($B17-1))*9/100)*(POWER((I$2+6.5)/14,0.6)/POWER((15/14),0.6))*VLOOKUP($D$24, Parser!$N$5:'Parser'!$O$24, 2, FALSE)</f>
        <v>21.568188918059711</v>
      </c>
      <c r="J17" s="252">
        <f>(1+SQRT(($B17-1))*9/100)*(POWER((J$2+6.5)/14,0.6)/POWER((15/14),0.6))*VLOOKUP($D$24, Parser!$N$5:'Parser'!$O$24, 2, FALSE)</f>
        <v>21.046332084166497</v>
      </c>
      <c r="K17" s="252">
        <f>(1+SQRT(($B17-1))*9/100)*(POWER((K$2+6.5)/14,0.6)/POWER((15/14),0.6))*VLOOKUP($D$24, Parser!$N$5:'Parser'!$O$24, 2, FALSE)</f>
        <v>20.515701678687115</v>
      </c>
      <c r="L17" s="252">
        <f>(1+SQRT(($B17-1))*9/100)*(POWER((L$2+6.5)/14,0.6)/POWER((15/14),0.6))*VLOOKUP($D$24, Parser!$N$5:'Parser'!$O$24, 2, FALSE)</f>
        <v>19.975758651249556</v>
      </c>
      <c r="M17" s="252">
        <f>(1+SQRT(($B17-1))*9/100)*(POWER((M$2+6.5)/14,0.6)/POWER((15/14),0.6))*VLOOKUP($D$24, Parser!$N$5:'Parser'!$O$24, 2, FALSE)</f>
        <v>19.425904552673043</v>
      </c>
      <c r="N17" s="252">
        <f>(1+SQRT(($B17-1))*9/100)*(POWER((N$2+6.5)/14,0.6)/POWER((15/14),0.6))*VLOOKUP($D$24, Parser!$N$5:'Parser'!$O$24, 2, FALSE)</f>
        <v>18.865471813320152</v>
      </c>
      <c r="O17" s="252">
        <f>(1+SQRT(($B17-1))*9/100)*(POWER((O$2+6.5)/14,0.6)/POWER((15/14),0.6))*VLOOKUP($D$24, Parser!$N$5:'Parser'!$O$24, 2, FALSE)</f>
        <v>18.293711857487878</v>
      </c>
      <c r="P17" s="252">
        <f>(1+SQRT(($B17-1))*9/100)*(POWER((P$2+6.5)/14,0.6)/POWER((15/14),0.6))*VLOOKUP($D$24, Parser!$N$5:'Parser'!$O$24, 2, FALSE)</f>
        <v>17.70978043095003</v>
      </c>
      <c r="Q17" s="252">
        <f>(1+SQRT(($B17-1))*9/100)*(POWER((Q$2+6.5)/14,0.6)/POWER((15/14),0.6))*VLOOKUP($D$24, Parser!$N$5:'Parser'!$O$24, 2, FALSE)</f>
        <v>17.112719294204851</v>
      </c>
      <c r="R17" s="252">
        <f>(1+SQRT(($B17-1))*9/100)*(POWER((R$2+6.5)/14,0.6)/POWER((15/14),0.6))*VLOOKUP($D$24, Parser!$N$5:'Parser'!$O$24, 2, FALSE)</f>
        <v>16.501433110184138</v>
      </c>
      <c r="S17" s="252">
        <f>(1+SQRT(($B17-1))*9/100)*(POWER((S$2+6.5)/14,0.6)/POWER((15/14),0.6))*VLOOKUP($D$24, Parser!$N$5:'Parser'!$O$24, 2, FALSE)</f>
        <v>15.874659879168588</v>
      </c>
      <c r="T17" s="258">
        <f>(1+SQRT(($B17-1))*9/100)*(POWER((T$2+6.5)/14,0.6)/POWER((15/14),0.6))*VLOOKUP($D$24, Parser!$N$5:'Parser'!$O$24, 2, FALSE)</f>
        <v>15.230932558643545</v>
      </c>
      <c r="U17" s="242"/>
    </row>
    <row r="18" spans="2:21">
      <c r="B18" s="232">
        <v>16</v>
      </c>
      <c r="C18" s="234"/>
      <c r="D18" s="252">
        <f>(1+SQRT(($B18-1))*9/100)*(POWER((D$2+6.5)/14,0.6)/POWER((15/14),0.6))*VLOOKUP($D$24, Parser!$N$5:'Parser'!$O$24, 2, FALSE)</f>
        <v>24.274233020856016</v>
      </c>
      <c r="E18" s="252">
        <f>(1+SQRT(($B18-1))*9/100)*(POWER((E$2+6.5)/14,0.6)/POWER((15/14),0.6))*VLOOKUP($D$24, Parser!$N$5:'Parser'!$O$24, 2, FALSE)</f>
        <v>23.785460419151164</v>
      </c>
      <c r="F18" s="252">
        <f>(1+SQRT(($B18-1))*9/100)*(POWER((F$2+6.5)/14,0.6)/POWER((15/14),0.6))*VLOOKUP($D$24, Parser!$N$5:'Parser'!$O$24, 2, FALSE)</f>
        <v>23.289897791046073</v>
      </c>
      <c r="G18" s="252">
        <f>(1+SQRT(($B18-1))*9/100)*(POWER((G$2+6.5)/14,0.6)/POWER((15/14),0.6))*VLOOKUP($D$24, Parser!$N$5:'Parser'!$O$24, 2, FALSE)</f>
        <v>22.787203054500228</v>
      </c>
      <c r="H18" s="252">
        <f>(1+SQRT(($B18-1))*9/100)*(POWER((H$2+6.5)/14,0.6)/POWER((15/14),0.6))*VLOOKUP($D$24, Parser!$N$5:'Parser'!$O$24, 2, FALSE)</f>
        <v>22.277003474717183</v>
      </c>
      <c r="I18" s="252">
        <f>(1+SQRT(($B18-1))*9/100)*(POWER((I$2+6.5)/14,0.6)/POWER((15/14),0.6))*VLOOKUP($D$24, Parser!$N$5:'Parser'!$O$24, 2, FALSE)</f>
        <v>21.758891621283691</v>
      </c>
      <c r="J18" s="252">
        <f>(1+SQRT(($B18-1))*9/100)*(POWER((J$2+6.5)/14,0.6)/POWER((15/14),0.6))*VLOOKUP($D$24, Parser!$N$5:'Parser'!$O$24, 2, FALSE)</f>
        <v>21.232420607252429</v>
      </c>
      <c r="K18" s="252">
        <f>(1+SQRT(($B18-1))*9/100)*(POWER((K$2+6.5)/14,0.6)/POWER((15/14),0.6))*VLOOKUP($D$24, Parser!$N$5:'Parser'!$O$24, 2, FALSE)</f>
        <v>20.697098447026178</v>
      </c>
      <c r="L18" s="252">
        <f>(1+SQRT(($B18-1))*9/100)*(POWER((L$2+6.5)/14,0.6)/POWER((15/14),0.6))*VLOOKUP($D$24, Parser!$N$5:'Parser'!$O$24, 2, FALSE)</f>
        <v>20.152381324030085</v>
      </c>
      <c r="M18" s="252">
        <f>(1+SQRT(($B18-1))*9/100)*(POWER((M$2+6.5)/14,0.6)/POWER((15/14),0.6))*VLOOKUP($D$24, Parser!$N$5:'Parser'!$O$24, 2, FALSE)</f>
        <v>19.597665497685163</v>
      </c>
      <c r="N18" s="252">
        <f>(1+SQRT(($B18-1))*9/100)*(POWER((N$2+6.5)/14,0.6)/POWER((15/14),0.6))*VLOOKUP($D$24, Parser!$N$5:'Parser'!$O$24, 2, FALSE)</f>
        <v>19.032277495803001</v>
      </c>
      <c r="O18" s="252">
        <f>(1+SQRT(($B18-1))*9/100)*(POWER((O$2+6.5)/14,0.6)/POWER((15/14),0.6))*VLOOKUP($D$24, Parser!$N$5:'Parser'!$O$24, 2, FALSE)</f>
        <v>18.455462123886107</v>
      </c>
      <c r="P18" s="252">
        <f>(1+SQRT(($B18-1))*9/100)*(POWER((P$2+6.5)/14,0.6)/POWER((15/14),0.6))*VLOOKUP($D$24, Parser!$N$5:'Parser'!$O$24, 2, FALSE)</f>
        <v>17.866367662938593</v>
      </c>
      <c r="Q18" s="252">
        <f>(1+SQRT(($B18-1))*9/100)*(POWER((Q$2+6.5)/14,0.6)/POWER((15/14),0.6))*VLOOKUP($D$24, Parser!$N$5:'Parser'!$O$24, 2, FALSE)</f>
        <v>17.264027400848217</v>
      </c>
      <c r="R18" s="252">
        <f>(1+SQRT(($B18-1))*9/100)*(POWER((R$2+6.5)/14,0.6)/POWER((15/14),0.6))*VLOOKUP($D$24, Parser!$N$5:'Parser'!$O$24, 2, FALSE)</f>
        <v>16.647336315740116</v>
      </c>
      <c r="S18" s="252">
        <f>(1+SQRT(($B18-1))*9/100)*(POWER((S$2+6.5)/14,0.6)/POWER((15/14),0.6))*VLOOKUP($D$24, Parser!$N$5:'Parser'!$O$24, 2, FALSE)</f>
        <v>16.015021249482061</v>
      </c>
      <c r="T18" s="258">
        <f>(1+SQRT(($B18-1))*9/100)*(POWER((T$2+6.5)/14,0.6)/POWER((15/14),0.6))*VLOOKUP($D$24, Parser!$N$5:'Parser'!$O$24, 2, FALSE)</f>
        <v>15.365602188188722</v>
      </c>
      <c r="U18" s="242"/>
    </row>
    <row r="19" spans="2:21">
      <c r="B19" s="232">
        <v>17</v>
      </c>
      <c r="C19" s="234"/>
      <c r="D19" s="252">
        <f>(1+SQRT(($B19-1))*9/100)*(POWER((D$2+6.5)/14,0.6)/POWER((15/14),0.6))*VLOOKUP($D$24, Parser!$N$5:'Parser'!$O$24, 2, FALSE)</f>
        <v>24.479999999999997</v>
      </c>
      <c r="E19" s="252">
        <f>(1+SQRT(($B19-1))*9/100)*(POWER((E$2+6.5)/14,0.6)/POWER((15/14),0.6))*VLOOKUP($D$24, Parser!$N$5:'Parser'!$O$24, 2, FALSE)</f>
        <v>23.987084187605245</v>
      </c>
      <c r="F19" s="252">
        <f>(1+SQRT(($B19-1))*9/100)*(POWER((F$2+6.5)/14,0.6)/POWER((15/14),0.6))*VLOOKUP($D$24, Parser!$N$5:'Parser'!$O$24, 2, FALSE)</f>
        <v>23.487320791349234</v>
      </c>
      <c r="G19" s="252">
        <f>(1+SQRT(($B19-1))*9/100)*(POWER((G$2+6.5)/14,0.6)/POWER((15/14),0.6))*VLOOKUP($D$24, Parser!$N$5:'Parser'!$O$24, 2, FALSE)</f>
        <v>22.980364829442259</v>
      </c>
      <c r="H19" s="252">
        <f>(1+SQRT(($B19-1))*9/100)*(POWER((H$2+6.5)/14,0.6)/POWER((15/14),0.6))*VLOOKUP($D$24, Parser!$N$5:'Parser'!$O$24, 2, FALSE)</f>
        <v>22.465840407502419</v>
      </c>
      <c r="I19" s="252">
        <f>(1+SQRT(($B19-1))*9/100)*(POWER((I$2+6.5)/14,0.6)/POWER((15/14),0.6))*VLOOKUP($D$24, Parser!$N$5:'Parser'!$O$24, 2, FALSE)</f>
        <v>21.943336641424434</v>
      </c>
      <c r="J19" s="252">
        <f>(1+SQRT(($B19-1))*9/100)*(POWER((J$2+6.5)/14,0.6)/POWER((15/14),0.6))*VLOOKUP($D$24, Parser!$N$5:'Parser'!$O$24, 2, FALSE)</f>
        <v>21.412402856105153</v>
      </c>
      <c r="K19" s="252">
        <f>(1+SQRT(($B19-1))*9/100)*(POWER((K$2+6.5)/14,0.6)/POWER((15/14),0.6))*VLOOKUP($D$24, Parser!$N$5:'Parser'!$O$24, 2, FALSE)</f>
        <v>20.872542895500864</v>
      </c>
      <c r="L19" s="252">
        <f>(1+SQRT(($B19-1))*9/100)*(POWER((L$2+6.5)/14,0.6)/POWER((15/14),0.6))*VLOOKUP($D$24, Parser!$N$5:'Parser'!$O$24, 2, FALSE)</f>
        <v>20.323208333231179</v>
      </c>
      <c r="M19" s="252">
        <f>(1+SQRT(($B19-1))*9/100)*(POWER((M$2+6.5)/14,0.6)/POWER((15/14),0.6))*VLOOKUP($D$24, Parser!$N$5:'Parser'!$O$24, 2, FALSE)</f>
        <v>19.763790310949833</v>
      </c>
      <c r="N19" s="252">
        <f>(1+SQRT(($B19-1))*9/100)*(POWER((N$2+6.5)/14,0.6)/POWER((15/14),0.6))*VLOOKUP($D$24, Parser!$N$5:'Parser'!$O$24, 2, FALSE)</f>
        <v>19.193609647602674</v>
      </c>
      <c r="O19" s="252">
        <f>(1+SQRT(($B19-1))*9/100)*(POWER((O$2+6.5)/14,0.6)/POWER((15/14),0.6))*VLOOKUP($D$24, Parser!$N$5:'Parser'!$O$24, 2, FALSE)</f>
        <v>18.611904747085589</v>
      </c>
      <c r="P19" s="252">
        <f>(1+SQRT(($B19-1))*9/100)*(POWER((P$2+6.5)/14,0.6)/POWER((15/14),0.6))*VLOOKUP($D$24, Parser!$N$5:'Parser'!$O$24, 2, FALSE)</f>
        <v>18.017816670580562</v>
      </c>
      <c r="Q19" s="252">
        <f>(1+SQRT(($B19-1))*9/100)*(POWER((Q$2+6.5)/14,0.6)/POWER((15/14),0.6))*VLOOKUP($D$24, Parser!$N$5:'Parser'!$O$24, 2, FALSE)</f>
        <v>17.410370511383547</v>
      </c>
      <c r="R19" s="252">
        <f>(1+SQRT(($B19-1))*9/100)*(POWER((R$2+6.5)/14,0.6)/POWER((15/14),0.6))*VLOOKUP($D$24, Parser!$N$5:'Parser'!$O$24, 2, FALSE)</f>
        <v>16.788451880608452</v>
      </c>
      <c r="S19" s="252">
        <f>(1+SQRT(($B19-1))*9/100)*(POWER((S$2+6.5)/14,0.6)/POWER((15/14),0.6))*VLOOKUP($D$24, Parser!$N$5:'Parser'!$O$24, 2, FALSE)</f>
        <v>16.150776827860224</v>
      </c>
      <c r="T19" s="258">
        <f>(1+SQRT(($B19-1))*9/100)*(POWER((T$2+6.5)/14,0.6)/POWER((15/14),0.6))*VLOOKUP($D$24, Parser!$N$5:'Parser'!$O$24, 2, FALSE)</f>
        <v>15.495852793522994</v>
      </c>
      <c r="U19" s="242"/>
    </row>
    <row r="20" spans="2:21">
      <c r="B20" s="232">
        <v>18</v>
      </c>
      <c r="C20" s="234"/>
      <c r="D20" s="252">
        <f>(1+SQRT(($B20-1))*9/100)*(POWER((D$2+6.5)/14,0.6)/POWER((15/14),0.6))*VLOOKUP($D$24, Parser!$N$5:'Parser'!$O$24, 2, FALSE)</f>
        <v>24.679431113500609</v>
      </c>
      <c r="E20" s="252">
        <f>(1+SQRT(($B20-1))*9/100)*(POWER((E$2+6.5)/14,0.6)/POWER((15/14),0.6))*VLOOKUP($D$24, Parser!$N$5:'Parser'!$O$24, 2, FALSE)</f>
        <v>24.18249966592089</v>
      </c>
      <c r="F20" s="252">
        <f>(1+SQRT(($B20-1))*9/100)*(POWER((F$2+6.5)/14,0.6)/POWER((15/14),0.6))*VLOOKUP($D$24, Parser!$N$5:'Parser'!$O$24, 2, FALSE)</f>
        <v>23.678664849297149</v>
      </c>
      <c r="G20" s="252">
        <f>(1+SQRT(($B20-1))*9/100)*(POWER((G$2+6.5)/14,0.6)/POWER((15/14),0.6))*VLOOKUP($D$24, Parser!$N$5:'Parser'!$O$24, 2, FALSE)</f>
        <v>23.167578871377962</v>
      </c>
      <c r="H20" s="252">
        <f>(1+SQRT(($B20-1))*9/100)*(POWER((H$2+6.5)/14,0.6)/POWER((15/14),0.6))*VLOOKUP($D$24, Parser!$N$5:'Parser'!$O$24, 2, FALSE)</f>
        <v>22.64886277548425</v>
      </c>
      <c r="I20" s="252">
        <f>(1+SQRT(($B20-1))*9/100)*(POWER((I$2+6.5)/14,0.6)/POWER((15/14),0.6))*VLOOKUP($D$24, Parser!$N$5:'Parser'!$O$24, 2, FALSE)</f>
        <v>22.122102330162914</v>
      </c>
      <c r="J20" s="252">
        <f>(1+SQRT(($B20-1))*9/100)*(POWER((J$2+6.5)/14,0.6)/POWER((15/14),0.6))*VLOOKUP($D$24, Parser!$N$5:'Parser'!$O$24, 2, FALSE)</f>
        <v>21.586843188797829</v>
      </c>
      <c r="K20" s="252">
        <f>(1+SQRT(($B20-1))*9/100)*(POWER((K$2+6.5)/14,0.6)/POWER((15/14),0.6))*VLOOKUP($D$24, Parser!$N$5:'Parser'!$O$24, 2, FALSE)</f>
        <v>21.042585153312917</v>
      </c>
      <c r="L20" s="252">
        <f>(1+SQRT(($B20-1))*9/100)*(POWER((L$2+6.5)/14,0.6)/POWER((15/14),0.6))*VLOOKUP($D$24, Parser!$N$5:'Parser'!$O$24, 2, FALSE)</f>
        <v>20.488775329464886</v>
      </c>
      <c r="M20" s="252">
        <f>(1+SQRT(($B20-1))*9/100)*(POWER((M$2+6.5)/14,0.6)/POWER((15/14),0.6))*VLOOKUP($D$24, Parser!$N$5:'Parser'!$O$24, 2, FALSE)</f>
        <v>19.924799898723744</v>
      </c>
      <c r="N20" s="252">
        <f>(1+SQRT(($B20-1))*9/100)*(POWER((N$2+6.5)/14,0.6)/POWER((15/14),0.6))*VLOOKUP($D$24, Parser!$N$5:'Parser'!$O$24, 2, FALSE)</f>
        <v>19.34997414695388</v>
      </c>
      <c r="O20" s="252">
        <f>(1+SQRT(($B20-1))*9/100)*(POWER((O$2+6.5)/14,0.6)/POWER((15/14),0.6))*VLOOKUP($D$24, Parser!$N$5:'Parser'!$O$24, 2, FALSE)</f>
        <v>18.76353027355939</v>
      </c>
      <c r="P20" s="252">
        <f>(1+SQRT(($B20-1))*9/100)*(POWER((P$2+6.5)/14,0.6)/POWER((15/14),0.6))*VLOOKUP($D$24, Parser!$N$5:'Parser'!$O$24, 2, FALSE)</f>
        <v>18.164602342208983</v>
      </c>
      <c r="Q20" s="252">
        <f>(1+SQRT(($B20-1))*9/100)*(POWER((Q$2+6.5)/14,0.6)/POWER((15/14),0.6))*VLOOKUP($D$24, Parser!$N$5:'Parser'!$O$24, 2, FALSE)</f>
        <v>17.552207503930255</v>
      </c>
      <c r="R20" s="252">
        <f>(1+SQRT(($B20-1))*9/100)*(POWER((R$2+6.5)/14,0.6)/POWER((15/14),0.6))*VLOOKUP($D$24, Parser!$N$5:'Parser'!$O$24, 2, FALSE)</f>
        <v>16.925222291249842</v>
      </c>
      <c r="S20" s="252">
        <f>(1+SQRT(($B20-1))*9/100)*(POWER((S$2+6.5)/14,0.6)/POWER((15/14),0.6))*VLOOKUP($D$24, Parser!$N$5:'Parser'!$O$24, 2, FALSE)</f>
        <v>16.282352293819375</v>
      </c>
      <c r="T20" s="258">
        <f>(1+SQRT(($B20-1))*9/100)*(POWER((T$2+6.5)/14,0.6)/POWER((15/14),0.6))*VLOOKUP($D$24, Parser!$N$5:'Parser'!$O$24, 2, FALSE)</f>
        <v>15.622092792593822</v>
      </c>
      <c r="U20" s="242"/>
    </row>
    <row r="21" spans="2:21" ht="13.8" thickBot="1">
      <c r="B21" s="232">
        <v>19</v>
      </c>
      <c r="C21" s="234"/>
      <c r="D21" s="252">
        <f>(1+SQRT(($B21-1))*9/100)*(POWER((D$2+6.5)/14,0.6)/POWER((15/14),0.6))*VLOOKUP($D$24, Parser!$N$5:'Parser'!$O$24, 2, FALSE)</f>
        <v>24.87307791313324</v>
      </c>
      <c r="E21" s="252">
        <f>(1+SQRT(($B21-1))*9/100)*(POWER((E$2+6.5)/14,0.6)/POWER((15/14),0.6))*VLOOKUP($D$24, Parser!$N$5:'Parser'!$O$24, 2, FALSE)</f>
        <v>24.372247300130375</v>
      </c>
      <c r="F21" s="252">
        <f>(1+SQRT(($B21-1))*9/100)*(POWER((F$2+6.5)/14,0.6)/POWER((15/14),0.6))*VLOOKUP($D$24, Parser!$N$5:'Parser'!$O$24, 2, FALSE)</f>
        <v>23.864459150898032</v>
      </c>
      <c r="G21" s="252">
        <f>(1+SQRT(($B21-1))*9/100)*(POWER((G$2+6.5)/14,0.6)/POWER((15/14),0.6))*VLOOKUP($D$24, Parser!$N$5:'Parser'!$O$24, 2, FALSE)</f>
        <v>23.349362944237917</v>
      </c>
      <c r="H21" s="252">
        <f>(1+SQRT(($B21-1))*9/100)*(POWER((H$2+6.5)/14,0.6)/POWER((15/14),0.6))*VLOOKUP($D$24, Parser!$N$5:'Parser'!$O$24, 2, FALSE)</f>
        <v>22.826576749992842</v>
      </c>
      <c r="I21" s="252">
        <f>(1+SQRT(($B21-1))*9/100)*(POWER((I$2+6.5)/14,0.6)/POWER((15/14),0.6))*VLOOKUP($D$24, Parser!$N$5:'Parser'!$O$24, 2, FALSE)</f>
        <v>22.295683086448584</v>
      </c>
      <c r="J21" s="252">
        <f>(1+SQRT(($B21-1))*9/100)*(POWER((J$2+6.5)/14,0.6)/POWER((15/14),0.6))*VLOOKUP($D$24, Parser!$N$5:'Parser'!$O$24, 2, FALSE)</f>
        <v>21.756224041964877</v>
      </c>
      <c r="K21" s="252">
        <f>(1+SQRT(($B21-1))*9/100)*(POWER((K$2+6.5)/14,0.6)/POWER((15/14),0.6))*VLOOKUP($D$24, Parser!$N$5:'Parser'!$O$24, 2, FALSE)</f>
        <v>21.207695493668655</v>
      </c>
      <c r="L21" s="252">
        <f>(1+SQRT(($B21-1))*9/100)*(POWER((L$2+6.5)/14,0.6)/POWER((15/14),0.6))*VLOOKUP($D$24, Parser!$N$5:'Parser'!$O$24, 2, FALSE)</f>
        <v>20.649540209039944</v>
      </c>
      <c r="M21" s="252">
        <f>(1+SQRT(($B21-1))*9/100)*(POWER((M$2+6.5)/14,0.6)/POWER((15/14),0.6))*VLOOKUP($D$24, Parser!$N$5:'Parser'!$O$24, 2, FALSE)</f>
        <v>20.081139553230521</v>
      </c>
      <c r="N21" s="252">
        <f>(1+SQRT(($B21-1))*9/100)*(POWER((N$2+6.5)/14,0.6)/POWER((15/14),0.6))*VLOOKUP($D$24, Parser!$N$5:'Parser'!$O$24, 2, FALSE)</f>
        <v>19.501803439505196</v>
      </c>
      <c r="O21" s="252">
        <f>(1+SQRT(($B21-1))*9/100)*(POWER((O$2+6.5)/14,0.6)/POWER((15/14),0.6))*VLOOKUP($D$24, Parser!$N$5:'Parser'!$O$24, 2, FALSE)</f>
        <v>18.910758042731793</v>
      </c>
      <c r="P21" s="252">
        <f>(1+SQRT(($B21-1))*9/100)*(POWER((P$2+6.5)/14,0.6)/POWER((15/14),0.6))*VLOOKUP($D$24, Parser!$N$5:'Parser'!$O$24, 2, FALSE)</f>
        <v>18.307130632022108</v>
      </c>
      <c r="Q21" s="252">
        <f>(1+SQRT(($B21-1))*9/100)*(POWER((Q$2+6.5)/14,0.6)/POWER((15/14),0.6))*VLOOKUP($D$24, Parser!$N$5:'Parser'!$O$24, 2, FALSE)</f>
        <v>17.68993064649348</v>
      </c>
      <c r="R21" s="252">
        <f>(1+SQRT(($B21-1))*9/100)*(POWER((R$2+6.5)/14,0.6)/POWER((15/14),0.6))*VLOOKUP($D$24, Parser!$N$5:'Parser'!$O$24, 2, FALSE)</f>
        <v>17.05802580340124</v>
      </c>
      <c r="S21" s="252">
        <f>(1+SQRT(($B21-1))*9/100)*(POWER((S$2+6.5)/14,0.6)/POWER((15/14),0.6))*VLOOKUP($D$24, Parser!$N$5:'Parser'!$O$24, 2, FALSE)</f>
        <v>16.410111535824928</v>
      </c>
      <c r="T21" s="258">
        <f>(1+SQRT(($B21-1))*9/100)*(POWER((T$2+6.5)/14,0.6)/POWER((15/14),0.6))*VLOOKUP($D$24, Parser!$N$5:'Parser'!$O$24, 2, FALSE)</f>
        <v>15.74467131796327</v>
      </c>
      <c r="U21" s="242"/>
    </row>
    <row r="22" spans="2:21" ht="13.8" thickBot="1">
      <c r="B22" s="232">
        <v>20</v>
      </c>
      <c r="C22" s="234"/>
      <c r="D22" s="259">
        <f>(1+SQRT(($B22-1))*9/100)*(POWER((D$2+6.5)/14,0.6)/POWER((15/14),0.6))*VLOOKUP($D$24, Parser!$N$5:'Parser'!$O$24, 2, FALSE)</f>
        <v>25.061416288535888</v>
      </c>
      <c r="E22" s="259">
        <f>(1+SQRT(($B22-1))*9/100)*(POWER((E$2+6.5)/14,0.6)/POWER((15/14),0.6))*VLOOKUP($D$24, Parser!$N$5:'Parser'!$O$24, 2, FALSE)</f>
        <v>24.556793397619764</v>
      </c>
      <c r="F22" s="259">
        <f>(1+SQRT(($B22-1))*9/100)*(POWER((F$2+6.5)/14,0.6)/POWER((15/14),0.6))*VLOOKUP($D$24, Parser!$N$5:'Parser'!$O$24, 2, FALSE)</f>
        <v>24.045160288169424</v>
      </c>
      <c r="G22" s="259">
        <f>(1+SQRT(($B22-1))*9/100)*(POWER((G$2+6.5)/14,0.6)/POWER((15/14),0.6))*VLOOKUP($D$24, Parser!$N$5:'Parser'!$O$24, 2, FALSE)</f>
        <v>23.526163784848102</v>
      </c>
      <c r="H22" s="259">
        <f>(1+SQRT(($B22-1))*9/100)*(POWER((H$2+6.5)/14,0.6)/POWER((15/14),0.6))*VLOOKUP($D$24, Parser!$N$5:'Parser'!$O$24, 2, FALSE)</f>
        <v>22.999419065532226</v>
      </c>
      <c r="I22" s="259">
        <f>(1+SQRT(($B22-1))*9/100)*(POWER((I$2+6.5)/14,0.6)/POWER((15/14),0.6))*VLOOKUP($D$24, Parser!$N$5:'Parser'!$O$24, 2, FALSE)</f>
        <v>22.464505487345619</v>
      </c>
      <c r="J22" s="259">
        <f>(1+SQRT(($B22-1))*9/100)*(POWER((J$2+6.5)/14,0.6)/POWER((15/14),0.6))*VLOOKUP($D$24, Parser!$N$5:'Parser'!$O$24, 2, FALSE)</f>
        <v>21.920961671351559</v>
      </c>
      <c r="K22" s="259">
        <f>(1+SQRT(($B22-1))*9/100)*(POWER((K$2+6.5)/14,0.6)/POWER((15/14),0.6))*VLOOKUP($D$24, Parser!$N$5:'Parser'!$O$24, 2, FALSE)</f>
        <v>21.368279677470156</v>
      </c>
      <c r="L22" s="259">
        <f>(1+SQRT(($B22-1))*9/100)*(POWER((L$2+6.5)/14,0.6)/POWER((15/14),0.6))*VLOOKUP($D$24, Parser!$N$5:'Parser'!$O$24, 2, FALSE)</f>
        <v>20.805898053829583</v>
      </c>
      <c r="M22" s="259">
        <f>(1+SQRT(($B22-1))*9/100)*(POWER((M$2+6.5)/14,0.6)/POWER((15/14),0.6))*VLOOKUP($D$24, Parser!$N$5:'Parser'!$O$24, 2, FALSE)</f>
        <v>20.233193481292727</v>
      </c>
      <c r="N22" s="259">
        <f>(1+SQRT(($B22-1))*9/100)*(POWER((N$2+6.5)/14,0.6)/POWER((15/14),0.6))*VLOOKUP($D$24, Parser!$N$5:'Parser'!$O$24, 2, FALSE)</f>
        <v>19.649470647803486</v>
      </c>
      <c r="O22" s="259">
        <f>(1+SQRT(($B22-1))*9/100)*(POWER((O$2+6.5)/14,0.6)/POWER((15/14),0.6))*VLOOKUP($D$24, Parser!$N$5:'Parser'!$O$24, 2, FALSE)</f>
        <v>19.053949868843517</v>
      </c>
      <c r="P22" s="259">
        <f>(1+SQRT(($B22-1))*9/100)*(POWER((P$2+6.5)/14,0.6)/POWER((15/14),0.6))*VLOOKUP($D$24, Parser!$N$5:'Parser'!$O$24, 2, FALSE)</f>
        <v>18.445751805226354</v>
      </c>
      <c r="Q22" s="259">
        <f>(1+SQRT(($B22-1))*9/100)*(POWER((Q$2+6.5)/14,0.6)/POWER((15/14),0.6))*VLOOKUP($D$24, Parser!$N$5:'Parser'!$O$24, 2, FALSE)</f>
        <v>17.823878395565053</v>
      </c>
      <c r="R22" s="259">
        <f>(1+SQRT(($B22-1))*9/100)*(POWER((R$2+6.5)/14,0.6)/POWER((15/14),0.6))*VLOOKUP($D$24, Parser!$N$5:'Parser'!$O$24, 2, FALSE)</f>
        <v>17.187188783495984</v>
      </c>
      <c r="S22" s="259">
        <f>(1+SQRT(($B22-1))*9/100)*(POWER((S$2+6.5)/14,0.6)/POWER((15/14),0.6))*VLOOKUP($D$24, Parser!$N$5:'Parser'!$O$24, 2, FALSE)</f>
        <v>16.534368523947887</v>
      </c>
      <c r="T22" s="260">
        <f>(1+SQRT(($B22-1))*9/100)*(POWER((T$2+6.5)/14,0.6)/POWER((15/14),0.6))*VLOOKUP($D$24, Parser!$N$5:'Parser'!$O$24, 2, FALSE)</f>
        <v>15.863889608020898</v>
      </c>
      <c r="U22" s="242"/>
    </row>
    <row r="23" spans="2:21">
      <c r="B23" s="243"/>
      <c r="U23" s="242"/>
    </row>
    <row r="24" spans="2:21">
      <c r="B24" s="244" t="s">
        <v>594</v>
      </c>
      <c r="D24" s="238" t="s">
        <v>595</v>
      </c>
      <c r="E24" s="239"/>
      <c r="U24" s="242"/>
    </row>
    <row r="25" spans="2:21" ht="13.8" thickBot="1">
      <c r="B25" s="245"/>
      <c r="C25" s="246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8"/>
    </row>
  </sheetData>
  <conditionalFormatting sqref="D3:T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AJ72"/>
  <sheetViews>
    <sheetView zoomScale="85" zoomScaleNormal="85" workbookViewId="0">
      <selection activeCell="D20" sqref="D2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23" width="8.88671875" style="236"/>
    <col min="24" max="26" width="8.88671875" style="191"/>
    <col min="27" max="29" width="8.88671875" style="236"/>
    <col min="30" max="30" width="6.5546875" style="236" bestFit="1" customWidth="1"/>
    <col min="31" max="31" width="11" style="236" bestFit="1" customWidth="1"/>
    <col min="32" max="32" width="12.5546875" style="236" bestFit="1" customWidth="1"/>
    <col min="33" max="33" width="9.21875" style="236" bestFit="1" customWidth="1"/>
    <col min="34" max="34" width="12.109375" style="236" bestFit="1" customWidth="1"/>
    <col min="35" max="35" width="15" style="236" bestFit="1" customWidth="1"/>
    <col min="36" max="36" width="3.77734375" style="236" bestFit="1" customWidth="1"/>
    <col min="37" max="16384" width="8.88671875" style="236"/>
  </cols>
  <sheetData>
    <row r="1" spans="2:36" ht="13.8" thickBot="1">
      <c r="B1" s="237" t="s">
        <v>597</v>
      </c>
      <c r="AD1" s="238" t="s">
        <v>577</v>
      </c>
    </row>
    <row r="2" spans="2:36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  <c r="X2" s="239" t="s">
        <v>180</v>
      </c>
      <c r="Y2" s="239" t="s">
        <v>582</v>
      </c>
      <c r="Z2" s="239" t="s">
        <v>583</v>
      </c>
      <c r="AA2" s="238" t="s">
        <v>598</v>
      </c>
      <c r="AB2" s="238" t="s">
        <v>599</v>
      </c>
      <c r="AD2" s="238" t="s">
        <v>576</v>
      </c>
      <c r="AE2" s="236" t="str">
        <f>CONCATENATE("[th]",X2,"[/th]")</f>
        <v>[th]Rutin[/th]</v>
      </c>
      <c r="AF2" s="236" t="str">
        <f t="shared" ref="AF2:AI2" si="0">CONCATENATE("[th]",Y2,"[/th]")</f>
        <v>[th]Classic[/th]</v>
      </c>
      <c r="AG2" s="236" t="str">
        <f t="shared" si="0"/>
        <v>[th]HO[/th]</v>
      </c>
      <c r="AH2" s="236" t="str">
        <f t="shared" si="0"/>
        <v>[th]Additiv[/th]</v>
      </c>
      <c r="AI2" s="236" t="str">
        <f t="shared" si="0"/>
        <v>[th]Add @ 18[/th]</v>
      </c>
      <c r="AJ2" s="238" t="s">
        <v>578</v>
      </c>
    </row>
    <row r="3" spans="2:36">
      <c r="B3" s="232">
        <v>1</v>
      </c>
      <c r="C3" s="234"/>
      <c r="D3" s="261">
        <f>(1+SQRT(($B3-1))*9/100)*(POWER((D$2+6.5)/14,0.6)/POWER((15/14),0.6))</f>
        <v>1</v>
      </c>
      <c r="E3" s="261">
        <f t="shared" ref="E3:T18" si="1">(1+SQRT(($B3-1))*9/100)*(POWER((E$2+6.5)/14,0.6)/POWER((15/14),0.6))</f>
        <v>0.97986455014727314</v>
      </c>
      <c r="F3" s="261">
        <f t="shared" si="1"/>
        <v>0.95944937873158653</v>
      </c>
      <c r="G3" s="261">
        <f t="shared" si="1"/>
        <v>0.93874039335956949</v>
      </c>
      <c r="H3" s="261">
        <f t="shared" si="1"/>
        <v>0.91772223886856297</v>
      </c>
      <c r="I3" s="261">
        <f t="shared" si="1"/>
        <v>0.8963781307771419</v>
      </c>
      <c r="J3" s="261">
        <f t="shared" si="1"/>
        <v>0.87468965915462238</v>
      </c>
      <c r="K3" s="261">
        <f t="shared" si="1"/>
        <v>0.85263655618876089</v>
      </c>
      <c r="L3" s="261">
        <f t="shared" si="1"/>
        <v>0.83019641884114292</v>
      </c>
      <c r="M3" s="261">
        <f t="shared" si="1"/>
        <v>0.8073443754472972</v>
      </c>
      <c r="N3" s="261">
        <f t="shared" si="1"/>
        <v>0.78405268168311582</v>
      </c>
      <c r="O3" s="261">
        <f t="shared" si="1"/>
        <v>0.76029022659663359</v>
      </c>
      <c r="P3" s="261">
        <f t="shared" si="1"/>
        <v>0.73602192281783341</v>
      </c>
      <c r="Q3" s="261">
        <f t="shared" si="1"/>
        <v>0.71120794572645207</v>
      </c>
      <c r="R3" s="261">
        <f t="shared" si="1"/>
        <v>0.68580277290067215</v>
      </c>
      <c r="S3" s="261">
        <f t="shared" si="1"/>
        <v>0.6597539553864471</v>
      </c>
      <c r="T3" s="262">
        <f t="shared" si="1"/>
        <v>0.63300052261123352</v>
      </c>
      <c r="U3" s="242"/>
      <c r="X3" s="191">
        <v>1</v>
      </c>
      <c r="Y3" s="268">
        <f>(1+SQRT((X3-1))*9/100)</f>
        <v>1</v>
      </c>
      <c r="Z3" s="268">
        <f>(1+0.07161*SQRT((X3-1)))</f>
        <v>1</v>
      </c>
      <c r="AA3" s="236" t="str">
        <f>CONCATENATE("+",TEXT(100*(4/3*LOG(X3)),"0,0"),"%")</f>
        <v>+0,0%</v>
      </c>
      <c r="AB3" s="268">
        <f t="shared" ref="AB3:AB21" si="2">(18+(4/3*LOG(X3)))/18</f>
        <v>1</v>
      </c>
      <c r="AD3" s="238" t="s">
        <v>576</v>
      </c>
      <c r="AE3" s="236" t="str">
        <f>CONCATENATE("[td]",X3,"[/td]")</f>
        <v>[td]1[/td]</v>
      </c>
      <c r="AF3" s="236" t="str">
        <f>CONCATENATE("[td]",TEXT(Y3,"0%"),"[/td]")</f>
        <v>[td]100%[/td]</v>
      </c>
      <c r="AG3" s="236" t="str">
        <f t="shared" ref="AG3:AI18" si="3">CONCATENATE("[td]",TEXT(Z3,"0%"),"[/td]")</f>
        <v>[td]100%[/td]</v>
      </c>
      <c r="AH3" s="236" t="str">
        <f>CONCATENATE("[td]",AA3,"[/td]")</f>
        <v>[td]+0,0%[/td]</v>
      </c>
      <c r="AI3" s="236" t="str">
        <f t="shared" si="3"/>
        <v>[td]100%[/td]</v>
      </c>
      <c r="AJ3" s="238" t="s">
        <v>578</v>
      </c>
    </row>
    <row r="4" spans="2:36">
      <c r="B4" s="232">
        <v>2</v>
      </c>
      <c r="C4" s="234"/>
      <c r="D4" s="263">
        <f t="shared" ref="D4:S22" si="4">(1+SQRT(($B4-1))*9/100)*(POWER((D$2+6.5)/14,0.6)/POWER((15/14),0.6))</f>
        <v>1.0900000000000001</v>
      </c>
      <c r="E4" s="263">
        <f t="shared" si="4"/>
        <v>1.0680523596605278</v>
      </c>
      <c r="F4" s="263">
        <f t="shared" si="4"/>
        <v>1.0457998228174294</v>
      </c>
      <c r="G4" s="263">
        <f t="shared" si="4"/>
        <v>1.0232270287619307</v>
      </c>
      <c r="H4" s="263">
        <f t="shared" si="4"/>
        <v>1.0003172403667338</v>
      </c>
      <c r="I4" s="263">
        <f t="shared" si="4"/>
        <v>0.97705216254708471</v>
      </c>
      <c r="J4" s="263">
        <f t="shared" si="4"/>
        <v>0.9534117284785385</v>
      </c>
      <c r="K4" s="263">
        <f t="shared" si="4"/>
        <v>0.92937384624574948</v>
      </c>
      <c r="L4" s="263">
        <f t="shared" si="4"/>
        <v>0.90491409653684585</v>
      </c>
      <c r="M4" s="263">
        <f t="shared" si="4"/>
        <v>0.88000536923755401</v>
      </c>
      <c r="N4" s="263">
        <f t="shared" si="4"/>
        <v>0.85461742303459631</v>
      </c>
      <c r="O4" s="263">
        <f t="shared" si="4"/>
        <v>0.8287163469903307</v>
      </c>
      <c r="P4" s="263">
        <f t="shared" si="4"/>
        <v>0.80226389587143843</v>
      </c>
      <c r="Q4" s="263">
        <f t="shared" si="4"/>
        <v>0.77521666084183283</v>
      </c>
      <c r="R4" s="263">
        <f t="shared" si="4"/>
        <v>0.74752502246173269</v>
      </c>
      <c r="S4" s="263">
        <f t="shared" si="4"/>
        <v>0.71913181137122739</v>
      </c>
      <c r="T4" s="264">
        <f t="shared" si="1"/>
        <v>0.68997056964624459</v>
      </c>
      <c r="U4" s="242"/>
      <c r="X4" s="191">
        <v>2</v>
      </c>
      <c r="Y4" s="268">
        <f t="shared" ref="Y4:Y22" si="5">(1+SQRT((X4-1))*9/100)</f>
        <v>1.0900000000000001</v>
      </c>
      <c r="Z4" s="268">
        <f t="shared" ref="Z4:Z22" si="6">(1+0.07161*SQRT((X4-1)))</f>
        <v>1.07161</v>
      </c>
      <c r="AA4" s="236" t="str">
        <f>CONCATENATE("+",TEXT(100*(4/3*LOG(X4)),"0,0"),"%")</f>
        <v>+40,1%</v>
      </c>
      <c r="AB4" s="268">
        <f t="shared" si="2"/>
        <v>1.0222985181973321</v>
      </c>
      <c r="AD4" s="238" t="s">
        <v>576</v>
      </c>
      <c r="AE4" s="236" t="str">
        <f t="shared" ref="AE4:AE22" si="7">CONCATENATE("[td]",X4,"[/td]")</f>
        <v>[td]2[/td]</v>
      </c>
      <c r="AF4" s="236" t="str">
        <f t="shared" ref="AF4:AF22" si="8">CONCATENATE("[td]",TEXT(Y4,"0%"),"[/td]")</f>
        <v>[td]109%[/td]</v>
      </c>
      <c r="AG4" s="236" t="str">
        <f t="shared" si="3"/>
        <v>[td]107%[/td]</v>
      </c>
      <c r="AH4" s="236" t="str">
        <f t="shared" ref="AH4:AH22" si="9">CONCATENATE("[td]",AA4,"[/td]")</f>
        <v>[td]+40,1%[/td]</v>
      </c>
      <c r="AI4" s="236" t="str">
        <f t="shared" si="3"/>
        <v>[td]102%[/td]</v>
      </c>
      <c r="AJ4" s="238" t="s">
        <v>578</v>
      </c>
    </row>
    <row r="5" spans="2:36">
      <c r="B5" s="232">
        <v>3</v>
      </c>
      <c r="C5" s="234"/>
      <c r="D5" s="263">
        <f t="shared" si="4"/>
        <v>1.1272792206135787</v>
      </c>
      <c r="E5" s="263">
        <f t="shared" si="1"/>
        <v>1.104580946396893</v>
      </c>
      <c r="F5" s="263">
        <f t="shared" si="1"/>
        <v>1.0815673478747252</v>
      </c>
      <c r="G5" s="263">
        <f t="shared" si="1"/>
        <v>1.0582225389848599</v>
      </c>
      <c r="H5" s="263">
        <f t="shared" si="1"/>
        <v>1.0345292101715022</v>
      </c>
      <c r="I5" s="263">
        <f t="shared" si="1"/>
        <v>1.0104684406375131</v>
      </c>
      <c r="J5" s="263">
        <f t="shared" si="1"/>
        <v>0.98601947725057948</v>
      </c>
      <c r="K5" s="263">
        <f t="shared" si="1"/>
        <v>0.96115947252711209</v>
      </c>
      <c r="L5" s="263">
        <f t="shared" si="1"/>
        <v>0.93586317198742774</v>
      </c>
      <c r="M5" s="263">
        <f t="shared" si="1"/>
        <v>0.91010253832098564</v>
      </c>
      <c r="N5" s="263">
        <f t="shared" si="1"/>
        <v>0.88384629592772912</v>
      </c>
      <c r="O5" s="263">
        <f t="shared" si="1"/>
        <v>0.85705937407797428</v>
      </c>
      <c r="P5" s="263">
        <f t="shared" si="1"/>
        <v>0.8297022195085948</v>
      </c>
      <c r="Q5" s="263">
        <f t="shared" si="1"/>
        <v>0.80172993875269927</v>
      </c>
      <c r="R5" s="263">
        <f t="shared" si="1"/>
        <v>0.77309121533010083</v>
      </c>
      <c r="S5" s="263">
        <f t="shared" si="1"/>
        <v>0.74372692462475987</v>
      </c>
      <c r="T5" s="264">
        <f t="shared" si="1"/>
        <v>0.71356833577717926</v>
      </c>
      <c r="U5" s="242"/>
      <c r="X5" s="191">
        <v>3</v>
      </c>
      <c r="Y5" s="268">
        <f t="shared" si="5"/>
        <v>1.1272792206135787</v>
      </c>
      <c r="Z5" s="268">
        <f t="shared" si="6"/>
        <v>1.1012718332015374</v>
      </c>
      <c r="AA5" s="236" t="str">
        <f t="shared" ref="AA5:AA22" si="10">CONCATENATE("+",TEXT(100*(4/3*LOG(X5)),"0,0"),"%")</f>
        <v>+63,6%</v>
      </c>
      <c r="AB5" s="268">
        <f t="shared" si="2"/>
        <v>1.0353423151644194</v>
      </c>
      <c r="AD5" s="238" t="s">
        <v>576</v>
      </c>
      <c r="AE5" s="236" t="str">
        <f t="shared" si="7"/>
        <v>[td]3[/td]</v>
      </c>
      <c r="AF5" s="236" t="str">
        <f t="shared" si="8"/>
        <v>[td]113%[/td]</v>
      </c>
      <c r="AG5" s="236" t="str">
        <f t="shared" si="3"/>
        <v>[td]110%[/td]</v>
      </c>
      <c r="AH5" s="236" t="str">
        <f t="shared" si="9"/>
        <v>[td]+63,6%[/td]</v>
      </c>
      <c r="AI5" s="236" t="str">
        <f t="shared" si="3"/>
        <v>[td]104%[/td]</v>
      </c>
      <c r="AJ5" s="238" t="s">
        <v>578</v>
      </c>
    </row>
    <row r="6" spans="2:36">
      <c r="B6" s="232">
        <v>4</v>
      </c>
      <c r="C6" s="234"/>
      <c r="D6" s="263">
        <f t="shared" si="4"/>
        <v>1.1558845726811988</v>
      </c>
      <c r="E6" s="263">
        <f t="shared" si="1"/>
        <v>1.132610316832436</v>
      </c>
      <c r="F6" s="263">
        <f t="shared" si="1"/>
        <v>1.1090127351444017</v>
      </c>
      <c r="G6" s="263">
        <f t="shared" si="1"/>
        <v>1.0850755384370065</v>
      </c>
      <c r="H6" s="263">
        <f t="shared" si="1"/>
        <v>1.060780977914622</v>
      </c>
      <c r="I6" s="263">
        <f t="shared" si="1"/>
        <v>1.0361096526541085</v>
      </c>
      <c r="J6" s="263">
        <f t="shared" si="1"/>
        <v>1.0110402829006042</v>
      </c>
      <c r="K6" s="263">
        <f t="shared" si="1"/>
        <v>0.9855494414026148</v>
      </c>
      <c r="L6" s="263">
        <f t="shared" si="1"/>
        <v>0.95961123283365601</v>
      </c>
      <c r="M6" s="263">
        <f t="shared" si="1"/>
        <v>0.93319690842046843</v>
      </c>
      <c r="N6" s="263">
        <f t="shared" si="1"/>
        <v>0.90627439892683637</v>
      </c>
      <c r="O6" s="263">
        <f t="shared" si="1"/>
        <v>0.87880774368334169</v>
      </c>
      <c r="P6" s="263">
        <f t="shared" si="1"/>
        <v>0.85075638574028567</v>
      </c>
      <c r="Q6" s="263">
        <f t="shared" si="1"/>
        <v>0.82207429243349328</v>
      </c>
      <c r="R6" s="263">
        <f t="shared" si="1"/>
        <v>0.79270884509787465</v>
      </c>
      <c r="S6" s="263">
        <f t="shared" si="1"/>
        <v>0.7625994187965941</v>
      </c>
      <c r="T6" s="264">
        <f t="shared" si="1"/>
        <v>0.73167553858546119</v>
      </c>
      <c r="U6" s="242"/>
      <c r="X6" s="191">
        <v>4</v>
      </c>
      <c r="Y6" s="268">
        <f t="shared" si="5"/>
        <v>1.1558845726811988</v>
      </c>
      <c r="Z6" s="268">
        <f t="shared" si="6"/>
        <v>1.1240321583300072</v>
      </c>
      <c r="AA6" s="236" t="str">
        <f t="shared" si="10"/>
        <v>+80,3%</v>
      </c>
      <c r="AB6" s="268">
        <f t="shared" si="2"/>
        <v>1.0445970363946637</v>
      </c>
      <c r="AD6" s="238" t="s">
        <v>576</v>
      </c>
      <c r="AE6" s="236" t="str">
        <f t="shared" si="7"/>
        <v>[td]4[/td]</v>
      </c>
      <c r="AF6" s="236" t="str">
        <f t="shared" si="8"/>
        <v>[td]116%[/td]</v>
      </c>
      <c r="AG6" s="236" t="str">
        <f t="shared" si="3"/>
        <v>[td]112%[/td]</v>
      </c>
      <c r="AH6" s="236" t="str">
        <f t="shared" si="9"/>
        <v>[td]+80,3%[/td]</v>
      </c>
      <c r="AI6" s="236" t="str">
        <f t="shared" si="3"/>
        <v>[td]104%[/td]</v>
      </c>
      <c r="AJ6" s="238" t="s">
        <v>578</v>
      </c>
    </row>
    <row r="7" spans="2:36">
      <c r="B7" s="232">
        <v>5</v>
      </c>
      <c r="C7" s="234"/>
      <c r="D7" s="263">
        <f t="shared" si="4"/>
        <v>1.18</v>
      </c>
      <c r="E7" s="263">
        <f t="shared" si="1"/>
        <v>1.1562401691737823</v>
      </c>
      <c r="F7" s="263">
        <f t="shared" si="1"/>
        <v>1.1321502669032721</v>
      </c>
      <c r="G7" s="263">
        <f t="shared" si="1"/>
        <v>1.107713664164292</v>
      </c>
      <c r="H7" s="263">
        <f t="shared" si="1"/>
        <v>1.0829122418649042</v>
      </c>
      <c r="I7" s="263">
        <f t="shared" si="1"/>
        <v>1.0577261943170273</v>
      </c>
      <c r="J7" s="263">
        <f t="shared" si="1"/>
        <v>1.0321337978024543</v>
      </c>
      <c r="K7" s="263">
        <f t="shared" si="1"/>
        <v>1.0061111363027377</v>
      </c>
      <c r="L7" s="263">
        <f t="shared" si="1"/>
        <v>0.97963177423254855</v>
      </c>
      <c r="M7" s="263">
        <f t="shared" si="1"/>
        <v>0.9526663630278106</v>
      </c>
      <c r="N7" s="263">
        <f t="shared" si="1"/>
        <v>0.92518216438607659</v>
      </c>
      <c r="O7" s="263">
        <f t="shared" si="1"/>
        <v>0.89714246738402759</v>
      </c>
      <c r="P7" s="263">
        <f t="shared" si="1"/>
        <v>0.86850586892504333</v>
      </c>
      <c r="Q7" s="263">
        <f t="shared" si="1"/>
        <v>0.83922537595721336</v>
      </c>
      <c r="R7" s="263">
        <f t="shared" si="1"/>
        <v>0.80924727202279312</v>
      </c>
      <c r="S7" s="263">
        <f t="shared" si="1"/>
        <v>0.77850966735600757</v>
      </c>
      <c r="T7" s="264">
        <f t="shared" si="1"/>
        <v>0.74694061668125555</v>
      </c>
      <c r="U7" s="242"/>
      <c r="X7" s="191">
        <v>5</v>
      </c>
      <c r="Y7" s="268">
        <f t="shared" si="5"/>
        <v>1.18</v>
      </c>
      <c r="Z7" s="268">
        <f t="shared" si="6"/>
        <v>1.1432199999999999</v>
      </c>
      <c r="AA7" s="236" t="str">
        <f t="shared" si="10"/>
        <v>+93,2%</v>
      </c>
      <c r="AB7" s="268">
        <f t="shared" si="2"/>
        <v>1.0517755558767421</v>
      </c>
      <c r="AD7" s="238" t="s">
        <v>576</v>
      </c>
      <c r="AE7" s="236" t="str">
        <f t="shared" si="7"/>
        <v>[td]5[/td]</v>
      </c>
      <c r="AF7" s="236" t="str">
        <f t="shared" si="8"/>
        <v>[td]118%[/td]</v>
      </c>
      <c r="AG7" s="236" t="str">
        <f t="shared" si="3"/>
        <v>[td]114%[/td]</v>
      </c>
      <c r="AH7" s="236" t="str">
        <f t="shared" si="9"/>
        <v>[td]+93,2%[/td]</v>
      </c>
      <c r="AI7" s="236" t="str">
        <f t="shared" si="3"/>
        <v>[td]105%[/td]</v>
      </c>
      <c r="AJ7" s="238" t="s">
        <v>578</v>
      </c>
    </row>
    <row r="8" spans="2:36">
      <c r="B8" s="232">
        <v>6</v>
      </c>
      <c r="C8" s="234"/>
      <c r="D8" s="263">
        <f t="shared" si="4"/>
        <v>1.2012461179749812</v>
      </c>
      <c r="E8" s="263">
        <f t="shared" si="1"/>
        <v>1.177058487005713</v>
      </c>
      <c r="F8" s="263">
        <f t="shared" si="1"/>
        <v>1.1525348415948258</v>
      </c>
      <c r="G8" s="263">
        <f t="shared" si="1"/>
        <v>1.1276582533094897</v>
      </c>
      <c r="H8" s="263">
        <f t="shared" si="1"/>
        <v>1.1024102768201696</v>
      </c>
      <c r="I8" s="263">
        <f t="shared" si="1"/>
        <v>1.0767707498337118</v>
      </c>
      <c r="J8" s="263">
        <f t="shared" si="1"/>
        <v>1.0507175574923495</v>
      </c>
      <c r="K8" s="263">
        <f t="shared" si="1"/>
        <v>1.024226353165306</v>
      </c>
      <c r="L8" s="263">
        <f t="shared" si="1"/>
        <v>0.99727022528965448</v>
      </c>
      <c r="M8" s="263">
        <f t="shared" si="1"/>
        <v>0.96981929687500146</v>
      </c>
      <c r="N8" s="263">
        <f t="shared" si="1"/>
        <v>0.94184024015971646</v>
      </c>
      <c r="O8" s="263">
        <f t="shared" si="1"/>
        <v>0.91329568323352484</v>
      </c>
      <c r="P8" s="263">
        <f t="shared" si="1"/>
        <v>0.88414347752940359</v>
      </c>
      <c r="Q8" s="263">
        <f t="shared" si="1"/>
        <v>0.8543357838768616</v>
      </c>
      <c r="R8" s="263">
        <f t="shared" si="1"/>
        <v>0.82381791864341003</v>
      </c>
      <c r="S8" s="263">
        <f t="shared" si="1"/>
        <v>0.79252687772660846</v>
      </c>
      <c r="T8" s="264">
        <f t="shared" si="1"/>
        <v>0.7603894204628785</v>
      </c>
      <c r="U8" s="242"/>
      <c r="X8" s="191">
        <v>6</v>
      </c>
      <c r="Y8" s="268">
        <f t="shared" si="5"/>
        <v>1.2012461179749812</v>
      </c>
      <c r="Z8" s="268">
        <f t="shared" si="6"/>
        <v>1.1601248278687599</v>
      </c>
      <c r="AA8" s="236" t="str">
        <f t="shared" si="10"/>
        <v>+103,8%</v>
      </c>
      <c r="AB8" s="268">
        <f t="shared" si="2"/>
        <v>1.0576408333617513</v>
      </c>
      <c r="AD8" s="238" t="s">
        <v>576</v>
      </c>
      <c r="AE8" s="236" t="str">
        <f t="shared" si="7"/>
        <v>[td]6[/td]</v>
      </c>
      <c r="AF8" s="236" t="str">
        <f t="shared" si="8"/>
        <v>[td]120%[/td]</v>
      </c>
      <c r="AG8" s="236" t="str">
        <f t="shared" si="3"/>
        <v>[td]116%[/td]</v>
      </c>
      <c r="AH8" s="236" t="str">
        <f t="shared" si="9"/>
        <v>[td]+103,8%[/td]</v>
      </c>
      <c r="AI8" s="236" t="str">
        <f t="shared" si="3"/>
        <v>[td]106%[/td]</v>
      </c>
      <c r="AJ8" s="238" t="s">
        <v>578</v>
      </c>
    </row>
    <row r="9" spans="2:36" ht="13.8" thickBot="1">
      <c r="B9" s="232">
        <v>7</v>
      </c>
      <c r="C9" s="234"/>
      <c r="D9" s="263">
        <f t="shared" si="4"/>
        <v>1.2204540768504861</v>
      </c>
      <c r="E9" s="263">
        <f t="shared" si="1"/>
        <v>1.1958796849885072</v>
      </c>
      <c r="F9" s="263">
        <f t="shared" si="1"/>
        <v>1.1709639058046308</v>
      </c>
      <c r="G9" s="263">
        <f t="shared" si="1"/>
        <v>1.1456895401799156</v>
      </c>
      <c r="H9" s="263">
        <f t="shared" si="1"/>
        <v>1.1200378478434934</v>
      </c>
      <c r="I9" s="263">
        <f t="shared" si="1"/>
        <v>1.093988344106581</v>
      </c>
      <c r="J9" s="263">
        <f t="shared" si="1"/>
        <v>1.067518560494221</v>
      </c>
      <c r="K9" s="263">
        <f t="shared" si="1"/>
        <v>1.0406037610723318</v>
      </c>
      <c r="L9" s="263">
        <f t="shared" si="1"/>
        <v>1.0132166039613466</v>
      </c>
      <c r="M9" s="263">
        <f t="shared" si="1"/>
        <v>0.98532673443696339</v>
      </c>
      <c r="N9" s="263">
        <f t="shared" si="1"/>
        <v>0.95690029182571512</v>
      </c>
      <c r="O9" s="263">
        <f t="shared" si="1"/>
        <v>0.92789930663944131</v>
      </c>
      <c r="P9" s="263">
        <f t="shared" si="1"/>
        <v>0.89828095635435867</v>
      </c>
      <c r="Q9" s="263">
        <f t="shared" si="1"/>
        <v>0.8679966368503077</v>
      </c>
      <c r="R9" s="263">
        <f t="shared" si="1"/>
        <v>0.8369907901019934</v>
      </c>
      <c r="S9" s="263">
        <f t="shared" si="1"/>
        <v>0.80519940456962313</v>
      </c>
      <c r="T9" s="264">
        <f t="shared" si="1"/>
        <v>0.7725480684693683</v>
      </c>
      <c r="U9" s="242"/>
      <c r="X9" s="191">
        <v>7</v>
      </c>
      <c r="Y9" s="268">
        <f t="shared" si="5"/>
        <v>1.2204540768504861</v>
      </c>
      <c r="Z9" s="268">
        <f t="shared" si="6"/>
        <v>1.1754079604807033</v>
      </c>
      <c r="AA9" s="236" t="str">
        <f t="shared" si="10"/>
        <v>+112,7%</v>
      </c>
      <c r="AB9" s="268">
        <f t="shared" si="2"/>
        <v>1.062599854815871</v>
      </c>
      <c r="AD9" s="238" t="s">
        <v>576</v>
      </c>
      <c r="AE9" s="236" t="str">
        <f t="shared" si="7"/>
        <v>[td]7[/td]</v>
      </c>
      <c r="AF9" s="236" t="str">
        <f t="shared" si="8"/>
        <v>[td]122%[/td]</v>
      </c>
      <c r="AG9" s="236" t="str">
        <f t="shared" si="3"/>
        <v>[td]118%[/td]</v>
      </c>
      <c r="AH9" s="236" t="str">
        <f t="shared" si="9"/>
        <v>[td]+112,7%[/td]</v>
      </c>
      <c r="AI9" s="236" t="str">
        <f t="shared" si="3"/>
        <v>[td]106%[/td]</v>
      </c>
      <c r="AJ9" s="238" t="s">
        <v>578</v>
      </c>
    </row>
    <row r="10" spans="2:36" ht="13.8" thickBot="1">
      <c r="B10" s="232">
        <v>8</v>
      </c>
      <c r="C10" s="234"/>
      <c r="D10" s="265">
        <f t="shared" si="4"/>
        <v>1.2381176179958131</v>
      </c>
      <c r="E10" s="265">
        <f t="shared" si="1"/>
        <v>1.2131875627868807</v>
      </c>
      <c r="F10" s="265">
        <f t="shared" si="1"/>
        <v>1.1879111793827146</v>
      </c>
      <c r="G10" s="265">
        <f t="shared" si="1"/>
        <v>1.1622710197428028</v>
      </c>
      <c r="H10" s="265">
        <f t="shared" si="1"/>
        <v>1.1362480723697297</v>
      </c>
      <c r="I10" s="265">
        <f t="shared" si="1"/>
        <v>1.1098215561013345</v>
      </c>
      <c r="J10" s="265">
        <f t="shared" si="1"/>
        <v>1.0829686772780907</v>
      </c>
      <c r="K10" s="265">
        <f t="shared" si="1"/>
        <v>1.0556643419645819</v>
      </c>
      <c r="L10" s="265">
        <f t="shared" si="1"/>
        <v>1.0278808125642502</v>
      </c>
      <c r="M10" s="265">
        <f t="shared" si="1"/>
        <v>0.99958729503112498</v>
      </c>
      <c r="N10" s="265">
        <f t="shared" si="1"/>
        <v>0.97074943862872887</v>
      </c>
      <c r="O10" s="265">
        <f t="shared" si="1"/>
        <v>0.94132872433932102</v>
      </c>
      <c r="P10" s="265">
        <f t="shared" si="1"/>
        <v>0.91128170987191415</v>
      </c>
      <c r="Q10" s="265">
        <f t="shared" si="1"/>
        <v>0.88055908766253033</v>
      </c>
      <c r="R10" s="265">
        <f t="shared" si="1"/>
        <v>0.84910449559870382</v>
      </c>
      <c r="S10" s="265">
        <f t="shared" si="1"/>
        <v>0.81685299570638381</v>
      </c>
      <c r="T10" s="266">
        <f t="shared" si="1"/>
        <v>0.78372909924552525</v>
      </c>
      <c r="U10" s="242"/>
      <c r="X10" s="191">
        <v>8</v>
      </c>
      <c r="Y10" s="268">
        <f t="shared" si="5"/>
        <v>1.2381176179958131</v>
      </c>
      <c r="Z10" s="268">
        <f t="shared" si="6"/>
        <v>1.1894622513853352</v>
      </c>
      <c r="AA10" s="236" t="str">
        <f t="shared" si="10"/>
        <v>+120,4%</v>
      </c>
      <c r="AB10" s="268">
        <f t="shared" si="2"/>
        <v>1.0668955545919958</v>
      </c>
      <c r="AD10" s="238" t="s">
        <v>576</v>
      </c>
      <c r="AE10" s="236" t="str">
        <f t="shared" si="7"/>
        <v>[td]8[/td]</v>
      </c>
      <c r="AF10" s="236" t="str">
        <f t="shared" si="8"/>
        <v>[td]124%[/td]</v>
      </c>
      <c r="AG10" s="236" t="str">
        <f t="shared" si="3"/>
        <v>[td]119%[/td]</v>
      </c>
      <c r="AH10" s="236" t="str">
        <f t="shared" si="9"/>
        <v>[td]+120,4%[/td]</v>
      </c>
      <c r="AI10" s="236" t="str">
        <f t="shared" si="3"/>
        <v>[td]107%[/td]</v>
      </c>
      <c r="AJ10" s="238" t="s">
        <v>578</v>
      </c>
    </row>
    <row r="11" spans="2:36">
      <c r="B11" s="232">
        <v>9</v>
      </c>
      <c r="C11" s="234"/>
      <c r="D11" s="263">
        <f t="shared" si="4"/>
        <v>1.2545584412271571</v>
      </c>
      <c r="E11" s="263">
        <f t="shared" si="1"/>
        <v>1.2292973426465126</v>
      </c>
      <c r="F11" s="263">
        <f t="shared" si="1"/>
        <v>1.2036853170178634</v>
      </c>
      <c r="G11" s="263">
        <f t="shared" si="1"/>
        <v>1.1777046846101498</v>
      </c>
      <c r="H11" s="263">
        <f t="shared" si="1"/>
        <v>1.1513361814744412</v>
      </c>
      <c r="I11" s="263">
        <f t="shared" si="1"/>
        <v>1.124558750497884</v>
      </c>
      <c r="J11" s="263">
        <f t="shared" si="1"/>
        <v>1.0973492953465365</v>
      </c>
      <c r="K11" s="263">
        <f t="shared" si="1"/>
        <v>1.0696823888654632</v>
      </c>
      <c r="L11" s="263">
        <f t="shared" si="1"/>
        <v>1.0415299251337122</v>
      </c>
      <c r="M11" s="263">
        <f t="shared" si="1"/>
        <v>1.0128607011946738</v>
      </c>
      <c r="N11" s="263">
        <f t="shared" si="1"/>
        <v>0.9836399101723422</v>
      </c>
      <c r="O11" s="263">
        <f t="shared" si="1"/>
        <v>0.95382852155931475</v>
      </c>
      <c r="P11" s="263">
        <f t="shared" si="1"/>
        <v>0.92338251619935596</v>
      </c>
      <c r="Q11" s="263">
        <f t="shared" si="1"/>
        <v>0.89225193177894624</v>
      </c>
      <c r="R11" s="263">
        <f t="shared" si="1"/>
        <v>0.86037965775952929</v>
      </c>
      <c r="S11" s="263">
        <f t="shared" si="1"/>
        <v>0.82769989386307241</v>
      </c>
      <c r="T11" s="264">
        <f t="shared" si="1"/>
        <v>0.7941361489431249</v>
      </c>
      <c r="U11" s="242"/>
      <c r="X11" s="191">
        <v>9</v>
      </c>
      <c r="Y11" s="268">
        <f t="shared" si="5"/>
        <v>1.2545584412271571</v>
      </c>
      <c r="Z11" s="268">
        <f t="shared" si="6"/>
        <v>1.2025436664030746</v>
      </c>
      <c r="AA11" s="236" t="str">
        <f t="shared" si="10"/>
        <v>+127,2%</v>
      </c>
      <c r="AB11" s="268">
        <f t="shared" si="2"/>
        <v>1.0706846303288389</v>
      </c>
      <c r="AD11" s="238" t="s">
        <v>576</v>
      </c>
      <c r="AE11" s="236" t="str">
        <f t="shared" si="7"/>
        <v>[td]9[/td]</v>
      </c>
      <c r="AF11" s="236" t="str">
        <f t="shared" si="8"/>
        <v>[td]125%[/td]</v>
      </c>
      <c r="AG11" s="236" t="str">
        <f t="shared" si="3"/>
        <v>[td]120%[/td]</v>
      </c>
      <c r="AH11" s="236" t="str">
        <f t="shared" si="9"/>
        <v>[td]+127,2%[/td]</v>
      </c>
      <c r="AI11" s="236" t="str">
        <f t="shared" si="3"/>
        <v>[td]107%[/td]</v>
      </c>
      <c r="AJ11" s="238" t="s">
        <v>578</v>
      </c>
    </row>
    <row r="12" spans="2:36">
      <c r="B12" s="232">
        <v>10</v>
      </c>
      <c r="C12" s="234"/>
      <c r="D12" s="263">
        <f t="shared" si="4"/>
        <v>1.27</v>
      </c>
      <c r="E12" s="263">
        <f t="shared" si="1"/>
        <v>1.2444279786870369</v>
      </c>
      <c r="F12" s="263">
        <f t="shared" si="1"/>
        <v>1.2185007109891148</v>
      </c>
      <c r="G12" s="263">
        <f t="shared" si="1"/>
        <v>1.1922002995666532</v>
      </c>
      <c r="H12" s="263">
        <f t="shared" si="1"/>
        <v>1.1655072433630749</v>
      </c>
      <c r="I12" s="263">
        <f t="shared" si="1"/>
        <v>1.1384002260869703</v>
      </c>
      <c r="J12" s="263">
        <f t="shared" si="1"/>
        <v>1.1108558671263704</v>
      </c>
      <c r="K12" s="263">
        <f t="shared" si="1"/>
        <v>1.0828484263597264</v>
      </c>
      <c r="L12" s="263">
        <f t="shared" si="1"/>
        <v>1.0543494519282515</v>
      </c>
      <c r="M12" s="263">
        <f t="shared" si="1"/>
        <v>1.0253273568180674</v>
      </c>
      <c r="N12" s="263">
        <f t="shared" si="1"/>
        <v>0.99574690573755709</v>
      </c>
      <c r="O12" s="263">
        <f t="shared" si="1"/>
        <v>0.9655685877777247</v>
      </c>
      <c r="P12" s="263">
        <f t="shared" si="1"/>
        <v>0.93474784197864846</v>
      </c>
      <c r="Q12" s="263">
        <f t="shared" si="1"/>
        <v>0.90323409107259411</v>
      </c>
      <c r="R12" s="263">
        <f t="shared" si="1"/>
        <v>0.87096952158385366</v>
      </c>
      <c r="S12" s="263">
        <f t="shared" si="1"/>
        <v>0.83788752334078787</v>
      </c>
      <c r="T12" s="264">
        <f t="shared" si="1"/>
        <v>0.80391066371626663</v>
      </c>
      <c r="U12" s="242"/>
      <c r="X12" s="191">
        <v>10</v>
      </c>
      <c r="Y12" s="268">
        <f t="shared" si="5"/>
        <v>1.27</v>
      </c>
      <c r="Z12" s="268">
        <f t="shared" si="6"/>
        <v>1.2148300000000001</v>
      </c>
      <c r="AA12" s="236" t="str">
        <f t="shared" si="10"/>
        <v>+133,3%</v>
      </c>
      <c r="AB12" s="268">
        <f t="shared" si="2"/>
        <v>1.074074074074074</v>
      </c>
      <c r="AD12" s="238" t="s">
        <v>576</v>
      </c>
      <c r="AE12" s="236" t="str">
        <f t="shared" si="7"/>
        <v>[td]10[/td]</v>
      </c>
      <c r="AF12" s="236" t="str">
        <f t="shared" si="8"/>
        <v>[td]127%[/td]</v>
      </c>
      <c r="AG12" s="236" t="str">
        <f t="shared" si="3"/>
        <v>[td]121%[/td]</v>
      </c>
      <c r="AH12" s="236" t="str">
        <f t="shared" si="9"/>
        <v>[td]+133,3%[/td]</v>
      </c>
      <c r="AI12" s="236" t="str">
        <f t="shared" si="3"/>
        <v>[td]107%[/td]</v>
      </c>
      <c r="AJ12" s="238" t="s">
        <v>578</v>
      </c>
    </row>
    <row r="13" spans="2:36">
      <c r="B13" s="232">
        <v>11</v>
      </c>
      <c r="C13" s="234"/>
      <c r="D13" s="263">
        <f t="shared" si="4"/>
        <v>1.2846049894151541</v>
      </c>
      <c r="E13" s="263">
        <f t="shared" si="1"/>
        <v>1.2587388900702225</v>
      </c>
      <c r="F13" s="263">
        <f t="shared" si="1"/>
        <v>1.2325134590098659</v>
      </c>
      <c r="G13" s="263">
        <f t="shared" si="1"/>
        <v>1.2059105930752474</v>
      </c>
      <c r="H13" s="263">
        <f t="shared" si="1"/>
        <v>1.1789105669478019</v>
      </c>
      <c r="I13" s="263">
        <f t="shared" si="1"/>
        <v>1.1514918191989461</v>
      </c>
      <c r="J13" s="263">
        <f t="shared" si="1"/>
        <v>1.1236307003398684</v>
      </c>
      <c r="K13" s="263">
        <f t="shared" si="1"/>
        <v>1.0953011742378367</v>
      </c>
      <c r="L13" s="263">
        <f t="shared" si="1"/>
        <v>1.0664744618379252</v>
      </c>
      <c r="M13" s="263">
        <f t="shared" si="1"/>
        <v>1.0371186128758594</v>
      </c>
      <c r="N13" s="263">
        <f t="shared" si="1"/>
        <v>1.0071979868544623</v>
      </c>
      <c r="O13" s="263">
        <f t="shared" si="1"/>
        <v>0.97667261848961362</v>
      </c>
      <c r="P13" s="263">
        <f t="shared" si="1"/>
        <v>0.94549743437072431</v>
      </c>
      <c r="Q13" s="263">
        <f t="shared" si="1"/>
        <v>0.91362127559190243</v>
      </c>
      <c r="R13" s="263">
        <f t="shared" si="1"/>
        <v>0.88098566382295129</v>
      </c>
      <c r="S13" s="263">
        <f t="shared" si="1"/>
        <v>0.84752322287581294</v>
      </c>
      <c r="T13" s="264">
        <f t="shared" si="1"/>
        <v>0.81315562964879062</v>
      </c>
      <c r="U13" s="242"/>
      <c r="X13" s="191">
        <v>11</v>
      </c>
      <c r="Y13" s="268">
        <f t="shared" si="5"/>
        <v>1.2846049894151541</v>
      </c>
      <c r="Z13" s="268">
        <f t="shared" si="6"/>
        <v>1.2264507032446577</v>
      </c>
      <c r="AA13" s="236" t="str">
        <f t="shared" si="10"/>
        <v>+138,9%</v>
      </c>
      <c r="AB13" s="268">
        <f t="shared" si="2"/>
        <v>1.0771401989006093</v>
      </c>
      <c r="AD13" s="238" t="s">
        <v>576</v>
      </c>
      <c r="AE13" s="236" t="str">
        <f t="shared" si="7"/>
        <v>[td]11[/td]</v>
      </c>
      <c r="AF13" s="236" t="str">
        <f t="shared" si="8"/>
        <v>[td]128%[/td]</v>
      </c>
      <c r="AG13" s="236" t="str">
        <f t="shared" si="3"/>
        <v>[td]123%[/td]</v>
      </c>
      <c r="AH13" s="236" t="str">
        <f t="shared" si="9"/>
        <v>[td]+138,9%[/td]</v>
      </c>
      <c r="AI13" s="236" t="str">
        <f t="shared" si="3"/>
        <v>[td]108%[/td]</v>
      </c>
      <c r="AJ13" s="238" t="s">
        <v>578</v>
      </c>
    </row>
    <row r="14" spans="2:36">
      <c r="B14" s="232">
        <v>12</v>
      </c>
      <c r="C14" s="234"/>
      <c r="D14" s="263">
        <f t="shared" si="4"/>
        <v>1.2984962311319861</v>
      </c>
      <c r="E14" s="263">
        <f t="shared" si="1"/>
        <v>1.2723504253860731</v>
      </c>
      <c r="F14" s="263">
        <f t="shared" si="1"/>
        <v>1.2458414022448907</v>
      </c>
      <c r="G14" s="263">
        <f t="shared" si="1"/>
        <v>1.2189508627887591</v>
      </c>
      <c r="H14" s="263">
        <f t="shared" si="1"/>
        <v>1.1916588683968372</v>
      </c>
      <c r="I14" s="263">
        <f t="shared" si="1"/>
        <v>1.1639436244832533</v>
      </c>
      <c r="J14" s="263">
        <f t="shared" si="1"/>
        <v>1.1357812258223987</v>
      </c>
      <c r="K14" s="263">
        <f t="shared" si="1"/>
        <v>1.1071453547364618</v>
      </c>
      <c r="L14" s="263">
        <f t="shared" si="1"/>
        <v>1.0780069209644958</v>
      </c>
      <c r="M14" s="263">
        <f t="shared" si="1"/>
        <v>1.0483336287439227</v>
      </c>
      <c r="N14" s="263">
        <f t="shared" si="1"/>
        <v>1.0180894521744526</v>
      </c>
      <c r="O14" s="263">
        <f t="shared" si="1"/>
        <v>0.98723399380221244</v>
      </c>
      <c r="P14" s="263">
        <f t="shared" si="1"/>
        <v>0.95572169280947428</v>
      </c>
      <c r="Q14" s="263">
        <f t="shared" si="1"/>
        <v>0.9235008370769201</v>
      </c>
      <c r="R14" s="263">
        <f t="shared" si="1"/>
        <v>0.89051231591138813</v>
      </c>
      <c r="S14" s="263">
        <f t="shared" si="1"/>
        <v>0.85668802454372206</v>
      </c>
      <c r="T14" s="264">
        <f t="shared" si="1"/>
        <v>0.82194879291526424</v>
      </c>
      <c r="U14" s="242"/>
      <c r="X14" s="191">
        <v>12</v>
      </c>
      <c r="Y14" s="268">
        <f t="shared" si="5"/>
        <v>1.2984962311319861</v>
      </c>
      <c r="Z14" s="268">
        <f t="shared" si="6"/>
        <v>1.2375035012373501</v>
      </c>
      <c r="AA14" s="236" t="str">
        <f t="shared" si="10"/>
        <v>+143,9%</v>
      </c>
      <c r="AB14" s="268">
        <f t="shared" si="2"/>
        <v>1.0799393515590834</v>
      </c>
      <c r="AD14" s="238" t="s">
        <v>576</v>
      </c>
      <c r="AE14" s="236" t="str">
        <f t="shared" si="7"/>
        <v>[td]12[/td]</v>
      </c>
      <c r="AF14" s="236" t="str">
        <f t="shared" si="8"/>
        <v>[td]130%[/td]</v>
      </c>
      <c r="AG14" s="236" t="str">
        <f t="shared" si="3"/>
        <v>[td]124%[/td]</v>
      </c>
      <c r="AH14" s="236" t="str">
        <f t="shared" si="9"/>
        <v>[td]+143,9%[/td]</v>
      </c>
      <c r="AI14" s="236" t="str">
        <f t="shared" si="3"/>
        <v>[td]108%[/td]</v>
      </c>
      <c r="AJ14" s="238" t="s">
        <v>578</v>
      </c>
    </row>
    <row r="15" spans="2:36" ht="13.8" thickBot="1">
      <c r="B15" s="232">
        <v>13</v>
      </c>
      <c r="C15" s="234"/>
      <c r="D15" s="263">
        <f t="shared" si="4"/>
        <v>1.3117691453623979</v>
      </c>
      <c r="E15" s="263">
        <f t="shared" si="1"/>
        <v>1.285356083517599</v>
      </c>
      <c r="F15" s="263">
        <f t="shared" si="1"/>
        <v>1.2585760915572168</v>
      </c>
      <c r="G15" s="263">
        <f t="shared" si="1"/>
        <v>1.2314106835144436</v>
      </c>
      <c r="H15" s="263">
        <f t="shared" si="1"/>
        <v>1.2038397169606811</v>
      </c>
      <c r="I15" s="263">
        <f t="shared" si="1"/>
        <v>1.1758411745310751</v>
      </c>
      <c r="J15" s="263">
        <f t="shared" si="1"/>
        <v>1.1473909066465862</v>
      </c>
      <c r="K15" s="263">
        <f t="shared" si="1"/>
        <v>1.118462326616469</v>
      </c>
      <c r="L15" s="263">
        <f t="shared" si="1"/>
        <v>1.0890260468261694</v>
      </c>
      <c r="M15" s="263">
        <f t="shared" si="1"/>
        <v>1.05904944139364</v>
      </c>
      <c r="N15" s="263">
        <f t="shared" si="1"/>
        <v>1.028496116170557</v>
      </c>
      <c r="O15" s="263">
        <f t="shared" si="1"/>
        <v>0.9973252607700499</v>
      </c>
      <c r="P15" s="263">
        <f t="shared" si="1"/>
        <v>0.96549084866273804</v>
      </c>
      <c r="Q15" s="263">
        <f t="shared" si="1"/>
        <v>0.93294063914053471</v>
      </c>
      <c r="R15" s="263">
        <f t="shared" si="1"/>
        <v>0.89961491729507737</v>
      </c>
      <c r="S15" s="263">
        <f t="shared" si="1"/>
        <v>0.86544488220674132</v>
      </c>
      <c r="T15" s="264">
        <f t="shared" si="1"/>
        <v>0.83035055455968898</v>
      </c>
      <c r="U15" s="242"/>
      <c r="X15" s="191">
        <v>13</v>
      </c>
      <c r="Y15" s="268">
        <f t="shared" si="5"/>
        <v>1.3117691453623979</v>
      </c>
      <c r="Z15" s="268">
        <f t="shared" si="6"/>
        <v>1.2480643166600145</v>
      </c>
      <c r="AA15" s="236" t="str">
        <f t="shared" si="10"/>
        <v>+148,5%</v>
      </c>
      <c r="AB15" s="268">
        <f t="shared" si="2"/>
        <v>1.0825143223930991</v>
      </c>
      <c r="AD15" s="238" t="s">
        <v>576</v>
      </c>
      <c r="AE15" s="236" t="str">
        <f t="shared" si="7"/>
        <v>[td]13[/td]</v>
      </c>
      <c r="AF15" s="236" t="str">
        <f t="shared" si="8"/>
        <v>[td]131%[/td]</v>
      </c>
      <c r="AG15" s="236" t="str">
        <f t="shared" si="3"/>
        <v>[td]125%[/td]</v>
      </c>
      <c r="AH15" s="236" t="str">
        <f t="shared" si="9"/>
        <v>[td]+148,5%[/td]</v>
      </c>
      <c r="AI15" s="236" t="str">
        <f t="shared" si="3"/>
        <v>[td]108%[/td]</v>
      </c>
      <c r="AJ15" s="238" t="s">
        <v>578</v>
      </c>
    </row>
    <row r="16" spans="2:36" ht="13.8" thickBot="1">
      <c r="B16" s="232">
        <v>14</v>
      </c>
      <c r="C16" s="234"/>
      <c r="D16" s="265">
        <f t="shared" si="4"/>
        <v>1.3244996147917592</v>
      </c>
      <c r="E16" s="265">
        <f t="shared" si="1"/>
        <v>1.2978302192181637</v>
      </c>
      <c r="F16" s="265">
        <f t="shared" si="1"/>
        <v>1.270790332542179</v>
      </c>
      <c r="G16" s="265">
        <f t="shared" si="1"/>
        <v>1.2433612893942143</v>
      </c>
      <c r="H16" s="265">
        <f t="shared" si="1"/>
        <v>1.2155227518672425</v>
      </c>
      <c r="I16" s="265">
        <f t="shared" si="1"/>
        <v>1.1872524889220815</v>
      </c>
      <c r="J16" s="265">
        <f t="shared" si="1"/>
        <v>1.1585261166126324</v>
      </c>
      <c r="K16" s="265">
        <f t="shared" si="1"/>
        <v>1.1293167902293859</v>
      </c>
      <c r="L16" s="265">
        <f t="shared" si="1"/>
        <v>1.0995948369565918</v>
      </c>
      <c r="M16" s="265">
        <f t="shared" si="1"/>
        <v>1.0693273142842386</v>
      </c>
      <c r="N16" s="265">
        <f t="shared" si="1"/>
        <v>1.0384774748657326</v>
      </c>
      <c r="O16" s="265">
        <f t="shared" si="1"/>
        <v>1.0070041122571805</v>
      </c>
      <c r="P16" s="265">
        <f t="shared" si="1"/>
        <v>0.97486075325051025</v>
      </c>
      <c r="Q16" s="265">
        <f t="shared" si="1"/>
        <v>0.94199465015152417</v>
      </c>
      <c r="R16" s="265">
        <f t="shared" si="1"/>
        <v>0.90834550853006057</v>
      </c>
      <c r="S16" s="265">
        <f t="shared" si="1"/>
        <v>0.87384385976668866</v>
      </c>
      <c r="T16" s="266">
        <f t="shared" si="1"/>
        <v>0.83840894836156099</v>
      </c>
      <c r="U16" s="242"/>
      <c r="X16" s="191">
        <v>14</v>
      </c>
      <c r="Y16" s="268">
        <f t="shared" si="5"/>
        <v>1.3244996147917592</v>
      </c>
      <c r="Z16" s="268">
        <f t="shared" si="6"/>
        <v>1.2581935268359763</v>
      </c>
      <c r="AA16" s="236" t="str">
        <f t="shared" si="10"/>
        <v>+152,8%</v>
      </c>
      <c r="AB16" s="268">
        <f t="shared" si="2"/>
        <v>1.0848983730132027</v>
      </c>
      <c r="AD16" s="238" t="s">
        <v>576</v>
      </c>
      <c r="AE16" s="236" t="str">
        <f t="shared" si="7"/>
        <v>[td]14[/td]</v>
      </c>
      <c r="AF16" s="236" t="str">
        <f t="shared" si="8"/>
        <v>[td]132%[/td]</v>
      </c>
      <c r="AG16" s="236" t="str">
        <f t="shared" si="3"/>
        <v>[td]126%[/td]</v>
      </c>
      <c r="AH16" s="236" t="str">
        <f t="shared" si="9"/>
        <v>[td]+152,8%[/td]</v>
      </c>
      <c r="AI16" s="236" t="str">
        <f t="shared" si="3"/>
        <v>[td]108%[/td]</v>
      </c>
      <c r="AJ16" s="238" t="s">
        <v>578</v>
      </c>
    </row>
    <row r="17" spans="2:36">
      <c r="B17" s="232">
        <v>15</v>
      </c>
      <c r="C17" s="234"/>
      <c r="D17" s="263">
        <f t="shared" si="4"/>
        <v>1.3367491648096548</v>
      </c>
      <c r="E17" s="263">
        <f t="shared" si="1"/>
        <v>1.3098331190359556</v>
      </c>
      <c r="F17" s="263">
        <f t="shared" si="1"/>
        <v>1.2825431556965905</v>
      </c>
      <c r="G17" s="263">
        <f t="shared" si="1"/>
        <v>1.2548604367964913</v>
      </c>
      <c r="H17" s="263">
        <f t="shared" si="1"/>
        <v>1.226764436334798</v>
      </c>
      <c r="I17" s="263">
        <f t="shared" si="1"/>
        <v>1.1982327176699838</v>
      </c>
      <c r="J17" s="263">
        <f t="shared" si="1"/>
        <v>1.1692406713425831</v>
      </c>
      <c r="K17" s="263">
        <f t="shared" si="1"/>
        <v>1.1397612043715064</v>
      </c>
      <c r="L17" s="263">
        <f t="shared" si="1"/>
        <v>1.1097643695138641</v>
      </c>
      <c r="M17" s="263">
        <f t="shared" si="1"/>
        <v>1.0792169195929469</v>
      </c>
      <c r="N17" s="263">
        <f t="shared" si="1"/>
        <v>1.0480817674066751</v>
      </c>
      <c r="O17" s="263">
        <f t="shared" si="1"/>
        <v>1.0163173254159932</v>
      </c>
      <c r="P17" s="263">
        <f t="shared" si="1"/>
        <v>0.98387669060833505</v>
      </c>
      <c r="Q17" s="263">
        <f t="shared" si="1"/>
        <v>0.95070662745582513</v>
      </c>
      <c r="R17" s="263">
        <f t="shared" si="1"/>
        <v>0.91674628389911883</v>
      </c>
      <c r="S17" s="263">
        <f t="shared" si="1"/>
        <v>0.88192554884269936</v>
      </c>
      <c r="T17" s="264">
        <f t="shared" si="1"/>
        <v>0.84616291992464143</v>
      </c>
      <c r="U17" s="242"/>
      <c r="X17" s="191">
        <v>15</v>
      </c>
      <c r="Y17" s="268">
        <f t="shared" si="5"/>
        <v>1.3367491648096548</v>
      </c>
      <c r="Z17" s="268">
        <f t="shared" si="6"/>
        <v>1.2679400854668819</v>
      </c>
      <c r="AA17" s="236" t="str">
        <f t="shared" si="10"/>
        <v>+156,8%</v>
      </c>
      <c r="AB17" s="268">
        <f t="shared" si="2"/>
        <v>1.0871178710411615</v>
      </c>
      <c r="AD17" s="238" t="s">
        <v>576</v>
      </c>
      <c r="AE17" s="236" t="str">
        <f t="shared" si="7"/>
        <v>[td]15[/td]</v>
      </c>
      <c r="AF17" s="236" t="str">
        <f t="shared" si="8"/>
        <v>[td]134%[/td]</v>
      </c>
      <c r="AG17" s="236" t="str">
        <f t="shared" si="3"/>
        <v>[td]127%[/td]</v>
      </c>
      <c r="AH17" s="236" t="str">
        <f t="shared" si="9"/>
        <v>[td]+156,8%[/td]</v>
      </c>
      <c r="AI17" s="236" t="str">
        <f t="shared" si="3"/>
        <v>[td]109%[/td]</v>
      </c>
      <c r="AJ17" s="238" t="s">
        <v>578</v>
      </c>
    </row>
    <row r="18" spans="2:36">
      <c r="B18" s="232">
        <v>16</v>
      </c>
      <c r="C18" s="234"/>
      <c r="D18" s="263">
        <f t="shared" si="4"/>
        <v>1.3485685011586677</v>
      </c>
      <c r="E18" s="263">
        <f t="shared" si="1"/>
        <v>1.3214144677306203</v>
      </c>
      <c r="F18" s="263">
        <f t="shared" si="1"/>
        <v>1.2938832106136706</v>
      </c>
      <c r="G18" s="263">
        <f t="shared" si="1"/>
        <v>1.2659557252500127</v>
      </c>
      <c r="H18" s="263">
        <f t="shared" si="1"/>
        <v>1.2376113041509547</v>
      </c>
      <c r="I18" s="263">
        <f t="shared" si="1"/>
        <v>1.2088273122935385</v>
      </c>
      <c r="J18" s="263">
        <f t="shared" si="1"/>
        <v>1.179578922625135</v>
      </c>
      <c r="K18" s="263">
        <f t="shared" si="1"/>
        <v>1.1498388026125654</v>
      </c>
      <c r="L18" s="263">
        <f t="shared" si="1"/>
        <v>1.1195767402238936</v>
      </c>
      <c r="M18" s="263">
        <f t="shared" si="1"/>
        <v>1.0887591943158423</v>
      </c>
      <c r="N18" s="263">
        <f t="shared" si="1"/>
        <v>1.0573487497668335</v>
      </c>
      <c r="O18" s="263">
        <f t="shared" si="1"/>
        <v>1.0253034513270061</v>
      </c>
      <c r="P18" s="263">
        <f t="shared" si="1"/>
        <v>0.99257598127436619</v>
      </c>
      <c r="Q18" s="263">
        <f t="shared" si="1"/>
        <v>0.95911263338045649</v>
      </c>
      <c r="R18" s="263">
        <f t="shared" si="1"/>
        <v>0.92485201754111757</v>
      </c>
      <c r="S18" s="263">
        <f t="shared" si="1"/>
        <v>0.88972340274900341</v>
      </c>
      <c r="T18" s="264">
        <f t="shared" si="1"/>
        <v>0.85364456601048455</v>
      </c>
      <c r="U18" s="242"/>
      <c r="X18" s="191">
        <v>16</v>
      </c>
      <c r="Y18" s="268">
        <f t="shared" si="5"/>
        <v>1.3485685011586677</v>
      </c>
      <c r="Z18" s="268">
        <f t="shared" si="6"/>
        <v>1.2773443374219131</v>
      </c>
      <c r="AA18" s="236" t="str">
        <f t="shared" si="10"/>
        <v>+160,5%</v>
      </c>
      <c r="AB18" s="268">
        <f t="shared" si="2"/>
        <v>1.0891940727893279</v>
      </c>
      <c r="AD18" s="238" t="s">
        <v>576</v>
      </c>
      <c r="AE18" s="236" t="str">
        <f t="shared" si="7"/>
        <v>[td]16[/td]</v>
      </c>
      <c r="AF18" s="236" t="str">
        <f t="shared" si="8"/>
        <v>[td]135%[/td]</v>
      </c>
      <c r="AG18" s="236" t="str">
        <f t="shared" si="3"/>
        <v>[td]128%[/td]</v>
      </c>
      <c r="AH18" s="236" t="str">
        <f t="shared" si="9"/>
        <v>[td]+160,5%[/td]</v>
      </c>
      <c r="AI18" s="236" t="str">
        <f t="shared" si="3"/>
        <v>[td]109%[/td]</v>
      </c>
      <c r="AJ18" s="238" t="s">
        <v>578</v>
      </c>
    </row>
    <row r="19" spans="2:36">
      <c r="B19" s="232">
        <v>17</v>
      </c>
      <c r="C19" s="234"/>
      <c r="D19" s="263">
        <f t="shared" si="4"/>
        <v>1.3599999999999999</v>
      </c>
      <c r="E19" s="263">
        <f t="shared" ref="E19:T22" si="11">(1+SQRT(($B19-1))*9/100)*(POWER((E$2+6.5)/14,0.6)/POWER((15/14),0.6))</f>
        <v>1.3326157882002914</v>
      </c>
      <c r="F19" s="263">
        <f t="shared" si="11"/>
        <v>1.3048511550749575</v>
      </c>
      <c r="G19" s="263">
        <f t="shared" si="11"/>
        <v>1.2766869349690144</v>
      </c>
      <c r="H19" s="263">
        <f t="shared" si="11"/>
        <v>1.2481022448612455</v>
      </c>
      <c r="I19" s="263">
        <f t="shared" si="11"/>
        <v>1.2190742578569129</v>
      </c>
      <c r="J19" s="263">
        <f t="shared" si="11"/>
        <v>1.1895779364502863</v>
      </c>
      <c r="K19" s="263">
        <f t="shared" si="11"/>
        <v>1.1595857164167147</v>
      </c>
      <c r="L19" s="263">
        <f t="shared" si="11"/>
        <v>1.1290671296239543</v>
      </c>
      <c r="M19" s="263">
        <f t="shared" si="11"/>
        <v>1.0979883506083241</v>
      </c>
      <c r="N19" s="263">
        <f t="shared" si="11"/>
        <v>1.0663116470890375</v>
      </c>
      <c r="O19" s="263">
        <f t="shared" si="11"/>
        <v>1.0339947081714216</v>
      </c>
      <c r="P19" s="263">
        <f t="shared" si="11"/>
        <v>1.0009898150322534</v>
      </c>
      <c r="Q19" s="263">
        <f t="shared" si="11"/>
        <v>0.96724280618797476</v>
      </c>
      <c r="R19" s="263">
        <f t="shared" si="11"/>
        <v>0.93269177114491408</v>
      </c>
      <c r="S19" s="263">
        <f t="shared" si="11"/>
        <v>0.89726537932556794</v>
      </c>
      <c r="T19" s="264">
        <f t="shared" si="11"/>
        <v>0.86088071075127748</v>
      </c>
      <c r="U19" s="242"/>
      <c r="X19" s="191">
        <v>17</v>
      </c>
      <c r="Y19" s="268">
        <f t="shared" si="5"/>
        <v>1.3599999999999999</v>
      </c>
      <c r="Z19" s="268">
        <f t="shared" si="6"/>
        <v>1.28644</v>
      </c>
      <c r="AA19" s="236" t="str">
        <f t="shared" si="10"/>
        <v>+164,1%</v>
      </c>
      <c r="AB19" s="268">
        <f t="shared" si="2"/>
        <v>1.0911443645465388</v>
      </c>
      <c r="AD19" s="238" t="s">
        <v>576</v>
      </c>
      <c r="AE19" s="236" t="str">
        <f t="shared" si="7"/>
        <v>[td]17[/td]</v>
      </c>
      <c r="AF19" s="236" t="str">
        <f t="shared" si="8"/>
        <v>[td]136%[/td]</v>
      </c>
      <c r="AG19" s="236" t="str">
        <f t="shared" ref="AG19:AG22" si="12">CONCATENATE("[td]",TEXT(Z19,"0%"),"[/td]")</f>
        <v>[td]129%[/td]</v>
      </c>
      <c r="AH19" s="236" t="str">
        <f t="shared" si="9"/>
        <v>[td]+164,1%[/td]</v>
      </c>
      <c r="AI19" s="236" t="str">
        <f t="shared" ref="AI19:AI22" si="13">CONCATENATE("[td]",TEXT(AB19,"0%"),"[/td]")</f>
        <v>[td]109%[/td]</v>
      </c>
      <c r="AJ19" s="238" t="s">
        <v>578</v>
      </c>
    </row>
    <row r="20" spans="2:36">
      <c r="B20" s="232">
        <v>18</v>
      </c>
      <c r="C20" s="234"/>
      <c r="D20" s="263">
        <f t="shared" si="4"/>
        <v>1.3710795063055894</v>
      </c>
      <c r="E20" s="263">
        <f t="shared" si="11"/>
        <v>1.3434722036622717</v>
      </c>
      <c r="F20" s="263">
        <f t="shared" si="11"/>
        <v>1.3154813805165082</v>
      </c>
      <c r="G20" s="263">
        <f t="shared" si="11"/>
        <v>1.2870877150765534</v>
      </c>
      <c r="H20" s="263">
        <f t="shared" si="11"/>
        <v>1.2582701541935695</v>
      </c>
      <c r="I20" s="263">
        <f t="shared" si="11"/>
        <v>1.2290056850090507</v>
      </c>
      <c r="J20" s="263">
        <f t="shared" si="11"/>
        <v>1.1992690660443239</v>
      </c>
      <c r="K20" s="263">
        <f t="shared" si="11"/>
        <v>1.1690325085173843</v>
      </c>
      <c r="L20" s="263">
        <f t="shared" si="11"/>
        <v>1.1382652960813826</v>
      </c>
      <c r="M20" s="263">
        <f t="shared" si="11"/>
        <v>1.1069333277068747</v>
      </c>
      <c r="N20" s="263">
        <f t="shared" si="11"/>
        <v>1.07499856371966</v>
      </c>
      <c r="O20" s="263">
        <f t="shared" si="11"/>
        <v>1.0424183485310772</v>
      </c>
      <c r="P20" s="263">
        <f t="shared" si="11"/>
        <v>1.0091445745671657</v>
      </c>
      <c r="Q20" s="263">
        <f t="shared" si="11"/>
        <v>0.97512263910723629</v>
      </c>
      <c r="R20" s="263">
        <f t="shared" si="11"/>
        <v>0.94029012729165784</v>
      </c>
      <c r="S20" s="263">
        <f t="shared" si="11"/>
        <v>0.90457512743440971</v>
      </c>
      <c r="T20" s="264">
        <f t="shared" si="11"/>
        <v>0.86789404403299009</v>
      </c>
      <c r="U20" s="242"/>
      <c r="X20" s="191">
        <v>18</v>
      </c>
      <c r="Y20" s="268">
        <f t="shared" si="5"/>
        <v>1.3710795063055894</v>
      </c>
      <c r="Z20" s="268">
        <f t="shared" si="6"/>
        <v>1.2952555938504806</v>
      </c>
      <c r="AA20" s="236" t="str">
        <f t="shared" si="10"/>
        <v>+167,4%</v>
      </c>
      <c r="AB20" s="268">
        <f t="shared" si="2"/>
        <v>1.0929831485261707</v>
      </c>
      <c r="AD20" s="238" t="s">
        <v>576</v>
      </c>
      <c r="AE20" s="236" t="str">
        <f t="shared" si="7"/>
        <v>[td]18[/td]</v>
      </c>
      <c r="AF20" s="236" t="str">
        <f t="shared" si="8"/>
        <v>[td]137%[/td]</v>
      </c>
      <c r="AG20" s="236" t="str">
        <f t="shared" si="12"/>
        <v>[td]130%[/td]</v>
      </c>
      <c r="AH20" s="236" t="str">
        <f t="shared" si="9"/>
        <v>[td]+167,4%[/td]</v>
      </c>
      <c r="AI20" s="236" t="str">
        <f t="shared" si="13"/>
        <v>[td]109%[/td]</v>
      </c>
      <c r="AJ20" s="238" t="s">
        <v>578</v>
      </c>
    </row>
    <row r="21" spans="2:36" ht="13.8" thickBot="1">
      <c r="B21" s="232">
        <v>19</v>
      </c>
      <c r="C21" s="234"/>
      <c r="D21" s="263">
        <f t="shared" si="4"/>
        <v>1.3818376618407355</v>
      </c>
      <c r="E21" s="263">
        <f t="shared" si="11"/>
        <v>1.354013738896132</v>
      </c>
      <c r="F21" s="263">
        <f t="shared" si="11"/>
        <v>1.3258032861610018</v>
      </c>
      <c r="G21" s="263">
        <f t="shared" si="11"/>
        <v>1.2971868302354399</v>
      </c>
      <c r="H21" s="263">
        <f t="shared" si="11"/>
        <v>1.2681431527773801</v>
      </c>
      <c r="I21" s="263">
        <f t="shared" si="11"/>
        <v>1.2386490603582547</v>
      </c>
      <c r="J21" s="263">
        <f t="shared" si="11"/>
        <v>1.2086791134424932</v>
      </c>
      <c r="K21" s="263">
        <f t="shared" si="11"/>
        <v>1.1782053052038142</v>
      </c>
      <c r="L21" s="263">
        <f t="shared" si="11"/>
        <v>1.1471966782799969</v>
      </c>
      <c r="M21" s="263">
        <f t="shared" si="11"/>
        <v>1.1156188640683622</v>
      </c>
      <c r="N21" s="263">
        <f t="shared" si="11"/>
        <v>1.0834335244169553</v>
      </c>
      <c r="O21" s="263">
        <f t="shared" si="11"/>
        <v>1.0505976690406551</v>
      </c>
      <c r="P21" s="263">
        <f t="shared" si="11"/>
        <v>1.0170628128901171</v>
      </c>
      <c r="Q21" s="263">
        <f t="shared" si="11"/>
        <v>0.98277392480519332</v>
      </c>
      <c r="R21" s="263">
        <f t="shared" si="11"/>
        <v>0.94766810018895775</v>
      </c>
      <c r="S21" s="263">
        <f t="shared" si="11"/>
        <v>0.91167286310138496</v>
      </c>
      <c r="T21" s="264">
        <f t="shared" si="11"/>
        <v>0.87470396210907053</v>
      </c>
      <c r="U21" s="242"/>
      <c r="X21" s="191">
        <v>19</v>
      </c>
      <c r="Y21" s="268">
        <f t="shared" si="5"/>
        <v>1.3818376618407355</v>
      </c>
      <c r="Z21" s="268">
        <f t="shared" si="6"/>
        <v>1.3038154996046121</v>
      </c>
      <c r="AA21" s="236" t="str">
        <f t="shared" si="10"/>
        <v>+170,5%</v>
      </c>
      <c r="AB21" s="268">
        <f t="shared" si="2"/>
        <v>1.0947224889594687</v>
      </c>
      <c r="AD21" s="238" t="s">
        <v>576</v>
      </c>
      <c r="AE21" s="236" t="str">
        <f t="shared" si="7"/>
        <v>[td]19[/td]</v>
      </c>
      <c r="AF21" s="236" t="str">
        <f t="shared" si="8"/>
        <v>[td]138%[/td]</v>
      </c>
      <c r="AG21" s="236" t="str">
        <f t="shared" si="12"/>
        <v>[td]130%[/td]</v>
      </c>
      <c r="AH21" s="236" t="str">
        <f t="shared" si="9"/>
        <v>[td]+170,5%[/td]</v>
      </c>
      <c r="AI21" s="236" t="str">
        <f t="shared" si="13"/>
        <v>[td]109%[/td]</v>
      </c>
      <c r="AJ21" s="238" t="s">
        <v>578</v>
      </c>
    </row>
    <row r="22" spans="2:36" ht="13.8" thickBot="1">
      <c r="B22" s="232">
        <v>20</v>
      </c>
      <c r="C22" s="234"/>
      <c r="D22" s="265">
        <f t="shared" si="4"/>
        <v>1.3923009049186605</v>
      </c>
      <c r="E22" s="265">
        <f t="shared" si="11"/>
        <v>1.3642662998677646</v>
      </c>
      <c r="F22" s="265">
        <f t="shared" si="11"/>
        <v>1.3358422382316346</v>
      </c>
      <c r="G22" s="265">
        <f t="shared" si="11"/>
        <v>1.3070090991582279</v>
      </c>
      <c r="H22" s="265">
        <f t="shared" si="11"/>
        <v>1.2777455036406793</v>
      </c>
      <c r="I22" s="265">
        <f t="shared" si="11"/>
        <v>1.2480280826303121</v>
      </c>
      <c r="J22" s="265">
        <f t="shared" si="11"/>
        <v>1.2178312039639756</v>
      </c>
      <c r="K22" s="265">
        <f t="shared" si="11"/>
        <v>1.1871266487483421</v>
      </c>
      <c r="L22" s="265">
        <f t="shared" si="11"/>
        <v>1.1558832252127547</v>
      </c>
      <c r="M22" s="265">
        <f t="shared" si="11"/>
        <v>1.1240663045162627</v>
      </c>
      <c r="N22" s="265">
        <f t="shared" si="11"/>
        <v>1.0916372582113048</v>
      </c>
      <c r="O22" s="265">
        <f t="shared" si="11"/>
        <v>1.0585527704913065</v>
      </c>
      <c r="P22" s="265">
        <f t="shared" si="11"/>
        <v>1.0247639891792419</v>
      </c>
      <c r="Q22" s="265">
        <f t="shared" si="11"/>
        <v>0.9902154664202808</v>
      </c>
      <c r="R22" s="265">
        <f t="shared" si="11"/>
        <v>0.95484382130533252</v>
      </c>
      <c r="S22" s="265">
        <f t="shared" si="11"/>
        <v>0.9185760291082159</v>
      </c>
      <c r="T22" s="266">
        <f t="shared" si="11"/>
        <v>0.88132720044560542</v>
      </c>
      <c r="U22" s="242"/>
      <c r="X22" s="191">
        <v>20</v>
      </c>
      <c r="Y22" s="268">
        <f t="shared" si="5"/>
        <v>1.3923009049186605</v>
      </c>
      <c r="Z22" s="268">
        <f t="shared" si="6"/>
        <v>1.3121407533469476</v>
      </c>
      <c r="AA22" s="236" t="str">
        <f t="shared" si="10"/>
        <v>+173,5%</v>
      </c>
      <c r="AB22" s="268">
        <f>(18+(4/3*LOG(X22)))/18</f>
        <v>1.096372592271406</v>
      </c>
      <c r="AD22" s="238" t="s">
        <v>576</v>
      </c>
      <c r="AE22" s="236" t="str">
        <f t="shared" si="7"/>
        <v>[td]20[/td]</v>
      </c>
      <c r="AF22" s="236" t="str">
        <f t="shared" si="8"/>
        <v>[td]139%[/td]</v>
      </c>
      <c r="AG22" s="236" t="str">
        <f t="shared" si="12"/>
        <v>[td]131%[/td]</v>
      </c>
      <c r="AH22" s="236" t="str">
        <f t="shared" si="9"/>
        <v>[td]+173,5%[/td]</v>
      </c>
      <c r="AI22" s="236" t="str">
        <f t="shared" si="13"/>
        <v>[td]110%[/td]</v>
      </c>
      <c r="AJ22" s="238" t="s">
        <v>578</v>
      </c>
    </row>
    <row r="23" spans="2:36" ht="13.8" thickBot="1">
      <c r="B23" s="245"/>
      <c r="C23" s="246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8"/>
      <c r="AD23" s="238" t="s">
        <v>579</v>
      </c>
    </row>
    <row r="25" spans="2:36" ht="13.8" thickBot="1">
      <c r="B25" s="237" t="s">
        <v>583</v>
      </c>
    </row>
    <row r="26" spans="2:36" ht="13.8" thickBot="1">
      <c r="B26" s="231" t="s">
        <v>596</v>
      </c>
      <c r="C26" s="233"/>
      <c r="D26" s="218">
        <v>8.5</v>
      </c>
      <c r="E26" s="218">
        <v>8</v>
      </c>
      <c r="F26" s="218">
        <v>7.5</v>
      </c>
      <c r="G26" s="218">
        <v>7</v>
      </c>
      <c r="H26" s="218">
        <v>6.5</v>
      </c>
      <c r="I26" s="218">
        <v>6</v>
      </c>
      <c r="J26" s="218">
        <v>5.5</v>
      </c>
      <c r="K26" s="218">
        <v>5</v>
      </c>
      <c r="L26" s="218">
        <v>4.5</v>
      </c>
      <c r="M26" s="218">
        <v>4</v>
      </c>
      <c r="N26" s="218">
        <v>3.5</v>
      </c>
      <c r="O26" s="218">
        <v>3</v>
      </c>
      <c r="P26" s="218">
        <v>2.5</v>
      </c>
      <c r="Q26" s="218">
        <v>2</v>
      </c>
      <c r="R26" s="218">
        <v>1.5</v>
      </c>
      <c r="S26" s="218">
        <v>1</v>
      </c>
      <c r="T26" s="218">
        <v>0.5</v>
      </c>
      <c r="U26" s="241"/>
    </row>
    <row r="27" spans="2:36">
      <c r="B27" s="232">
        <v>1</v>
      </c>
      <c r="C27" s="234"/>
      <c r="D27" s="262">
        <f>(1+0.07161*SQRT(($B27-1)))*(POWER((D$2+6.5)/14,0.6)/POWER((15/14),0.6))</f>
        <v>1</v>
      </c>
      <c r="E27" s="262">
        <f t="shared" ref="E27:T42" si="14">(1+0.07161*SQRT(($B27-1)))*(POWER((E$2+6.5)/14,0.6)/POWER((15/14),0.6))</f>
        <v>0.97986455014727314</v>
      </c>
      <c r="F27" s="262">
        <f t="shared" si="14"/>
        <v>0.95944937873158653</v>
      </c>
      <c r="G27" s="262">
        <f t="shared" si="14"/>
        <v>0.93874039335956949</v>
      </c>
      <c r="H27" s="262">
        <f t="shared" si="14"/>
        <v>0.91772223886856297</v>
      </c>
      <c r="I27" s="262">
        <f t="shared" si="14"/>
        <v>0.8963781307771419</v>
      </c>
      <c r="J27" s="262">
        <f t="shared" si="14"/>
        <v>0.87468965915462238</v>
      </c>
      <c r="K27" s="262">
        <f t="shared" si="14"/>
        <v>0.85263655618876089</v>
      </c>
      <c r="L27" s="262">
        <f t="shared" si="14"/>
        <v>0.83019641884114292</v>
      </c>
      <c r="M27" s="262">
        <f t="shared" si="14"/>
        <v>0.8073443754472972</v>
      </c>
      <c r="N27" s="262">
        <f t="shared" si="14"/>
        <v>0.78405268168311582</v>
      </c>
      <c r="O27" s="262">
        <f t="shared" si="14"/>
        <v>0.76029022659663359</v>
      </c>
      <c r="P27" s="262">
        <f t="shared" si="14"/>
        <v>0.73602192281783341</v>
      </c>
      <c r="Q27" s="262">
        <f t="shared" si="14"/>
        <v>0.71120794572645207</v>
      </c>
      <c r="R27" s="262">
        <f t="shared" si="14"/>
        <v>0.68580277290067215</v>
      </c>
      <c r="S27" s="262">
        <f t="shared" si="14"/>
        <v>0.6597539553864471</v>
      </c>
      <c r="T27" s="262">
        <f t="shared" si="14"/>
        <v>0.63300052261123352</v>
      </c>
      <c r="U27" s="242"/>
    </row>
    <row r="28" spans="2:36">
      <c r="B28" s="232">
        <v>2</v>
      </c>
      <c r="C28" s="234"/>
      <c r="D28" s="264">
        <f t="shared" ref="D28:S46" si="15">(1+0.07161*SQRT(($B28-1)))*(POWER((D$2+6.5)/14,0.6)/POWER((15/14),0.6))</f>
        <v>1.07161</v>
      </c>
      <c r="E28" s="264">
        <f t="shared" si="15"/>
        <v>1.0500326505833193</v>
      </c>
      <c r="F28" s="264">
        <f t="shared" si="15"/>
        <v>1.0281555487425553</v>
      </c>
      <c r="G28" s="264">
        <f t="shared" si="15"/>
        <v>1.0059635929280482</v>
      </c>
      <c r="H28" s="264">
        <f t="shared" si="15"/>
        <v>0.98344032839394069</v>
      </c>
      <c r="I28" s="264">
        <f t="shared" si="15"/>
        <v>0.96056776872209304</v>
      </c>
      <c r="J28" s="264">
        <f t="shared" si="15"/>
        <v>0.9373261856466848</v>
      </c>
      <c r="K28" s="264">
        <f t="shared" si="15"/>
        <v>0.91369385997743802</v>
      </c>
      <c r="L28" s="264">
        <f t="shared" si="15"/>
        <v>0.88964678439435718</v>
      </c>
      <c r="M28" s="264">
        <f t="shared" si="15"/>
        <v>0.8651583061730781</v>
      </c>
      <c r="N28" s="264">
        <f t="shared" si="15"/>
        <v>0.84019869421844373</v>
      </c>
      <c r="O28" s="264">
        <f t="shared" si="15"/>
        <v>0.81473460972321854</v>
      </c>
      <c r="P28" s="264">
        <f t="shared" si="15"/>
        <v>0.78872845271081837</v>
      </c>
      <c r="Q28" s="264">
        <f t="shared" si="15"/>
        <v>0.76213754671992329</v>
      </c>
      <c r="R28" s="264">
        <f t="shared" si="15"/>
        <v>0.7349131094680893</v>
      </c>
      <c r="S28" s="264">
        <f t="shared" si="15"/>
        <v>0.70699893613167053</v>
      </c>
      <c r="T28" s="264">
        <f t="shared" si="14"/>
        <v>0.67832969003542387</v>
      </c>
      <c r="U28" s="242"/>
    </row>
    <row r="29" spans="2:36">
      <c r="B29" s="232">
        <v>3</v>
      </c>
      <c r="C29" s="234"/>
      <c r="D29" s="264">
        <f t="shared" si="15"/>
        <v>1.1012718332015374</v>
      </c>
      <c r="E29" s="264">
        <f t="shared" si="14"/>
        <v>1.0790972294298873</v>
      </c>
      <c r="F29" s="264">
        <f t="shared" si="14"/>
        <v>1.0566145761798105</v>
      </c>
      <c r="G29" s="264">
        <f t="shared" si="14"/>
        <v>1.0338083538954255</v>
      </c>
      <c r="H29" s="264">
        <f t="shared" si="14"/>
        <v>1.0106616523686016</v>
      </c>
      <c r="I29" s="264">
        <f t="shared" si="14"/>
        <v>0.98715598732271048</v>
      </c>
      <c r="J29" s="264">
        <f t="shared" si="14"/>
        <v>0.96327108441963893</v>
      </c>
      <c r="K29" s="264">
        <f t="shared" si="14"/>
        <v>0.93898462328864241</v>
      </c>
      <c r="L29" s="264">
        <f t="shared" si="14"/>
        <v>0.91427193209453683</v>
      </c>
      <c r="M29" s="264">
        <f t="shared" si="14"/>
        <v>0.88910562037379526</v>
      </c>
      <c r="N29" s="264">
        <f t="shared" si="14"/>
        <v>0.86345513408374641</v>
      </c>
      <c r="O29" s="264">
        <f t="shared" si="14"/>
        <v>0.83728621160928696</v>
      </c>
      <c r="P29" s="264">
        <f t="shared" si="14"/>
        <v>0.81056021221811592</v>
      </c>
      <c r="Q29" s="264">
        <f t="shared" si="14"/>
        <v>0.78323327817766941</v>
      </c>
      <c r="R29" s="264">
        <f t="shared" si="14"/>
        <v>0.75525527692702088</v>
      </c>
      <c r="S29" s="264">
        <f t="shared" si="14"/>
        <v>0.72656844791039799</v>
      </c>
      <c r="T29" s="264">
        <f t="shared" si="14"/>
        <v>0.69710564595360436</v>
      </c>
      <c r="U29" s="242"/>
    </row>
    <row r="30" spans="2:36">
      <c r="B30" s="232">
        <v>4</v>
      </c>
      <c r="C30" s="234"/>
      <c r="D30" s="264">
        <f t="shared" si="15"/>
        <v>1.1240321583300072</v>
      </c>
      <c r="E30" s="264">
        <f t="shared" si="14"/>
        <v>1.101399265173101</v>
      </c>
      <c r="F30" s="264">
        <f t="shared" si="14"/>
        <v>1.0784519559840497</v>
      </c>
      <c r="G30" s="264">
        <f t="shared" si="14"/>
        <v>1.055174390459517</v>
      </c>
      <c r="H30" s="264">
        <f t="shared" si="14"/>
        <v>1.0315493089028773</v>
      </c>
      <c r="I30" s="264">
        <f t="shared" si="14"/>
        <v>1.0075578450172482</v>
      </c>
      <c r="J30" s="264">
        <f t="shared" si="14"/>
        <v>0.98317930544850862</v>
      </c>
      <c r="K30" s="264">
        <f t="shared" si="14"/>
        <v>0.9583909085239174</v>
      </c>
      <c r="L30" s="264">
        <f t="shared" si="14"/>
        <v>0.93316747250785259</v>
      </c>
      <c r="M30" s="264">
        <f t="shared" si="14"/>
        <v>0.90748104084961723</v>
      </c>
      <c r="N30" s="264">
        <f t="shared" si="14"/>
        <v>0.88130042803670283</v>
      </c>
      <c r="O30" s="264">
        <f t="shared" si="14"/>
        <v>0.8545906643586243</v>
      </c>
      <c r="P30" s="264">
        <f t="shared" si="14"/>
        <v>0.82731231048313125</v>
      </c>
      <c r="Q30" s="264">
        <f t="shared" si="14"/>
        <v>0.79942060225635458</v>
      </c>
      <c r="R30" s="264">
        <f t="shared" si="14"/>
        <v>0.77086437101224636</v>
      </c>
      <c r="S30" s="264">
        <f t="shared" si="14"/>
        <v>0.74158466243978749</v>
      </c>
      <c r="T30" s="264">
        <f t="shared" si="14"/>
        <v>0.71151294365472739</v>
      </c>
      <c r="U30" s="242"/>
    </row>
    <row r="31" spans="2:36">
      <c r="B31" s="232">
        <v>5</v>
      </c>
      <c r="C31" s="234"/>
      <c r="D31" s="264">
        <f t="shared" si="15"/>
        <v>1.1432199999999999</v>
      </c>
      <c r="E31" s="264">
        <f t="shared" si="14"/>
        <v>1.1202007510193654</v>
      </c>
      <c r="F31" s="264">
        <f t="shared" si="14"/>
        <v>1.0968617187535243</v>
      </c>
      <c r="G31" s="264">
        <f t="shared" si="14"/>
        <v>1.073186792496527</v>
      </c>
      <c r="H31" s="264">
        <f t="shared" si="14"/>
        <v>1.0491584179193185</v>
      </c>
      <c r="I31" s="264">
        <f t="shared" si="14"/>
        <v>1.0247574066670442</v>
      </c>
      <c r="J31" s="264">
        <f t="shared" si="14"/>
        <v>0.99996271213874732</v>
      </c>
      <c r="K31" s="264">
        <f t="shared" si="14"/>
        <v>0.97475116376611515</v>
      </c>
      <c r="L31" s="264">
        <f t="shared" si="14"/>
        <v>0.94909714994757133</v>
      </c>
      <c r="M31" s="264">
        <f t="shared" si="14"/>
        <v>0.92297223689885899</v>
      </c>
      <c r="N31" s="264">
        <f t="shared" si="14"/>
        <v>0.89634470675377154</v>
      </c>
      <c r="O31" s="264">
        <f t="shared" si="14"/>
        <v>0.86917899284980338</v>
      </c>
      <c r="P31" s="264">
        <f t="shared" si="14"/>
        <v>0.84143498260380345</v>
      </c>
      <c r="Q31" s="264">
        <f t="shared" si="14"/>
        <v>0.8130671477133945</v>
      </c>
      <c r="R31" s="264">
        <f t="shared" si="14"/>
        <v>0.78402344603550633</v>
      </c>
      <c r="S31" s="264">
        <f t="shared" si="14"/>
        <v>0.75424391687689396</v>
      </c>
      <c r="T31" s="264">
        <f t="shared" si="14"/>
        <v>0.72365885745961434</v>
      </c>
      <c r="U31" s="242"/>
    </row>
    <row r="32" spans="2:36">
      <c r="B32" s="232">
        <v>6</v>
      </c>
      <c r="C32" s="234"/>
      <c r="D32" s="264">
        <f t="shared" si="15"/>
        <v>1.1601248278687599</v>
      </c>
      <c r="E32" s="264">
        <f t="shared" si="14"/>
        <v>1.1367651925743052</v>
      </c>
      <c r="F32" s="264">
        <f t="shared" si="14"/>
        <v>1.1130810453497704</v>
      </c>
      <c r="G32" s="264">
        <f t="shared" si="14"/>
        <v>1.0890560372597224</v>
      </c>
      <c r="H32" s="264">
        <f t="shared" si="14"/>
        <v>1.0646723543987247</v>
      </c>
      <c r="I32" s="264">
        <f t="shared" si="14"/>
        <v>1.0399105246731526</v>
      </c>
      <c r="J32" s="264">
        <f t="shared" si="14"/>
        <v>1.0147491902653405</v>
      </c>
      <c r="K32" s="264">
        <f t="shared" si="14"/>
        <v>0.98916483798309851</v>
      </c>
      <c r="L32" s="264">
        <f t="shared" si="14"/>
        <v>0.96313147750534189</v>
      </c>
      <c r="M32" s="264">
        <f t="shared" si="14"/>
        <v>0.93662025459660714</v>
      </c>
      <c r="N32" s="264">
        <f t="shared" si="14"/>
        <v>0.90959898237766434</v>
      </c>
      <c r="O32" s="264">
        <f t="shared" si="14"/>
        <v>0.88203156826072004</v>
      </c>
      <c r="P32" s="264">
        <f t="shared" si="14"/>
        <v>0.85387730651667271</v>
      </c>
      <c r="Q32" s="264">
        <f t="shared" si="14"/>
        <v>0.82508999561479457</v>
      </c>
      <c r="R32" s="264">
        <f t="shared" si="14"/>
        <v>0.79561682386331056</v>
      </c>
      <c r="S32" s="264">
        <f t="shared" si="14"/>
        <v>0.76539694392843549</v>
      </c>
      <c r="T32" s="264">
        <f t="shared" si="14"/>
        <v>0.73435962233519236</v>
      </c>
      <c r="U32" s="242"/>
    </row>
    <row r="33" spans="2:21">
      <c r="B33" s="232">
        <v>7</v>
      </c>
      <c r="C33" s="234"/>
      <c r="D33" s="264">
        <f t="shared" si="15"/>
        <v>1.1754079604807033</v>
      </c>
      <c r="E33" s="264">
        <f t="shared" si="14"/>
        <v>1.1517405924359481</v>
      </c>
      <c r="F33" s="264">
        <f t="shared" si="14"/>
        <v>1.1277444374393719</v>
      </c>
      <c r="G33" s="264">
        <f t="shared" si="14"/>
        <v>1.1034029311796247</v>
      </c>
      <c r="H33" s="264">
        <f t="shared" si="14"/>
        <v>1.0786980250762823</v>
      </c>
      <c r="I33" s="264">
        <f t="shared" si="14"/>
        <v>1.0536099905162655</v>
      </c>
      <c r="J33" s="264">
        <f t="shared" si="14"/>
        <v>1.0281171883204963</v>
      </c>
      <c r="K33" s="264">
        <f t="shared" si="14"/>
        <v>1.002195795541122</v>
      </c>
      <c r="L33" s="264">
        <f t="shared" si="14"/>
        <v>0.97581947946845149</v>
      </c>
      <c r="M33" s="264">
        <f t="shared" si="14"/>
        <v>0.94895900575007475</v>
      </c>
      <c r="N33" s="264">
        <f t="shared" si="14"/>
        <v>0.92158176348657728</v>
      </c>
      <c r="O33" s="264">
        <f t="shared" si="14"/>
        <v>0.89365118461736082</v>
      </c>
      <c r="P33" s="264">
        <f t="shared" si="14"/>
        <v>0.86512602716839515</v>
      </c>
      <c r="Q33" s="264">
        <f t="shared" si="14"/>
        <v>0.83595948096399975</v>
      </c>
      <c r="R33" s="264">
        <f t="shared" si="14"/>
        <v>0.80609803858718998</v>
      </c>
      <c r="S33" s="264">
        <f t="shared" si="14"/>
        <v>0.77548005111986074</v>
      </c>
      <c r="T33" s="264">
        <f t="shared" si="14"/>
        <v>0.74403385326568927</v>
      </c>
      <c r="U33" s="242"/>
    </row>
    <row r="34" spans="2:21">
      <c r="B34" s="232">
        <v>8</v>
      </c>
      <c r="C34" s="234"/>
      <c r="D34" s="264">
        <f t="shared" si="15"/>
        <v>1.1894622513853352</v>
      </c>
      <c r="E34" s="264">
        <f t="shared" si="14"/>
        <v>1.1655118938708542</v>
      </c>
      <c r="F34" s="264">
        <f t="shared" si="14"/>
        <v>1.1412288181163341</v>
      </c>
      <c r="G34" s="264">
        <f t="shared" si="14"/>
        <v>1.1165962617518288</v>
      </c>
      <c r="H34" s="264">
        <f t="shared" si="14"/>
        <v>1.0915959603909913</v>
      </c>
      <c r="I34" s="264">
        <f t="shared" si="14"/>
        <v>1.0662079495267576</v>
      </c>
      <c r="J34" s="264">
        <f t="shared" si="14"/>
        <v>1.0404103312415287</v>
      </c>
      <c r="K34" s="264">
        <f t="shared" si="14"/>
        <v>1.0141789977377225</v>
      </c>
      <c r="L34" s="264">
        <f t="shared" si="14"/>
        <v>0.98748730144682861</v>
      </c>
      <c r="M34" s="264">
        <f t="shared" si="14"/>
        <v>0.96030565846282945</v>
      </c>
      <c r="N34" s="264">
        <f t="shared" si="14"/>
        <v>0.93260106795950848</v>
      </c>
      <c r="O34" s="264">
        <f t="shared" si="14"/>
        <v>0.90433652463389846</v>
      </c>
      <c r="P34" s="264">
        <f t="shared" si="14"/>
        <v>0.87547029338386362</v>
      </c>
      <c r="Q34" s="264">
        <f t="shared" si="14"/>
        <v>0.84595500432692494</v>
      </c>
      <c r="R34" s="264">
        <f t="shared" si="14"/>
        <v>0.81573651026073923</v>
      </c>
      <c r="S34" s="264">
        <f t="shared" si="14"/>
        <v>0.7847524251343434</v>
      </c>
      <c r="T34" s="264">
        <f t="shared" si="14"/>
        <v>0.75293022675325161</v>
      </c>
      <c r="U34" s="242"/>
    </row>
    <row r="35" spans="2:21">
      <c r="B35" s="232">
        <v>9</v>
      </c>
      <c r="C35" s="234"/>
      <c r="D35" s="264">
        <f t="shared" si="15"/>
        <v>1.2025436664030746</v>
      </c>
      <c r="E35" s="264">
        <f t="shared" si="14"/>
        <v>1.1783299087125012</v>
      </c>
      <c r="F35" s="264">
        <f t="shared" si="14"/>
        <v>1.1537797736280342</v>
      </c>
      <c r="G35" s="264">
        <f t="shared" si="14"/>
        <v>1.1288763144312812</v>
      </c>
      <c r="H35" s="264">
        <f t="shared" si="14"/>
        <v>1.1036010658686399</v>
      </c>
      <c r="I35" s="264">
        <f t="shared" si="14"/>
        <v>1.0779338438682788</v>
      </c>
      <c r="J35" s="264">
        <f t="shared" si="14"/>
        <v>1.0518525096846554</v>
      </c>
      <c r="K35" s="264">
        <f t="shared" si="14"/>
        <v>1.0253326903885236</v>
      </c>
      <c r="L35" s="264">
        <f t="shared" si="14"/>
        <v>0.99834744534793063</v>
      </c>
      <c r="M35" s="264">
        <f t="shared" si="14"/>
        <v>0.9708668653002932</v>
      </c>
      <c r="N35" s="264">
        <f t="shared" si="14"/>
        <v>0.9428575864843769</v>
      </c>
      <c r="O35" s="264">
        <f t="shared" si="14"/>
        <v>0.91428219662194021</v>
      </c>
      <c r="P35" s="264">
        <f t="shared" si="14"/>
        <v>0.8850985016183982</v>
      </c>
      <c r="Q35" s="264">
        <f t="shared" si="14"/>
        <v>0.85525861062888664</v>
      </c>
      <c r="R35" s="264">
        <f t="shared" si="14"/>
        <v>0.8247077809533695</v>
      </c>
      <c r="S35" s="264">
        <f t="shared" si="14"/>
        <v>0.79338294043434865</v>
      </c>
      <c r="T35" s="264">
        <f t="shared" si="14"/>
        <v>0.76121076929597509</v>
      </c>
      <c r="U35" s="242"/>
    </row>
    <row r="36" spans="2:21">
      <c r="B36" s="232">
        <v>10</v>
      </c>
      <c r="C36" s="234"/>
      <c r="D36" s="264">
        <f t="shared" si="15"/>
        <v>1.2148300000000001</v>
      </c>
      <c r="E36" s="264">
        <f t="shared" si="14"/>
        <v>1.1903688514554118</v>
      </c>
      <c r="F36" s="264">
        <f t="shared" si="14"/>
        <v>1.1655678887644934</v>
      </c>
      <c r="G36" s="264">
        <f t="shared" si="14"/>
        <v>1.1404099920650059</v>
      </c>
      <c r="H36" s="264">
        <f t="shared" si="14"/>
        <v>1.1148765074446965</v>
      </c>
      <c r="I36" s="264">
        <f t="shared" si="14"/>
        <v>1.0889470446119953</v>
      </c>
      <c r="J36" s="264">
        <f t="shared" si="14"/>
        <v>1.0625992386308101</v>
      </c>
      <c r="K36" s="264">
        <f t="shared" si="14"/>
        <v>1.0358084675547925</v>
      </c>
      <c r="L36" s="264">
        <f t="shared" si="14"/>
        <v>1.0085475155007857</v>
      </c>
      <c r="M36" s="264">
        <f t="shared" si="14"/>
        <v>0.9807861676246401</v>
      </c>
      <c r="N36" s="264">
        <f t="shared" si="14"/>
        <v>0.95249071928909967</v>
      </c>
      <c r="O36" s="264">
        <f t="shared" si="14"/>
        <v>0.92362337597638844</v>
      </c>
      <c r="P36" s="264">
        <f t="shared" si="14"/>
        <v>0.89414151249678864</v>
      </c>
      <c r="Q36" s="264">
        <f t="shared" si="14"/>
        <v>0.86399674870686582</v>
      </c>
      <c r="R36" s="264">
        <f t="shared" si="14"/>
        <v>0.83313378260292359</v>
      </c>
      <c r="S36" s="264">
        <f t="shared" si="14"/>
        <v>0.80148889762211761</v>
      </c>
      <c r="T36" s="264">
        <f t="shared" si="14"/>
        <v>0.76898802488380491</v>
      </c>
      <c r="U36" s="242"/>
    </row>
    <row r="37" spans="2:21">
      <c r="B37" s="232">
        <v>11</v>
      </c>
      <c r="C37" s="234"/>
      <c r="D37" s="264">
        <f t="shared" si="15"/>
        <v>1.2264507032446577</v>
      </c>
      <c r="E37" s="264">
        <f t="shared" si="14"/>
        <v>1.2017555666126332</v>
      </c>
      <c r="F37" s="264">
        <f t="shared" si="14"/>
        <v>1.1767173652730043</v>
      </c>
      <c r="G37" s="264">
        <f t="shared" si="14"/>
        <v>1.1513188156000105</v>
      </c>
      <c r="H37" s="264">
        <f t="shared" si="14"/>
        <v>1.1255410852436107</v>
      </c>
      <c r="I37" s="264">
        <f t="shared" si="14"/>
        <v>1.0993635888647575</v>
      </c>
      <c r="J37" s="264">
        <f t="shared" si="14"/>
        <v>1.0727637475910166</v>
      </c>
      <c r="K37" s="264">
        <f t="shared" si="14"/>
        <v>1.0457167039498088</v>
      </c>
      <c r="L37" s="264">
        <f t="shared" si="14"/>
        <v>1.0181949817189162</v>
      </c>
      <c r="M37" s="264">
        <f t="shared" si="14"/>
        <v>0.99016807702795662</v>
      </c>
      <c r="N37" s="264">
        <f t="shared" si="14"/>
        <v>0.9616019628311171</v>
      </c>
      <c r="O37" s="264">
        <f t="shared" si="14"/>
        <v>0.93245848307948143</v>
      </c>
      <c r="P37" s="264">
        <f t="shared" si="14"/>
        <v>0.9026946048434169</v>
      </c>
      <c r="Q37" s="264">
        <f t="shared" si="14"/>
        <v>0.8722614851893955</v>
      </c>
      <c r="R37" s="264">
        <f t="shared" si="14"/>
        <v>0.84110329311116561</v>
      </c>
      <c r="S37" s="264">
        <f t="shared" si="14"/>
        <v>0.80915570255215252</v>
      </c>
      <c r="T37" s="264">
        <f t="shared" si="14"/>
        <v>0.77634393611078312</v>
      </c>
      <c r="U37" s="242"/>
    </row>
    <row r="38" spans="2:21">
      <c r="B38" s="232">
        <v>12</v>
      </c>
      <c r="C38" s="234"/>
      <c r="D38" s="264">
        <f t="shared" si="15"/>
        <v>1.2375035012373501</v>
      </c>
      <c r="E38" s="264">
        <f t="shared" si="14"/>
        <v>1.2125858115456116</v>
      </c>
      <c r="F38" s="264">
        <f t="shared" si="14"/>
        <v>1.1873219654403386</v>
      </c>
      <c r="G38" s="264">
        <f t="shared" si="14"/>
        <v>1.1616945235353946</v>
      </c>
      <c r="H38" s="264">
        <f t="shared" si="14"/>
        <v>1.1356844837632265</v>
      </c>
      <c r="I38" s="264">
        <f t="shared" si="14"/>
        <v>1.1092710752693045</v>
      </c>
      <c r="J38" s="264">
        <f t="shared" si="14"/>
        <v>1.0824315156999496</v>
      </c>
      <c r="K38" s="264">
        <f t="shared" si="14"/>
        <v>1.0551407235665482</v>
      </c>
      <c r="L38" s="264">
        <f t="shared" si="14"/>
        <v>1.0273709750306239</v>
      </c>
      <c r="M38" s="264">
        <f t="shared" si="14"/>
        <v>0.99909149132031194</v>
      </c>
      <c r="N38" s="264">
        <f t="shared" si="14"/>
        <v>0.97026793873738937</v>
      </c>
      <c r="O38" s="264">
        <f t="shared" si="14"/>
        <v>0.94086181736987229</v>
      </c>
      <c r="P38" s="264">
        <f t="shared" si="14"/>
        <v>0.91082970647451544</v>
      </c>
      <c r="Q38" s="264">
        <f t="shared" si="14"/>
        <v>0.8801223229443077</v>
      </c>
      <c r="R38" s="264">
        <f t="shared" si="14"/>
        <v>0.84868333262286511</v>
      </c>
      <c r="S38" s="264">
        <f t="shared" si="14"/>
        <v>0.81644782974591878</v>
      </c>
      <c r="T38" s="264">
        <f t="shared" si="14"/>
        <v>0.78334036301647392</v>
      </c>
      <c r="U38" s="242"/>
    </row>
    <row r="39" spans="2:21">
      <c r="B39" s="232">
        <v>13</v>
      </c>
      <c r="C39" s="234"/>
      <c r="D39" s="264">
        <f t="shared" si="15"/>
        <v>1.2480643166600145</v>
      </c>
      <c r="E39" s="264">
        <f t="shared" si="14"/>
        <v>1.222933980198929</v>
      </c>
      <c r="F39" s="264">
        <f t="shared" si="14"/>
        <v>1.197454533236513</v>
      </c>
      <c r="G39" s="264">
        <f t="shared" si="14"/>
        <v>1.1716083875594643</v>
      </c>
      <c r="H39" s="264">
        <f t="shared" si="14"/>
        <v>1.1453763789371916</v>
      </c>
      <c r="I39" s="264">
        <f t="shared" si="14"/>
        <v>1.1187375592573547</v>
      </c>
      <c r="J39" s="264">
        <f t="shared" si="14"/>
        <v>1.0916689517423948</v>
      </c>
      <c r="K39" s="264">
        <f t="shared" si="14"/>
        <v>1.064145260859074</v>
      </c>
      <c r="L39" s="264">
        <f t="shared" si="14"/>
        <v>1.0361385261745621</v>
      </c>
      <c r="M39" s="264">
        <f t="shared" si="14"/>
        <v>1.0076177062519371</v>
      </c>
      <c r="N39" s="264">
        <f t="shared" si="14"/>
        <v>0.97854817439028985</v>
      </c>
      <c r="O39" s="264">
        <f t="shared" si="14"/>
        <v>0.94889110212061512</v>
      </c>
      <c r="P39" s="264">
        <f t="shared" si="14"/>
        <v>0.91860269814842921</v>
      </c>
      <c r="Q39" s="264">
        <f t="shared" si="14"/>
        <v>0.8876332587862571</v>
      </c>
      <c r="R39" s="264">
        <f t="shared" si="14"/>
        <v>0.85592596912382046</v>
      </c>
      <c r="S39" s="264">
        <f t="shared" si="14"/>
        <v>0.82341536949312777</v>
      </c>
      <c r="T39" s="264">
        <f t="shared" si="14"/>
        <v>0.79002536469822127</v>
      </c>
      <c r="U39" s="242"/>
    </row>
    <row r="40" spans="2:21">
      <c r="B40" s="232">
        <v>14</v>
      </c>
      <c r="C40" s="234"/>
      <c r="D40" s="264">
        <f t="shared" si="15"/>
        <v>1.2581935268359763</v>
      </c>
      <c r="E40" s="264">
        <f t="shared" si="14"/>
        <v>1.2328592341713449</v>
      </c>
      <c r="F40" s="264">
        <f t="shared" si="14"/>
        <v>1.2071729976468812</v>
      </c>
      <c r="G40" s="264">
        <f t="shared" si="14"/>
        <v>1.1811170863044684</v>
      </c>
      <c r="H40" s="264">
        <f t="shared" si="14"/>
        <v>1.1546721803778455</v>
      </c>
      <c r="I40" s="264">
        <f t="shared" si="14"/>
        <v>1.1278171617411321</v>
      </c>
      <c r="J40" s="264">
        <f t="shared" si="14"/>
        <v>1.1005288671387123</v>
      </c>
      <c r="K40" s="264">
        <f t="shared" si="14"/>
        <v>1.0727817957404182</v>
      </c>
      <c r="L40" s="264">
        <f t="shared" si="14"/>
        <v>1.0445477601883351</v>
      </c>
      <c r="M40" s="264">
        <f t="shared" si="14"/>
        <v>1.0157954671152234</v>
      </c>
      <c r="N40" s="264">
        <f t="shared" si="14"/>
        <v>0.98649000879208459</v>
      </c>
      <c r="O40" s="264">
        <f t="shared" si="14"/>
        <v>0.95659224162054202</v>
      </c>
      <c r="P40" s="264">
        <f t="shared" si="14"/>
        <v>0.9260580188987666</v>
      </c>
      <c r="Q40" s="264">
        <f t="shared" si="14"/>
        <v>0.89483723354733435</v>
      </c>
      <c r="R40" s="264">
        <f t="shared" si="14"/>
        <v>0.86287260954978884</v>
      </c>
      <c r="S40" s="264">
        <f t="shared" si="14"/>
        <v>0.83009815597165926</v>
      </c>
      <c r="T40" s="264">
        <f t="shared" si="14"/>
        <v>0.79643716003324405</v>
      </c>
      <c r="U40" s="242"/>
    </row>
    <row r="41" spans="2:21">
      <c r="B41" s="232">
        <v>15</v>
      </c>
      <c r="C41" s="234"/>
      <c r="D41" s="264">
        <f t="shared" si="15"/>
        <v>1.2679400854668819</v>
      </c>
      <c r="E41" s="264">
        <f t="shared" si="14"/>
        <v>1.2424095414597012</v>
      </c>
      <c r="F41" s="264">
        <f t="shared" si="14"/>
        <v>1.2165243272700745</v>
      </c>
      <c r="G41" s="264">
        <f t="shared" si="14"/>
        <v>1.1902665745875469</v>
      </c>
      <c r="H41" s="264">
        <f t="shared" si="14"/>
        <v>1.1636168139858638</v>
      </c>
      <c r="I41" s="264">
        <f t="shared" si="14"/>
        <v>1.136553763748213</v>
      </c>
      <c r="J41" s="264">
        <f t="shared" si="14"/>
        <v>1.1090540811855096</v>
      </c>
      <c r="K41" s="264">
        <f t="shared" si="14"/>
        <v>1.0810920679261653</v>
      </c>
      <c r="L41" s="264">
        <f t="shared" si="14"/>
        <v>1.052639318259738</v>
      </c>
      <c r="M41" s="264">
        <f t="shared" si="14"/>
        <v>1.0236642964058524</v>
      </c>
      <c r="N41" s="264">
        <f t="shared" si="14"/>
        <v>0.99413182422382773</v>
      </c>
      <c r="O41" s="264">
        <f t="shared" si="14"/>
        <v>0.96400245489057057</v>
      </c>
      <c r="P41" s="264">
        <f t="shared" si="14"/>
        <v>0.93323169972314246</v>
      </c>
      <c r="Q41" s="264">
        <f t="shared" si="14"/>
        <v>0.90176906348912311</v>
      </c>
      <c r="R41" s="264">
        <f t="shared" si="14"/>
        <v>0.8695568264851028</v>
      </c>
      <c r="S41" s="264">
        <f t="shared" si="14"/>
        <v>0.83652848657980505</v>
      </c>
      <c r="T41" s="264">
        <f t="shared" si="14"/>
        <v>0.80260673674026828</v>
      </c>
      <c r="U41" s="242"/>
    </row>
    <row r="42" spans="2:21">
      <c r="B42" s="232">
        <v>16</v>
      </c>
      <c r="C42" s="234"/>
      <c r="D42" s="264">
        <f t="shared" si="15"/>
        <v>1.2773443374219131</v>
      </c>
      <c r="E42" s="264">
        <f t="shared" si="14"/>
        <v>1.2516244345710896</v>
      </c>
      <c r="F42" s="264">
        <f t="shared" si="14"/>
        <v>1.2255472309657647</v>
      </c>
      <c r="G42" s="264">
        <f t="shared" si="14"/>
        <v>1.1990947257670654</v>
      </c>
      <c r="H42" s="264">
        <f t="shared" si="14"/>
        <v>1.1722473051449191</v>
      </c>
      <c r="I42" s="264">
        <f t="shared" si="14"/>
        <v>1.1449835295370212</v>
      </c>
      <c r="J42" s="264">
        <f t="shared" si="14"/>
        <v>1.1172798831226602</v>
      </c>
      <c r="K42" s="264">
        <f t="shared" si="14"/>
        <v>1.0891104769266347</v>
      </c>
      <c r="L42" s="264">
        <f t="shared" si="14"/>
        <v>1.0604466945546849</v>
      </c>
      <c r="M42" s="264">
        <f t="shared" si="14"/>
        <v>1.031256766327036</v>
      </c>
      <c r="N42" s="264">
        <f t="shared" si="14"/>
        <v>1.0015052531883937</v>
      </c>
      <c r="O42" s="264">
        <f t="shared" si="14"/>
        <v>0.97115241574043309</v>
      </c>
      <c r="P42" s="264">
        <f t="shared" si="14"/>
        <v>0.94015343532974793</v>
      </c>
      <c r="Q42" s="264">
        <f t="shared" si="14"/>
        <v>0.90845744220315483</v>
      </c>
      <c r="R42" s="264">
        <f t="shared" si="14"/>
        <v>0.87600628855291984</v>
      </c>
      <c r="S42" s="264">
        <f t="shared" si="14"/>
        <v>0.84273297900458766</v>
      </c>
      <c r="T42" s="264">
        <f t="shared" si="14"/>
        <v>0.80855963314257084</v>
      </c>
      <c r="U42" s="242"/>
    </row>
    <row r="43" spans="2:21">
      <c r="B43" s="232">
        <v>17</v>
      </c>
      <c r="C43" s="234"/>
      <c r="D43" s="264">
        <f t="shared" si="15"/>
        <v>1.28644</v>
      </c>
      <c r="E43" s="264">
        <f t="shared" ref="E43:T46" si="16">(1+0.07161*SQRT(($B43-1)))*(POWER((E$2+6.5)/14,0.6)/POWER((15/14),0.6))</f>
        <v>1.260536951891458</v>
      </c>
      <c r="F43" s="264">
        <f t="shared" si="16"/>
        <v>1.2342740587754621</v>
      </c>
      <c r="G43" s="264">
        <f t="shared" si="16"/>
        <v>1.2076331916334846</v>
      </c>
      <c r="H43" s="264">
        <f t="shared" si="16"/>
        <v>1.1805945969700742</v>
      </c>
      <c r="I43" s="264">
        <f t="shared" si="16"/>
        <v>1.1531366825569465</v>
      </c>
      <c r="J43" s="264">
        <f t="shared" si="16"/>
        <v>1.1252357651228724</v>
      </c>
      <c r="K43" s="264">
        <f t="shared" si="16"/>
        <v>1.0968657713434695</v>
      </c>
      <c r="L43" s="264">
        <f t="shared" si="16"/>
        <v>1.0679978810539998</v>
      </c>
      <c r="M43" s="264">
        <f t="shared" si="16"/>
        <v>1.0386000983504211</v>
      </c>
      <c r="N43" s="264">
        <f t="shared" si="16"/>
        <v>1.0086367318244276</v>
      </c>
      <c r="O43" s="264">
        <f t="shared" si="16"/>
        <v>0.97806775910297339</v>
      </c>
      <c r="P43" s="264">
        <f t="shared" si="16"/>
        <v>0.9468480423897736</v>
      </c>
      <c r="Q43" s="264">
        <f t="shared" si="16"/>
        <v>0.91492634970033704</v>
      </c>
      <c r="R43" s="264">
        <f t="shared" si="16"/>
        <v>0.88224411917034073</v>
      </c>
      <c r="S43" s="264">
        <f t="shared" si="16"/>
        <v>0.84873387836734104</v>
      </c>
      <c r="T43" s="264">
        <f t="shared" si="16"/>
        <v>0.81431719230799526</v>
      </c>
      <c r="U43" s="242"/>
    </row>
    <row r="44" spans="2:21">
      <c r="B44" s="232">
        <v>18</v>
      </c>
      <c r="C44" s="234"/>
      <c r="D44" s="264">
        <f t="shared" si="15"/>
        <v>1.2952555938504806</v>
      </c>
      <c r="E44" s="264">
        <f t="shared" si="16"/>
        <v>1.2691750397940402</v>
      </c>
      <c r="F44" s="264">
        <f t="shared" si="16"/>
        <v>1.2427321748184559</v>
      </c>
      <c r="G44" s="264">
        <f t="shared" si="16"/>
        <v>1.2159087456723829</v>
      </c>
      <c r="H44" s="264">
        <f t="shared" si="16"/>
        <v>1.1886848634954932</v>
      </c>
      <c r="I44" s="264">
        <f t="shared" si="16"/>
        <v>1.1610387880943307</v>
      </c>
      <c r="J44" s="264">
        <f t="shared" si="16"/>
        <v>1.1329466739031948</v>
      </c>
      <c r="K44" s="264">
        <f t="shared" si="16"/>
        <v>1.1043822689249021</v>
      </c>
      <c r="L44" s="264">
        <f t="shared" si="16"/>
        <v>1.0753165554986268</v>
      </c>
      <c r="M44" s="264">
        <f t="shared" si="16"/>
        <v>1.0457173184618342</v>
      </c>
      <c r="N44" s="264">
        <f t="shared" si="16"/>
        <v>1.0155486218235261</v>
      </c>
      <c r="O44" s="264">
        <f t="shared" si="16"/>
        <v>0.98477016894913916</v>
      </c>
      <c r="P44" s="264">
        <f t="shared" si="16"/>
        <v>0.95333651272638542</v>
      </c>
      <c r="Q44" s="264">
        <f t="shared" si="16"/>
        <v>0.92119607009309612</v>
      </c>
      <c r="R44" s="264">
        <f t="shared" si="16"/>
        <v>0.88828987787776637</v>
      </c>
      <c r="S44" s="264">
        <f t="shared" si="16"/>
        <v>0.85455000127927605</v>
      </c>
      <c r="T44" s="264">
        <f t="shared" si="16"/>
        <v>0.81989746782247785</v>
      </c>
      <c r="U44" s="242"/>
    </row>
    <row r="45" spans="2:21">
      <c r="B45" s="232">
        <v>19</v>
      </c>
      <c r="C45" s="234"/>
      <c r="D45" s="264">
        <f t="shared" si="15"/>
        <v>1.3038154996046121</v>
      </c>
      <c r="E45" s="264">
        <f t="shared" si="16"/>
        <v>1.2775625879951154</v>
      </c>
      <c r="F45" s="264">
        <f t="shared" si="16"/>
        <v>1.2509449710762581</v>
      </c>
      <c r="G45" s="264">
        <f t="shared" si="16"/>
        <v>1.2239442749671372</v>
      </c>
      <c r="H45" s="264">
        <f t="shared" si="16"/>
        <v>1.1965404793686785</v>
      </c>
      <c r="I45" s="264">
        <f t="shared" si="16"/>
        <v>1.1687117004138476</v>
      </c>
      <c r="J45" s="264">
        <f t="shared" si="16"/>
        <v>1.1404339349496717</v>
      </c>
      <c r="K45" s="264">
        <f t="shared" si="16"/>
        <v>1.1116807574884051</v>
      </c>
      <c r="L45" s="264">
        <f t="shared" si="16"/>
        <v>1.0824229586013245</v>
      </c>
      <c r="M45" s="264">
        <f t="shared" si="16"/>
        <v>1.0526281102267914</v>
      </c>
      <c r="N45" s="264">
        <f t="shared" si="16"/>
        <v>1.0222600388850076</v>
      </c>
      <c r="O45" s="264">
        <f t="shared" si="16"/>
        <v>0.99127818163459358</v>
      </c>
      <c r="P45" s="264">
        <f t="shared" si="16"/>
        <v>0.95963679101868071</v>
      </c>
      <c r="Q45" s="264">
        <f t="shared" si="16"/>
        <v>0.92728394308010398</v>
      </c>
      <c r="R45" s="264">
        <f t="shared" si="16"/>
        <v>0.89416028497971822</v>
      </c>
      <c r="S45" s="264">
        <f t="shared" si="16"/>
        <v>0.86019743295829942</v>
      </c>
      <c r="T45" s="264">
        <f t="shared" si="16"/>
        <v>0.82531589263834593</v>
      </c>
      <c r="U45" s="242"/>
    </row>
    <row r="46" spans="2:21" ht="13.8" thickBot="1">
      <c r="B46" s="232">
        <v>20</v>
      </c>
      <c r="C46" s="234"/>
      <c r="D46" s="267">
        <f t="shared" si="15"/>
        <v>1.3121407533469476</v>
      </c>
      <c r="E46" s="267">
        <f t="shared" si="16"/>
        <v>1.2857202090082109</v>
      </c>
      <c r="F46" s="267">
        <f t="shared" si="16"/>
        <v>1.2589326306071247</v>
      </c>
      <c r="G46" s="267">
        <f t="shared" si="16"/>
        <v>1.2317595269400354</v>
      </c>
      <c r="H46" s="267">
        <f t="shared" si="16"/>
        <v>1.2041807498722437</v>
      </c>
      <c r="I46" s="267">
        <f t="shared" si="16"/>
        <v>1.1761742758016476</v>
      </c>
      <c r="J46" s="267">
        <f t="shared" si="16"/>
        <v>1.1477159483079311</v>
      </c>
      <c r="K46" s="267">
        <f t="shared" si="16"/>
        <v>1.1187791731686676</v>
      </c>
      <c r="L46" s="267">
        <f t="shared" si="16"/>
        <v>1.0893345544441553</v>
      </c>
      <c r="M46" s="267">
        <f t="shared" si="16"/>
        <v>1.0593494570098374</v>
      </c>
      <c r="N46" s="267">
        <f t="shared" si="16"/>
        <v>1.0287874764073781</v>
      </c>
      <c r="O46" s="267">
        <f t="shared" si="16"/>
        <v>0.99760779068882832</v>
      </c>
      <c r="P46" s="267">
        <f t="shared" si="16"/>
        <v>0.96576436028606083</v>
      </c>
      <c r="Q46" s="267">
        <f t="shared" si="16"/>
        <v>0.93320492969184188</v>
      </c>
      <c r="R46" s="267">
        <f t="shared" si="16"/>
        <v>0.89986976708131361</v>
      </c>
      <c r="S46" s="267">
        <f t="shared" si="16"/>
        <v>0.86569005204440119</v>
      </c>
      <c r="T46" s="267">
        <f t="shared" si="16"/>
        <v>0.83058578260811544</v>
      </c>
      <c r="U46" s="242"/>
    </row>
    <row r="47" spans="2:21" ht="13.8" thickBot="1">
      <c r="B47" s="245"/>
      <c r="C47" s="246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8"/>
    </row>
    <row r="50" spans="2:21" ht="13.8" thickBot="1">
      <c r="B50" s="237" t="s">
        <v>598</v>
      </c>
    </row>
    <row r="51" spans="2:21" ht="13.8" thickBot="1">
      <c r="B51" s="231" t="s">
        <v>596</v>
      </c>
      <c r="C51" s="233"/>
      <c r="D51" s="218">
        <v>8.5</v>
      </c>
      <c r="E51" s="218">
        <v>8</v>
      </c>
      <c r="F51" s="218">
        <v>7.5</v>
      </c>
      <c r="G51" s="218">
        <v>7</v>
      </c>
      <c r="H51" s="218">
        <v>6.5</v>
      </c>
      <c r="I51" s="218">
        <v>6</v>
      </c>
      <c r="J51" s="218">
        <v>5.5</v>
      </c>
      <c r="K51" s="218">
        <v>5</v>
      </c>
      <c r="L51" s="218">
        <v>4.5</v>
      </c>
      <c r="M51" s="218">
        <v>4</v>
      </c>
      <c r="N51" s="218">
        <v>3.5</v>
      </c>
      <c r="O51" s="218">
        <v>3</v>
      </c>
      <c r="P51" s="218">
        <v>2.5</v>
      </c>
      <c r="Q51" s="218">
        <v>2</v>
      </c>
      <c r="R51" s="218">
        <v>1.5</v>
      </c>
      <c r="S51" s="218">
        <v>1</v>
      </c>
      <c r="T51" s="218">
        <v>0.5</v>
      </c>
      <c r="U51" s="241"/>
    </row>
    <row r="52" spans="2:21">
      <c r="B52" s="232">
        <v>1</v>
      </c>
      <c r="C52" s="234"/>
      <c r="D52" s="262">
        <f>(4/3*LOG($B52))*(POWER((D$2+6.5)/14,0.6)/POWER((15/14),0.6))</f>
        <v>0</v>
      </c>
      <c r="E52" s="262">
        <f t="shared" ref="E52:T67" si="17">(4/3*LOG($B52))*(POWER((E$2+6.5)/14,0.6)/POWER((15/14),0.6))</f>
        <v>0</v>
      </c>
      <c r="F52" s="262">
        <f t="shared" si="17"/>
        <v>0</v>
      </c>
      <c r="G52" s="262">
        <f t="shared" si="17"/>
        <v>0</v>
      </c>
      <c r="H52" s="262">
        <f t="shared" si="17"/>
        <v>0</v>
      </c>
      <c r="I52" s="262">
        <f t="shared" si="17"/>
        <v>0</v>
      </c>
      <c r="J52" s="262">
        <f t="shared" si="17"/>
        <v>0</v>
      </c>
      <c r="K52" s="262">
        <f t="shared" si="17"/>
        <v>0</v>
      </c>
      <c r="L52" s="262">
        <f t="shared" si="17"/>
        <v>0</v>
      </c>
      <c r="M52" s="262">
        <f t="shared" si="17"/>
        <v>0</v>
      </c>
      <c r="N52" s="262">
        <f t="shared" si="17"/>
        <v>0</v>
      </c>
      <c r="O52" s="262">
        <f t="shared" si="17"/>
        <v>0</v>
      </c>
      <c r="P52" s="262">
        <f t="shared" si="17"/>
        <v>0</v>
      </c>
      <c r="Q52" s="262">
        <f t="shared" si="17"/>
        <v>0</v>
      </c>
      <c r="R52" s="262">
        <f t="shared" si="17"/>
        <v>0</v>
      </c>
      <c r="S52" s="262">
        <f t="shared" si="17"/>
        <v>0</v>
      </c>
      <c r="T52" s="262">
        <f t="shared" si="17"/>
        <v>0</v>
      </c>
      <c r="U52" s="242"/>
    </row>
    <row r="53" spans="2:21">
      <c r="B53" s="232">
        <v>2</v>
      </c>
      <c r="C53" s="234"/>
      <c r="D53" s="264">
        <f t="shared" ref="D53:S71" si="18">(4/3*LOG($B53))*(POWER((D$2+6.5)/14,0.6)/POWER((15/14),0.6))</f>
        <v>0.40137332755197491</v>
      </c>
      <c r="E53" s="264">
        <f t="shared" si="18"/>
        <v>0.39329149504283001</v>
      </c>
      <c r="F53" s="264">
        <f t="shared" si="18"/>
        <v>0.3850973897591719</v>
      </c>
      <c r="G53" s="264">
        <f t="shared" si="18"/>
        <v>0.37678535539018027</v>
      </c>
      <c r="H53" s="264">
        <f t="shared" si="18"/>
        <v>0.36834922878312348</v>
      </c>
      <c r="I53" s="264">
        <f t="shared" si="18"/>
        <v>0.35978227309484079</v>
      </c>
      <c r="J53" s="264">
        <f t="shared" si="18"/>
        <v>0.35107709907019352</v>
      </c>
      <c r="K53" s="264">
        <f t="shared" si="18"/>
        <v>0.34222557174993939</v>
      </c>
      <c r="L53" s="264">
        <f t="shared" si="18"/>
        <v>0.33321869915200264</v>
      </c>
      <c r="M53" s="264">
        <f t="shared" si="18"/>
        <v>0.32404649845365263</v>
      </c>
      <c r="N53" s="264">
        <f t="shared" si="18"/>
        <v>0.31469783382320154</v>
      </c>
      <c r="O53" s="264">
        <f t="shared" si="18"/>
        <v>0.30516021815433586</v>
      </c>
      <c r="P53" s="264">
        <f t="shared" si="18"/>
        <v>0.29541956831259664</v>
      </c>
      <c r="Q53" s="264">
        <f t="shared" si="18"/>
        <v>0.28545989975763042</v>
      </c>
      <c r="R53" s="264">
        <f t="shared" si="18"/>
        <v>0.27526294100351417</v>
      </c>
      <c r="S53" s="264">
        <f t="shared" si="18"/>
        <v>0.26480764043903549</v>
      </c>
      <c r="T53" s="264">
        <f t="shared" si="17"/>
        <v>0.25406952610260991</v>
      </c>
      <c r="U53" s="242"/>
    </row>
    <row r="54" spans="2:21">
      <c r="B54" s="232">
        <v>3</v>
      </c>
      <c r="C54" s="234"/>
      <c r="D54" s="264">
        <f t="shared" si="18"/>
        <v>0.63616167295954984</v>
      </c>
      <c r="E54" s="264">
        <f t="shared" si="17"/>
        <v>0.62335227149544603</v>
      </c>
      <c r="F54" s="264">
        <f t="shared" si="17"/>
        <v>0.6103649218938868</v>
      </c>
      <c r="G54" s="264">
        <f t="shared" si="17"/>
        <v>0.59719065911432967</v>
      </c>
      <c r="H54" s="264">
        <f t="shared" si="17"/>
        <v>0.58381971479080863</v>
      </c>
      <c r="I54" s="264">
        <f t="shared" si="17"/>
        <v>0.57024141127954076</v>
      </c>
      <c r="J54" s="264">
        <f t="shared" si="17"/>
        <v>0.55644403688822297</v>
      </c>
      <c r="K54" s="264">
        <f t="shared" si="17"/>
        <v>0.54241469801151132</v>
      </c>
      <c r="L54" s="264">
        <f t="shared" si="17"/>
        <v>0.52813914269500861</v>
      </c>
      <c r="M54" s="264">
        <f t="shared" si="17"/>
        <v>0.5136015485390355</v>
      </c>
      <c r="N54" s="264">
        <f t="shared" si="17"/>
        <v>0.49878426566795236</v>
      </c>
      <c r="O54" s="264">
        <f t="shared" si="17"/>
        <v>0.48366750248650964</v>
      </c>
      <c r="P54" s="264">
        <f t="shared" si="17"/>
        <v>0.46822893775469759</v>
      </c>
      <c r="Q54" s="264">
        <f t="shared" si="17"/>
        <v>0.45244323657546448</v>
      </c>
      <c r="R54" s="264">
        <f t="shared" si="17"/>
        <v>0.43628143932878982</v>
      </c>
      <c r="S54" s="264">
        <f t="shared" si="17"/>
        <v>0.4197101800003224</v>
      </c>
      <c r="T54" s="264">
        <f t="shared" si="17"/>
        <v>0.40269067144863169</v>
      </c>
      <c r="U54" s="242"/>
    </row>
    <row r="55" spans="2:21">
      <c r="B55" s="232">
        <v>4</v>
      </c>
      <c r="C55" s="234"/>
      <c r="D55" s="264">
        <f t="shared" si="18"/>
        <v>0.80274665510394982</v>
      </c>
      <c r="E55" s="264">
        <f t="shared" si="17"/>
        <v>0.78658299008566002</v>
      </c>
      <c r="F55" s="264">
        <f t="shared" si="17"/>
        <v>0.77019477951834381</v>
      </c>
      <c r="G55" s="264">
        <f t="shared" si="17"/>
        <v>0.75357071078036053</v>
      </c>
      <c r="H55" s="264">
        <f t="shared" si="17"/>
        <v>0.73669845756624697</v>
      </c>
      <c r="I55" s="264">
        <f t="shared" si="17"/>
        <v>0.71956454618968158</v>
      </c>
      <c r="J55" s="264">
        <f t="shared" si="17"/>
        <v>0.70215419814038704</v>
      </c>
      <c r="K55" s="264">
        <f t="shared" si="17"/>
        <v>0.68445114349987879</v>
      </c>
      <c r="L55" s="264">
        <f t="shared" si="17"/>
        <v>0.66643739830400528</v>
      </c>
      <c r="M55" s="264">
        <f t="shared" si="17"/>
        <v>0.64809299690730526</v>
      </c>
      <c r="N55" s="264">
        <f t="shared" si="17"/>
        <v>0.62939566764640309</v>
      </c>
      <c r="O55" s="264">
        <f t="shared" si="17"/>
        <v>0.61032043630867172</v>
      </c>
      <c r="P55" s="264">
        <f t="shared" si="17"/>
        <v>0.59083913662519327</v>
      </c>
      <c r="Q55" s="264">
        <f t="shared" si="17"/>
        <v>0.57091979951526084</v>
      </c>
      <c r="R55" s="264">
        <f t="shared" si="17"/>
        <v>0.55052588200702834</v>
      </c>
      <c r="S55" s="264">
        <f t="shared" si="17"/>
        <v>0.52961528087807097</v>
      </c>
      <c r="T55" s="264">
        <f t="shared" si="17"/>
        <v>0.50813905220521982</v>
      </c>
      <c r="U55" s="242"/>
    </row>
    <row r="56" spans="2:21">
      <c r="B56" s="232">
        <v>5</v>
      </c>
      <c r="C56" s="234"/>
      <c r="D56" s="264">
        <f t="shared" si="18"/>
        <v>0.9319600057813584</v>
      </c>
      <c r="E56" s="264">
        <f t="shared" si="17"/>
        <v>0.91319457182020081</v>
      </c>
      <c r="F56" s="264">
        <f t="shared" si="17"/>
        <v>0.89416844854961008</v>
      </c>
      <c r="G56" s="264">
        <f t="shared" si="17"/>
        <v>0.87486850242257908</v>
      </c>
      <c r="H56" s="264">
        <f t="shared" si="17"/>
        <v>0.8552804230416271</v>
      </c>
      <c r="I56" s="264">
        <f t="shared" si="17"/>
        <v>0.83538856794134841</v>
      </c>
      <c r="J56" s="264">
        <f t="shared" si="17"/>
        <v>0.81517577980263634</v>
      </c>
      <c r="K56" s="264">
        <f t="shared" si="17"/>
        <v>0.79462316983507508</v>
      </c>
      <c r="L56" s="264">
        <f t="shared" si="17"/>
        <v>0.77370985930285463</v>
      </c>
      <c r="M56" s="264">
        <f t="shared" si="17"/>
        <v>0.75241266880941027</v>
      </c>
      <c r="N56" s="264">
        <f t="shared" si="17"/>
        <v>0.73070574175428615</v>
      </c>
      <c r="O56" s="264">
        <f t="shared" si="17"/>
        <v>0.70856008397450898</v>
      </c>
      <c r="P56" s="264">
        <f t="shared" si="17"/>
        <v>0.68594299544451454</v>
      </c>
      <c r="Q56" s="264">
        <f t="shared" si="17"/>
        <v>0.66281736121097234</v>
      </c>
      <c r="R56" s="264">
        <f t="shared" si="17"/>
        <v>0.63914075619738209</v>
      </c>
      <c r="S56" s="264">
        <f t="shared" si="17"/>
        <v>0.61486430007622728</v>
      </c>
      <c r="T56" s="264">
        <f t="shared" si="17"/>
        <v>0.58993117071236811</v>
      </c>
      <c r="U56" s="242"/>
    </row>
    <row r="57" spans="2:21">
      <c r="B57" s="232">
        <v>6</v>
      </c>
      <c r="C57" s="234"/>
      <c r="D57" s="264">
        <f t="shared" si="18"/>
        <v>1.0375350005115247</v>
      </c>
      <c r="E57" s="264">
        <f t="shared" si="17"/>
        <v>1.0166437665382759</v>
      </c>
      <c r="F57" s="264">
        <f t="shared" si="17"/>
        <v>0.99546231165305865</v>
      </c>
      <c r="G57" s="264">
        <f t="shared" si="17"/>
        <v>0.97397601450450988</v>
      </c>
      <c r="H57" s="264">
        <f t="shared" si="17"/>
        <v>0.95216894357393211</v>
      </c>
      <c r="I57" s="264">
        <f t="shared" si="17"/>
        <v>0.93002368437438143</v>
      </c>
      <c r="J57" s="264">
        <f t="shared" si="17"/>
        <v>0.90752113595841655</v>
      </c>
      <c r="K57" s="264">
        <f t="shared" si="17"/>
        <v>0.88464026976145071</v>
      </c>
      <c r="L57" s="264">
        <f t="shared" si="17"/>
        <v>0.86135784184701114</v>
      </c>
      <c r="M57" s="264">
        <f t="shared" si="17"/>
        <v>0.83764804699268813</v>
      </c>
      <c r="N57" s="264">
        <f t="shared" si="17"/>
        <v>0.81348209949115391</v>
      </c>
      <c r="O57" s="264">
        <f t="shared" si="17"/>
        <v>0.7888277206408455</v>
      </c>
      <c r="P57" s="264">
        <f t="shared" si="17"/>
        <v>0.76364850606729417</v>
      </c>
      <c r="Q57" s="264">
        <f t="shared" si="17"/>
        <v>0.7379031363330949</v>
      </c>
      <c r="R57" s="264">
        <f t="shared" si="17"/>
        <v>0.71154438033230394</v>
      </c>
      <c r="S57" s="264">
        <f t="shared" si="17"/>
        <v>0.68451782043935783</v>
      </c>
      <c r="T57" s="264">
        <f t="shared" si="17"/>
        <v>0.6567601975512416</v>
      </c>
      <c r="U57" s="242"/>
    </row>
    <row r="58" spans="2:21">
      <c r="B58" s="232">
        <v>7</v>
      </c>
      <c r="C58" s="234"/>
      <c r="D58" s="264">
        <f t="shared" si="18"/>
        <v>1.1267973866856758</v>
      </c>
      <c r="E58" s="264">
        <f t="shared" si="17"/>
        <v>1.1041088144118827</v>
      </c>
      <c r="F58" s="264">
        <f t="shared" si="17"/>
        <v>1.0811050526119468</v>
      </c>
      <c r="G58" s="264">
        <f t="shared" si="17"/>
        <v>1.0577702220138463</v>
      </c>
      <c r="H58" s="264">
        <f t="shared" si="17"/>
        <v>1.0340870204604242</v>
      </c>
      <c r="I58" s="264">
        <f t="shared" si="17"/>
        <v>1.0100365352418743</v>
      </c>
      <c r="J58" s="264">
        <f t="shared" si="17"/>
        <v>0.98559802209641301</v>
      </c>
      <c r="K58" s="264">
        <f t="shared" si="17"/>
        <v>0.96074864330617005</v>
      </c>
      <c r="L58" s="264">
        <f t="shared" si="17"/>
        <v>0.93546315518600653</v>
      </c>
      <c r="M58" s="264">
        <f t="shared" si="17"/>
        <v>0.90971353240939357</v>
      </c>
      <c r="N58" s="264">
        <f t="shared" si="17"/>
        <v>0.88346851274443094</v>
      </c>
      <c r="O58" s="264">
        <f t="shared" si="17"/>
        <v>0.85669304045174699</v>
      </c>
      <c r="P58" s="264">
        <f t="shared" si="17"/>
        <v>0.82934757917450086</v>
      </c>
      <c r="Q58" s="264">
        <f t="shared" si="17"/>
        <v>0.8013872546346541</v>
      </c>
      <c r="R58" s="264">
        <f t="shared" si="17"/>
        <v>0.77276077228626738</v>
      </c>
      <c r="S58" s="264">
        <f t="shared" si="17"/>
        <v>0.74340903278498649</v>
      </c>
      <c r="T58" s="264">
        <f t="shared" si="17"/>
        <v>0.71326333464900493</v>
      </c>
      <c r="U58" s="242"/>
    </row>
    <row r="59" spans="2:21">
      <c r="B59" s="232">
        <v>8</v>
      </c>
      <c r="C59" s="234"/>
      <c r="D59" s="264">
        <f t="shared" si="18"/>
        <v>1.2041199826559246</v>
      </c>
      <c r="E59" s="264">
        <f t="shared" si="17"/>
        <v>1.1798744851284899</v>
      </c>
      <c r="F59" s="264">
        <f t="shared" si="17"/>
        <v>1.1552921692775155</v>
      </c>
      <c r="G59" s="264">
        <f t="shared" si="17"/>
        <v>1.1303560661705405</v>
      </c>
      <c r="H59" s="264">
        <f t="shared" si="17"/>
        <v>1.1050476863493703</v>
      </c>
      <c r="I59" s="264">
        <f t="shared" si="17"/>
        <v>1.0793468192845221</v>
      </c>
      <c r="J59" s="264">
        <f t="shared" si="17"/>
        <v>1.0532312972105804</v>
      </c>
      <c r="K59" s="264">
        <f t="shared" si="17"/>
        <v>1.026676715249818</v>
      </c>
      <c r="L59" s="264">
        <f t="shared" si="17"/>
        <v>0.9996560974560077</v>
      </c>
      <c r="M59" s="264">
        <f t="shared" si="17"/>
        <v>0.97213949536095778</v>
      </c>
      <c r="N59" s="264">
        <f t="shared" si="17"/>
        <v>0.94409350146960458</v>
      </c>
      <c r="O59" s="264">
        <f t="shared" si="17"/>
        <v>0.91548065446300741</v>
      </c>
      <c r="P59" s="264">
        <f t="shared" si="17"/>
        <v>0.8862587049377898</v>
      </c>
      <c r="Q59" s="264">
        <f t="shared" si="17"/>
        <v>0.85637969927289126</v>
      </c>
      <c r="R59" s="264">
        <f t="shared" si="17"/>
        <v>0.82578882301054235</v>
      </c>
      <c r="S59" s="264">
        <f t="shared" si="17"/>
        <v>0.79442292131710635</v>
      </c>
      <c r="T59" s="264">
        <f t="shared" si="17"/>
        <v>0.76220857830782973</v>
      </c>
      <c r="U59" s="242"/>
    </row>
    <row r="60" spans="2:21">
      <c r="B60" s="232">
        <v>9</v>
      </c>
      <c r="C60" s="234"/>
      <c r="D60" s="264">
        <f t="shared" si="18"/>
        <v>1.2723233459190997</v>
      </c>
      <c r="E60" s="264">
        <f t="shared" si="17"/>
        <v>1.2467045429908921</v>
      </c>
      <c r="F60" s="264">
        <f t="shared" si="17"/>
        <v>1.2207298437877736</v>
      </c>
      <c r="G60" s="264">
        <f t="shared" si="17"/>
        <v>1.1943813182286593</v>
      </c>
      <c r="H60" s="264">
        <f t="shared" si="17"/>
        <v>1.1676394295816173</v>
      </c>
      <c r="I60" s="264">
        <f t="shared" si="17"/>
        <v>1.1404828225590815</v>
      </c>
      <c r="J60" s="264">
        <f t="shared" si="17"/>
        <v>1.1128880737764459</v>
      </c>
      <c r="K60" s="264">
        <f t="shared" si="17"/>
        <v>1.0848293960230226</v>
      </c>
      <c r="L60" s="264">
        <f t="shared" si="17"/>
        <v>1.0562782853900172</v>
      </c>
      <c r="M60" s="264">
        <f t="shared" si="17"/>
        <v>1.027203097078071</v>
      </c>
      <c r="N60" s="264">
        <f t="shared" si="17"/>
        <v>0.99756853133590473</v>
      </c>
      <c r="O60" s="264">
        <f t="shared" si="17"/>
        <v>0.96733500497301927</v>
      </c>
      <c r="P60" s="264">
        <f t="shared" si="17"/>
        <v>0.93645787550939519</v>
      </c>
      <c r="Q60" s="264">
        <f t="shared" si="17"/>
        <v>0.90488647315092896</v>
      </c>
      <c r="R60" s="264">
        <f t="shared" si="17"/>
        <v>0.87256287865757964</v>
      </c>
      <c r="S60" s="264">
        <f t="shared" si="17"/>
        <v>0.83942036000064479</v>
      </c>
      <c r="T60" s="264">
        <f t="shared" si="17"/>
        <v>0.80538134289726337</v>
      </c>
      <c r="U60" s="242"/>
    </row>
    <row r="61" spans="2:21">
      <c r="B61" s="232">
        <v>10</v>
      </c>
      <c r="C61" s="234"/>
      <c r="D61" s="264">
        <f t="shared" si="18"/>
        <v>1.3333333333333333</v>
      </c>
      <c r="E61" s="264">
        <f t="shared" si="17"/>
        <v>1.3064860668630307</v>
      </c>
      <c r="F61" s="264">
        <f t="shared" si="17"/>
        <v>1.279265838308782</v>
      </c>
      <c r="G61" s="264">
        <f t="shared" si="17"/>
        <v>1.2516538578127592</v>
      </c>
      <c r="H61" s="264">
        <f t="shared" si="17"/>
        <v>1.2236296518247505</v>
      </c>
      <c r="I61" s="264">
        <f t="shared" si="17"/>
        <v>1.1951708410361892</v>
      </c>
      <c r="J61" s="264">
        <f t="shared" si="17"/>
        <v>1.1662528788728297</v>
      </c>
      <c r="K61" s="264">
        <f t="shared" si="17"/>
        <v>1.1368487415850144</v>
      </c>
      <c r="L61" s="264">
        <f t="shared" si="17"/>
        <v>1.1069285584548572</v>
      </c>
      <c r="M61" s="264">
        <f t="shared" si="17"/>
        <v>1.0764591672630628</v>
      </c>
      <c r="N61" s="264">
        <f t="shared" si="17"/>
        <v>1.0454035755774878</v>
      </c>
      <c r="O61" s="264">
        <f t="shared" si="17"/>
        <v>1.0137203021288448</v>
      </c>
      <c r="P61" s="264">
        <f t="shared" si="17"/>
        <v>0.98136256375711117</v>
      </c>
      <c r="Q61" s="264">
        <f t="shared" si="17"/>
        <v>0.94827726096860276</v>
      </c>
      <c r="R61" s="264">
        <f t="shared" si="17"/>
        <v>0.9144036972008962</v>
      </c>
      <c r="S61" s="264">
        <f t="shared" si="17"/>
        <v>0.87967194051526276</v>
      </c>
      <c r="T61" s="264">
        <f t="shared" si="17"/>
        <v>0.84400069681497802</v>
      </c>
      <c r="U61" s="242"/>
    </row>
    <row r="62" spans="2:21">
      <c r="B62" s="232">
        <v>11</v>
      </c>
      <c r="C62" s="234"/>
      <c r="D62" s="264">
        <f t="shared" si="18"/>
        <v>1.3885235802109668</v>
      </c>
      <c r="E62" s="264">
        <f t="shared" si="17"/>
        <v>1.3605650332923001</v>
      </c>
      <c r="F62" s="264">
        <f t="shared" si="17"/>
        <v>1.3322180863875703</v>
      </c>
      <c r="G62" s="264">
        <f t="shared" si="17"/>
        <v>1.3034631718762808</v>
      </c>
      <c r="H62" s="264">
        <f t="shared" si="17"/>
        <v>1.2742789687530012</v>
      </c>
      <c r="I62" s="264">
        <f t="shared" si="17"/>
        <v>1.2446421713694913</v>
      </c>
      <c r="J62" s="264">
        <f t="shared" si="17"/>
        <v>1.2145272171028865</v>
      </c>
      <c r="K62" s="264">
        <f t="shared" si="17"/>
        <v>1.1839059636179674</v>
      </c>
      <c r="L62" s="264">
        <f t="shared" si="17"/>
        <v>1.152747303767627</v>
      </c>
      <c r="M62" s="264">
        <f t="shared" si="17"/>
        <v>1.1210167026592681</v>
      </c>
      <c r="N62" s="264">
        <f t="shared" si="17"/>
        <v>1.0886756366446495</v>
      </c>
      <c r="O62" s="264">
        <f t="shared" si="17"/>
        <v>1.0556809074333648</v>
      </c>
      <c r="P62" s="264">
        <f t="shared" si="17"/>
        <v>1.0219837953847779</v>
      </c>
      <c r="Q62" s="264">
        <f t="shared" si="17"/>
        <v>0.98752900307458014</v>
      </c>
      <c r="R62" s="264">
        <f t="shared" si="17"/>
        <v>0.95225332154664988</v>
      </c>
      <c r="S62" s="264">
        <f t="shared" si="17"/>
        <v>0.91608392419153595</v>
      </c>
      <c r="T62" s="264">
        <f t="shared" si="17"/>
        <v>0.87893615193156305</v>
      </c>
      <c r="U62" s="242"/>
    </row>
    <row r="63" spans="2:21">
      <c r="B63" s="232">
        <v>12</v>
      </c>
      <c r="C63" s="234"/>
      <c r="D63" s="264">
        <f t="shared" si="18"/>
        <v>1.4389083280634998</v>
      </c>
      <c r="E63" s="264">
        <f t="shared" si="17"/>
        <v>1.409935261581106</v>
      </c>
      <c r="F63" s="264">
        <f t="shared" si="17"/>
        <v>1.3805597014122308</v>
      </c>
      <c r="G63" s="264">
        <f t="shared" si="17"/>
        <v>1.3507613698946903</v>
      </c>
      <c r="H63" s="264">
        <f t="shared" si="17"/>
        <v>1.3205181723570556</v>
      </c>
      <c r="I63" s="264">
        <f t="shared" si="17"/>
        <v>1.2898059574692224</v>
      </c>
      <c r="J63" s="264">
        <f t="shared" si="17"/>
        <v>1.2585982350286102</v>
      </c>
      <c r="K63" s="264">
        <f t="shared" si="17"/>
        <v>1.2268658415113902</v>
      </c>
      <c r="L63" s="264">
        <f t="shared" si="17"/>
        <v>1.1945765409990139</v>
      </c>
      <c r="M63" s="264">
        <f t="shared" si="17"/>
        <v>1.1616945454463408</v>
      </c>
      <c r="N63" s="264">
        <f t="shared" si="17"/>
        <v>1.1281799333143556</v>
      </c>
      <c r="O63" s="264">
        <f t="shared" si="17"/>
        <v>1.0939879387951814</v>
      </c>
      <c r="P63" s="264">
        <f t="shared" si="17"/>
        <v>1.059068074379891</v>
      </c>
      <c r="Q63" s="264">
        <f t="shared" si="17"/>
        <v>1.0233630360907255</v>
      </c>
      <c r="R63" s="264">
        <f t="shared" si="17"/>
        <v>0.98680732133581817</v>
      </c>
      <c r="S63" s="264">
        <f t="shared" si="17"/>
        <v>0.94932546087839342</v>
      </c>
      <c r="T63" s="264">
        <f t="shared" si="17"/>
        <v>0.91082972365385162</v>
      </c>
      <c r="U63" s="242"/>
    </row>
    <row r="64" spans="2:21">
      <c r="B64" s="232">
        <v>13</v>
      </c>
      <c r="C64" s="234"/>
      <c r="D64" s="264">
        <f t="shared" si="18"/>
        <v>1.4852578030757821</v>
      </c>
      <c r="E64" s="264">
        <f t="shared" si="17"/>
        <v>1.4553514690635785</v>
      </c>
      <c r="F64" s="264">
        <f t="shared" si="17"/>
        <v>1.4250296764173003</v>
      </c>
      <c r="G64" s="264">
        <f t="shared" si="17"/>
        <v>1.3942714942997296</v>
      </c>
      <c r="H64" s="264">
        <f t="shared" si="17"/>
        <v>1.3630541163357099</v>
      </c>
      <c r="I64" s="264">
        <f t="shared" si="17"/>
        <v>1.3313526132432338</v>
      </c>
      <c r="J64" s="264">
        <f t="shared" si="17"/>
        <v>1.2991396415290992</v>
      </c>
      <c r="K64" s="264">
        <f t="shared" si="17"/>
        <v>1.2663850982670197</v>
      </c>
      <c r="L64" s="264">
        <f t="shared" si="17"/>
        <v>1.2330557091693779</v>
      </c>
      <c r="M64" s="264">
        <f t="shared" si="17"/>
        <v>1.199114533402442</v>
      </c>
      <c r="N64" s="264">
        <f t="shared" si="17"/>
        <v>1.1645203634923402</v>
      </c>
      <c r="O64" s="264">
        <f t="shared" si="17"/>
        <v>1.1292269916549047</v>
      </c>
      <c r="P64" s="264">
        <f t="shared" si="17"/>
        <v>1.0931823041000281</v>
      </c>
      <c r="Q64" s="264">
        <f t="shared" si="17"/>
        <v>1.0563271509997103</v>
      </c>
      <c r="R64" s="264">
        <f t="shared" si="17"/>
        <v>1.018593919821732</v>
      </c>
      <c r="S64" s="264">
        <f t="shared" si="17"/>
        <v>0.979904710347832</v>
      </c>
      <c r="T64" s="264">
        <f t="shared" si="17"/>
        <v>0.94016896555938267</v>
      </c>
      <c r="U64" s="242"/>
    </row>
    <row r="65" spans="2:21">
      <c r="B65" s="232">
        <v>14</v>
      </c>
      <c r="C65" s="234"/>
      <c r="D65" s="264">
        <f t="shared" si="18"/>
        <v>1.5281707142376506</v>
      </c>
      <c r="E65" s="264">
        <f t="shared" si="17"/>
        <v>1.4974003094547126</v>
      </c>
      <c r="F65" s="264">
        <f t="shared" si="17"/>
        <v>1.4662024423711186</v>
      </c>
      <c r="G65" s="264">
        <f t="shared" si="17"/>
        <v>1.4345555774040264</v>
      </c>
      <c r="H65" s="264">
        <f t="shared" si="17"/>
        <v>1.4024362492435476</v>
      </c>
      <c r="I65" s="264">
        <f t="shared" si="17"/>
        <v>1.3698188083367151</v>
      </c>
      <c r="J65" s="264">
        <f t="shared" si="17"/>
        <v>1.3366751211666064</v>
      </c>
      <c r="K65" s="264">
        <f t="shared" si="17"/>
        <v>1.3029742150561094</v>
      </c>
      <c r="L65" s="264">
        <f t="shared" si="17"/>
        <v>1.2686818543380092</v>
      </c>
      <c r="M65" s="264">
        <f t="shared" si="17"/>
        <v>1.2337600308630461</v>
      </c>
      <c r="N65" s="264">
        <f t="shared" si="17"/>
        <v>1.1981663465676324</v>
      </c>
      <c r="O65" s="264">
        <f t="shared" si="17"/>
        <v>1.1618532586060828</v>
      </c>
      <c r="P65" s="264">
        <f t="shared" si="17"/>
        <v>1.1247671474870975</v>
      </c>
      <c r="Q65" s="264">
        <f t="shared" si="17"/>
        <v>1.0868471543922844</v>
      </c>
      <c r="R65" s="264">
        <f t="shared" si="17"/>
        <v>1.0480237132897814</v>
      </c>
      <c r="S65" s="264">
        <f t="shared" si="17"/>
        <v>1.0082166732240219</v>
      </c>
      <c r="T65" s="264">
        <f t="shared" si="17"/>
        <v>0.96733286075161484</v>
      </c>
      <c r="U65" s="242"/>
    </row>
    <row r="66" spans="2:21">
      <c r="B66" s="232">
        <v>15</v>
      </c>
      <c r="C66" s="234"/>
      <c r="D66" s="264">
        <f t="shared" si="18"/>
        <v>1.5681216787409085</v>
      </c>
      <c r="E66" s="264">
        <f t="shared" si="17"/>
        <v>1.5365468433156471</v>
      </c>
      <c r="F66" s="264">
        <f t="shared" si="17"/>
        <v>1.5045333704434971</v>
      </c>
      <c r="G66" s="264">
        <f t="shared" si="17"/>
        <v>1.472059161536909</v>
      </c>
      <c r="H66" s="264">
        <f t="shared" si="17"/>
        <v>1.439100137832436</v>
      </c>
      <c r="I66" s="264">
        <f t="shared" si="17"/>
        <v>1.4056299792208893</v>
      </c>
      <c r="J66" s="264">
        <f t="shared" si="17"/>
        <v>1.3716198166908595</v>
      </c>
      <c r="K66" s="264">
        <f t="shared" si="17"/>
        <v>1.3370378678465866</v>
      </c>
      <c r="L66" s="264">
        <f t="shared" si="17"/>
        <v>1.3018490019978635</v>
      </c>
      <c r="M66" s="264">
        <f t="shared" si="17"/>
        <v>1.2660142173484459</v>
      </c>
      <c r="N66" s="264">
        <f t="shared" si="17"/>
        <v>1.2294900074222388</v>
      </c>
      <c r="O66" s="264">
        <f t="shared" si="17"/>
        <v>1.1922275864610188</v>
      </c>
      <c r="P66" s="264">
        <f t="shared" si="17"/>
        <v>1.1541719331992122</v>
      </c>
      <c r="Q66" s="264">
        <f t="shared" si="17"/>
        <v>1.1152605977864369</v>
      </c>
      <c r="R66" s="264">
        <f t="shared" si="17"/>
        <v>1.075422195526172</v>
      </c>
      <c r="S66" s="264">
        <f t="shared" si="17"/>
        <v>1.03457448007655</v>
      </c>
      <c r="T66" s="264">
        <f t="shared" si="17"/>
        <v>0.99262184216099991</v>
      </c>
      <c r="U66" s="242"/>
    </row>
    <row r="67" spans="2:21">
      <c r="B67" s="232">
        <v>16</v>
      </c>
      <c r="C67" s="234"/>
      <c r="D67" s="264">
        <f t="shared" si="18"/>
        <v>1.6054933102078996</v>
      </c>
      <c r="E67" s="264">
        <f t="shared" si="17"/>
        <v>1.57316598017132</v>
      </c>
      <c r="F67" s="264">
        <f t="shared" si="17"/>
        <v>1.5403895590366876</v>
      </c>
      <c r="G67" s="264">
        <f t="shared" si="17"/>
        <v>1.5071414215607211</v>
      </c>
      <c r="H67" s="264">
        <f t="shared" si="17"/>
        <v>1.4733969151324939</v>
      </c>
      <c r="I67" s="264">
        <f t="shared" si="17"/>
        <v>1.4391290923793632</v>
      </c>
      <c r="J67" s="264">
        <f t="shared" si="17"/>
        <v>1.4043083962807741</v>
      </c>
      <c r="K67" s="264">
        <f t="shared" si="17"/>
        <v>1.3689022869997576</v>
      </c>
      <c r="L67" s="264">
        <f t="shared" si="17"/>
        <v>1.3328747966080106</v>
      </c>
      <c r="M67" s="264">
        <f t="shared" si="17"/>
        <v>1.2961859938146105</v>
      </c>
      <c r="N67" s="264">
        <f t="shared" si="17"/>
        <v>1.2587913352928062</v>
      </c>
      <c r="O67" s="264">
        <f t="shared" si="17"/>
        <v>1.2206408726173434</v>
      </c>
      <c r="P67" s="264">
        <f t="shared" si="17"/>
        <v>1.1816782732503865</v>
      </c>
      <c r="Q67" s="264">
        <f t="shared" si="17"/>
        <v>1.1418395990305217</v>
      </c>
      <c r="R67" s="264">
        <f t="shared" si="17"/>
        <v>1.1010517640140567</v>
      </c>
      <c r="S67" s="264">
        <f t="shared" si="17"/>
        <v>1.0592305617561419</v>
      </c>
      <c r="T67" s="264">
        <f t="shared" si="17"/>
        <v>1.0162781044104396</v>
      </c>
      <c r="U67" s="242"/>
    </row>
    <row r="68" spans="2:21">
      <c r="B68" s="232">
        <v>17</v>
      </c>
      <c r="C68" s="234"/>
      <c r="D68" s="264">
        <f t="shared" si="18"/>
        <v>1.6405985618376984</v>
      </c>
      <c r="E68" s="264">
        <f t="shared" ref="E68:T71" si="19">(4/3*LOG($B68))*(POWER((E$2+6.5)/14,0.6)/POWER((15/14),0.6))</f>
        <v>1.6075643717673596</v>
      </c>
      <c r="F68" s="264">
        <f t="shared" si="19"/>
        <v>1.5740712709031139</v>
      </c>
      <c r="G68" s="264">
        <f t="shared" si="19"/>
        <v>1.540096139284665</v>
      </c>
      <c r="H68" s="264">
        <f t="shared" si="19"/>
        <v>1.5056137852542371</v>
      </c>
      <c r="I68" s="264">
        <f t="shared" si="19"/>
        <v>1.4705966722157433</v>
      </c>
      <c r="J68" s="264">
        <f t="shared" si="19"/>
        <v>1.4350145968633801</v>
      </c>
      <c r="K68" s="264">
        <f t="shared" si="19"/>
        <v>1.398834307853529</v>
      </c>
      <c r="L68" s="264">
        <f t="shared" si="19"/>
        <v>1.3620190507935865</v>
      </c>
      <c r="M68" s="264">
        <f t="shared" si="19"/>
        <v>1.3245280212665906</v>
      </c>
      <c r="N68" s="264">
        <f t="shared" si="19"/>
        <v>1.2863157019743106</v>
      </c>
      <c r="O68" s="264">
        <f t="shared" si="19"/>
        <v>1.2473310523336949</v>
      </c>
      <c r="P68" s="264">
        <f t="shared" si="19"/>
        <v>1.2075165080559549</v>
      </c>
      <c r="Q68" s="264">
        <f t="shared" si="19"/>
        <v>1.1668067329263612</v>
      </c>
      <c r="R68" s="264">
        <f t="shared" si="19"/>
        <v>1.1251270429251483</v>
      </c>
      <c r="S68" s="264">
        <f t="shared" si="19"/>
        <v>1.0823913903737381</v>
      </c>
      <c r="T68" s="264">
        <f t="shared" si="19"/>
        <v>1.0384997470385011</v>
      </c>
      <c r="U68" s="242"/>
    </row>
    <row r="69" spans="2:21">
      <c r="B69" s="232">
        <v>18</v>
      </c>
      <c r="C69" s="234"/>
      <c r="D69" s="264">
        <f t="shared" si="18"/>
        <v>1.6736966734710745</v>
      </c>
      <c r="E69" s="264">
        <f t="shared" si="19"/>
        <v>1.639996038033722</v>
      </c>
      <c r="F69" s="264">
        <f t="shared" si="19"/>
        <v>1.6058272335469455</v>
      </c>
      <c r="G69" s="264">
        <f t="shared" si="19"/>
        <v>1.5711666736188394</v>
      </c>
      <c r="H69" s="264">
        <f t="shared" si="19"/>
        <v>1.5359886583647406</v>
      </c>
      <c r="I69" s="264">
        <f t="shared" si="19"/>
        <v>1.5002650956539223</v>
      </c>
      <c r="J69" s="264">
        <f t="shared" si="19"/>
        <v>1.4639651728466394</v>
      </c>
      <c r="K69" s="264">
        <f t="shared" si="19"/>
        <v>1.427054967772962</v>
      </c>
      <c r="L69" s="264">
        <f t="shared" si="19"/>
        <v>1.3894969845420198</v>
      </c>
      <c r="M69" s="264">
        <f t="shared" si="19"/>
        <v>1.3512495955317236</v>
      </c>
      <c r="N69" s="264">
        <f t="shared" si="19"/>
        <v>1.3122663651591062</v>
      </c>
      <c r="O69" s="264">
        <f t="shared" si="19"/>
        <v>1.2724952231273552</v>
      </c>
      <c r="P69" s="264">
        <f t="shared" si="19"/>
        <v>1.2318774438219917</v>
      </c>
      <c r="Q69" s="264">
        <f t="shared" si="19"/>
        <v>1.1903463729085593</v>
      </c>
      <c r="R69" s="264">
        <f t="shared" si="19"/>
        <v>1.1478258196610938</v>
      </c>
      <c r="S69" s="264">
        <f t="shared" si="19"/>
        <v>1.1042280004396803</v>
      </c>
      <c r="T69" s="264">
        <f t="shared" si="19"/>
        <v>1.0594508689998732</v>
      </c>
      <c r="U69" s="242"/>
    </row>
    <row r="70" spans="2:21">
      <c r="B70" s="232">
        <v>19</v>
      </c>
      <c r="C70" s="234"/>
      <c r="D70" s="264">
        <f t="shared" si="18"/>
        <v>1.7050048012704384</v>
      </c>
      <c r="E70" s="264">
        <f t="shared" si="19"/>
        <v>1.670673762595799</v>
      </c>
      <c r="F70" s="264">
        <f t="shared" si="19"/>
        <v>1.6358657973132944</v>
      </c>
      <c r="G70" s="264">
        <f t="shared" si="19"/>
        <v>1.600556877824566</v>
      </c>
      <c r="H70" s="264">
        <f t="shared" si="19"/>
        <v>1.5647208235035559</v>
      </c>
      <c r="I70" s="264">
        <f t="shared" si="19"/>
        <v>1.5283290167288479</v>
      </c>
      <c r="J70" s="264">
        <f t="shared" si="19"/>
        <v>1.4913500684802343</v>
      </c>
      <c r="K70" s="264">
        <f t="shared" si="19"/>
        <v>1.4537494220405291</v>
      </c>
      <c r="L70" s="264">
        <f t="shared" si="19"/>
        <v>1.4154888801216725</v>
      </c>
      <c r="M70" s="264">
        <f t="shared" si="19"/>
        <v>1.3765260364163252</v>
      </c>
      <c r="N70" s="264">
        <f t="shared" si="19"/>
        <v>1.3368135867186752</v>
      </c>
      <c r="O70" s="264">
        <f t="shared" si="19"/>
        <v>1.2962984867062499</v>
      </c>
      <c r="P70" s="264">
        <f t="shared" si="19"/>
        <v>1.254920912244706</v>
      </c>
      <c r="Q70" s="264">
        <f t="shared" si="19"/>
        <v>1.2126129621652861</v>
      </c>
      <c r="R70" s="264">
        <f t="shared" si="19"/>
        <v>1.1692970205202262</v>
      </c>
      <c r="S70" s="264">
        <f t="shared" si="19"/>
        <v>1.1248836615910549</v>
      </c>
      <c r="T70" s="264">
        <f t="shared" si="19"/>
        <v>1.0792689302588498</v>
      </c>
      <c r="U70" s="242"/>
    </row>
    <row r="71" spans="2:21" ht="13.8" thickBot="1">
      <c r="B71" s="232">
        <v>20</v>
      </c>
      <c r="C71" s="234"/>
      <c r="D71" s="267">
        <f t="shared" si="18"/>
        <v>1.7347066608853083</v>
      </c>
      <c r="E71" s="267">
        <f t="shared" si="19"/>
        <v>1.699777561905861</v>
      </c>
      <c r="F71" s="267">
        <f t="shared" si="19"/>
        <v>1.6643632280679541</v>
      </c>
      <c r="G71" s="267">
        <f t="shared" si="19"/>
        <v>1.6284392132029397</v>
      </c>
      <c r="H71" s="267">
        <f t="shared" si="19"/>
        <v>1.5919788806078743</v>
      </c>
      <c r="I71" s="267">
        <f t="shared" si="19"/>
        <v>1.55495311413103</v>
      </c>
      <c r="J71" s="267">
        <f t="shared" si="19"/>
        <v>1.5173299779430234</v>
      </c>
      <c r="K71" s="267">
        <f t="shared" si="19"/>
        <v>1.479074313334954</v>
      </c>
      <c r="L71" s="267">
        <f t="shared" si="19"/>
        <v>1.4401472576068599</v>
      </c>
      <c r="M71" s="267">
        <f t="shared" si="19"/>
        <v>1.4005056657167156</v>
      </c>
      <c r="N71" s="267">
        <f t="shared" si="19"/>
        <v>1.3601014094006894</v>
      </c>
      <c r="O71" s="267">
        <f t="shared" si="19"/>
        <v>1.3188805202831806</v>
      </c>
      <c r="P71" s="267">
        <f t="shared" si="19"/>
        <v>1.2767821320697079</v>
      </c>
      <c r="Q71" s="267">
        <f t="shared" si="19"/>
        <v>1.2337371607262333</v>
      </c>
      <c r="R71" s="267">
        <f t="shared" si="19"/>
        <v>1.1896666382044103</v>
      </c>
      <c r="S71" s="267">
        <f t="shared" si="19"/>
        <v>1.1444795809542982</v>
      </c>
      <c r="T71" s="267">
        <f t="shared" si="19"/>
        <v>1.098070222917588</v>
      </c>
      <c r="U71" s="242"/>
    </row>
    <row r="72" spans="2:21" ht="13.8" thickBot="1">
      <c r="B72" s="245"/>
      <c r="C72" s="246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8"/>
    </row>
  </sheetData>
  <conditionalFormatting sqref="D3:T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T4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2:T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3.2"/>
  <cols>
    <col min="1" max="1" width="16.77734375" bestFit="1" customWidth="1"/>
  </cols>
  <sheetData>
    <row r="1" spans="1:5">
      <c r="A1" t="s">
        <v>600</v>
      </c>
    </row>
    <row r="3" spans="1:5">
      <c r="A3" t="s">
        <v>582</v>
      </c>
      <c r="B3" t="s">
        <v>582</v>
      </c>
    </row>
    <row r="4" spans="1:5">
      <c r="A4" t="s">
        <v>602</v>
      </c>
      <c r="E4" t="s">
        <v>601</v>
      </c>
    </row>
    <row r="5" spans="1:5">
      <c r="B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B1:AV5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32" width="6.77734375" style="236" customWidth="1"/>
    <col min="33" max="33" width="3.5546875" style="236" customWidth="1"/>
    <col min="34" max="34" width="3.44140625" style="236" customWidth="1"/>
    <col min="35" max="35" width="8.88671875" style="236"/>
    <col min="36" max="38" width="8.88671875" style="191"/>
    <col min="39" max="41" width="8.88671875" style="236"/>
    <col min="42" max="42" width="6.5546875" style="236" bestFit="1" customWidth="1"/>
    <col min="43" max="43" width="11" style="236" bestFit="1" customWidth="1"/>
    <col min="44" max="44" width="12.5546875" style="236" bestFit="1" customWidth="1"/>
    <col min="45" max="45" width="9.21875" style="236" bestFit="1" customWidth="1"/>
    <col min="46" max="46" width="12.109375" style="236" bestFit="1" customWidth="1"/>
    <col min="47" max="47" width="15" style="236" bestFit="1" customWidth="1"/>
    <col min="48" max="48" width="3.77734375" style="236" bestFit="1" customWidth="1"/>
    <col min="49" max="16384" width="8.88671875" style="236"/>
  </cols>
  <sheetData>
    <row r="1" spans="2:48" ht="13.8" thickBot="1">
      <c r="B1" s="237" t="s">
        <v>582</v>
      </c>
      <c r="D1" s="238" t="s">
        <v>603</v>
      </c>
      <c r="F1" s="269">
        <v>3.5</v>
      </c>
      <c r="AP1" s="238" t="s">
        <v>577</v>
      </c>
    </row>
    <row r="2" spans="2:48" ht="36" customHeight="1" thickBot="1">
      <c r="B2" s="275" t="s">
        <v>605</v>
      </c>
      <c r="C2" s="233"/>
      <c r="D2" s="270">
        <v>12</v>
      </c>
      <c r="E2" s="270">
        <f>D2+0.25</f>
        <v>12.25</v>
      </c>
      <c r="F2" s="270">
        <f t="shared" ref="F2:AF2" si="0">E2+0.25</f>
        <v>12.5</v>
      </c>
      <c r="G2" s="270">
        <f t="shared" si="0"/>
        <v>12.75</v>
      </c>
      <c r="H2" s="270">
        <f t="shared" si="0"/>
        <v>13</v>
      </c>
      <c r="I2" s="270">
        <f t="shared" si="0"/>
        <v>13.25</v>
      </c>
      <c r="J2" s="270">
        <f t="shared" si="0"/>
        <v>13.5</v>
      </c>
      <c r="K2" s="270">
        <f t="shared" si="0"/>
        <v>13.75</v>
      </c>
      <c r="L2" s="270">
        <f t="shared" si="0"/>
        <v>14</v>
      </c>
      <c r="M2" s="270">
        <f t="shared" si="0"/>
        <v>14.25</v>
      </c>
      <c r="N2" s="270">
        <f t="shared" si="0"/>
        <v>14.5</v>
      </c>
      <c r="O2" s="270">
        <f t="shared" si="0"/>
        <v>14.75</v>
      </c>
      <c r="P2" s="270">
        <f t="shared" si="0"/>
        <v>15</v>
      </c>
      <c r="Q2" s="270">
        <f t="shared" si="0"/>
        <v>15.25</v>
      </c>
      <c r="R2" s="270">
        <f t="shared" si="0"/>
        <v>15.5</v>
      </c>
      <c r="S2" s="270">
        <f t="shared" si="0"/>
        <v>15.75</v>
      </c>
      <c r="T2" s="270">
        <f t="shared" si="0"/>
        <v>16</v>
      </c>
      <c r="U2" s="270">
        <f t="shared" si="0"/>
        <v>16.25</v>
      </c>
      <c r="V2" s="270">
        <f t="shared" si="0"/>
        <v>16.5</v>
      </c>
      <c r="W2" s="270">
        <f t="shared" si="0"/>
        <v>16.75</v>
      </c>
      <c r="X2" s="270">
        <f t="shared" si="0"/>
        <v>17</v>
      </c>
      <c r="Y2" s="270">
        <f t="shared" si="0"/>
        <v>17.25</v>
      </c>
      <c r="Z2" s="270">
        <f t="shared" si="0"/>
        <v>17.5</v>
      </c>
      <c r="AA2" s="270">
        <f t="shared" si="0"/>
        <v>17.75</v>
      </c>
      <c r="AB2" s="270">
        <f t="shared" si="0"/>
        <v>18</v>
      </c>
      <c r="AC2" s="270">
        <f t="shared" si="0"/>
        <v>18.25</v>
      </c>
      <c r="AD2" s="270">
        <f t="shared" si="0"/>
        <v>18.5</v>
      </c>
      <c r="AE2" s="270">
        <f t="shared" si="0"/>
        <v>18.75</v>
      </c>
      <c r="AF2" s="270">
        <f t="shared" si="0"/>
        <v>19</v>
      </c>
      <c r="AG2" s="241"/>
      <c r="AJ2" s="239" t="s">
        <v>180</v>
      </c>
      <c r="AK2" s="239" t="s">
        <v>582</v>
      </c>
      <c r="AL2" s="239" t="s">
        <v>583</v>
      </c>
      <c r="AM2" s="238" t="s">
        <v>598</v>
      </c>
      <c r="AN2" s="238" t="s">
        <v>599</v>
      </c>
      <c r="AP2" s="238" t="s">
        <v>576</v>
      </c>
      <c r="AQ2" s="236" t="str">
        <f>CONCATENATE("[th]",AJ2,"[/th]")</f>
        <v>[th]Rutin[/th]</v>
      </c>
      <c r="AR2" s="236" t="str">
        <f t="shared" ref="AR2:AU2" si="1">CONCATENATE("[th]",AK2,"[/th]")</f>
        <v>[th]Classic[/th]</v>
      </c>
      <c r="AS2" s="236" t="str">
        <f t="shared" si="1"/>
        <v>[th]HO[/th]</v>
      </c>
      <c r="AT2" s="236" t="str">
        <f t="shared" si="1"/>
        <v>[th]Additiv[/th]</v>
      </c>
      <c r="AU2" s="236" t="str">
        <f t="shared" si="1"/>
        <v>[th]Add @ 18[/th]</v>
      </c>
      <c r="AV2" s="238" t="s">
        <v>578</v>
      </c>
    </row>
    <row r="3" spans="2:48">
      <c r="B3" s="274">
        <v>12</v>
      </c>
      <c r="C3" s="234"/>
      <c r="D3" s="271">
        <f t="shared" ref="D3:Q14" si="2">(POWER($B3,$F$1)/(POWER($B3,$F$1)+POWER(D$2,$F$1)))</f>
        <v>0.5</v>
      </c>
      <c r="E3" s="271">
        <f t="shared" si="2"/>
        <v>0.48196595001961312</v>
      </c>
      <c r="F3" s="271">
        <f t="shared" si="2"/>
        <v>0.46434139489628773</v>
      </c>
      <c r="G3" s="271">
        <f t="shared" si="2"/>
        <v>0.44715158999530141</v>
      </c>
      <c r="H3" s="271">
        <f t="shared" si="2"/>
        <v>0.43041713019876621</v>
      </c>
      <c r="I3" s="271">
        <f t="shared" si="2"/>
        <v>0.41415422123430712</v>
      </c>
      <c r="J3" s="271">
        <f t="shared" si="2"/>
        <v>0.39837498324412912</v>
      </c>
      <c r="K3" s="271">
        <f t="shared" si="2"/>
        <v>0.3830877755294067</v>
      </c>
      <c r="L3" s="271">
        <f t="shared" si="2"/>
        <v>0.36829753270955229</v>
      </c>
      <c r="M3" s="271">
        <f t="shared" si="2"/>
        <v>0.35400610392116605</v>
      </c>
      <c r="N3" s="271">
        <f t="shared" si="2"/>
        <v>0.34021258807365079</v>
      </c>
      <c r="O3" s="271">
        <f t="shared" si="2"/>
        <v>0.32691365952048951</v>
      </c>
      <c r="P3" s="271">
        <f t="shared" si="2"/>
        <v>0.31410387975569931</v>
      </c>
      <c r="Q3" s="271">
        <f t="shared" si="2"/>
        <v>0.30177599187664866</v>
      </c>
      <c r="R3" s="271">
        <f t="shared" ref="R3:Z26" si="3">(POWER($B3,$F$1)/(POWER($B3,$F$1)+POWER(R$2,$F$1)))</f>
        <v>0.2899211955518905</v>
      </c>
      <c r="S3" s="271">
        <f t="shared" si="3"/>
        <v>0.27852940109013313</v>
      </c>
      <c r="T3" s="271">
        <f t="shared" si="3"/>
        <v>0.26758946192562094</v>
      </c>
      <c r="U3" s="271">
        <f t="shared" si="3"/>
        <v>0.25708938542297671</v>
      </c>
      <c r="V3" s="271">
        <f t="shared" si="3"/>
        <v>0.24701652237164237</v>
      </c>
      <c r="W3" s="271">
        <f t="shared" si="3"/>
        <v>0.23735773589907666</v>
      </c>
      <c r="X3" s="271">
        <f t="shared" ref="X3:Z14" si="4">(POWER($B3,$F$1)/(POWER($B3,$F$1)+POWER(X$2,$F$1)))</f>
        <v>0.22809955079662833</v>
      </c>
      <c r="Y3" s="271">
        <f t="shared" si="4"/>
        <v>0.21922828443616388</v>
      </c>
      <c r="Z3" s="271">
        <f t="shared" si="4"/>
        <v>0.21073016057245178</v>
      </c>
      <c r="AA3" s="271">
        <f t="shared" ref="AA3:AF26" si="5">(POWER($B3,$F$1)/(POWER($B3,$F$1)+POWER(AA$2,$F$1)))</f>
        <v>0.20259140738818304</v>
      </c>
      <c r="AB3" s="271">
        <f t="shared" si="5"/>
        <v>0.19479834115646752</v>
      </c>
      <c r="AC3" s="271">
        <f t="shared" si="5"/>
        <v>0.18733743687944807</v>
      </c>
      <c r="AD3" s="271">
        <f t="shared" si="5"/>
        <v>0.18019538721968553</v>
      </c>
      <c r="AE3" s="271">
        <f t="shared" si="5"/>
        <v>0.17335915098032981</v>
      </c>
      <c r="AF3" s="276">
        <f t="shared" si="5"/>
        <v>0.16681599231667971</v>
      </c>
      <c r="AG3" s="242"/>
      <c r="AJ3" s="191">
        <v>1</v>
      </c>
      <c r="AK3" s="268">
        <f>(1+SQRT((AJ3-1))*9/100)</f>
        <v>1</v>
      </c>
      <c r="AL3" s="268">
        <f>(1+0.07161*SQRT((AJ3-1)))</f>
        <v>1</v>
      </c>
      <c r="AM3" s="236" t="str">
        <f>CONCATENATE("+",TEXT(100*(4/3*LOG(AJ3)),"0,0"),"%")</f>
        <v>+0,0%</v>
      </c>
      <c r="AN3" s="268">
        <f t="shared" ref="AN3:AN29" si="6">(18+(4/3*LOG(AJ3)))/18</f>
        <v>1</v>
      </c>
      <c r="AP3" s="238" t="s">
        <v>576</v>
      </c>
      <c r="AQ3" s="236" t="str">
        <f>CONCATENATE("[td]",AJ3,"[/td]")</f>
        <v>[td]1[/td]</v>
      </c>
      <c r="AR3" s="236" t="str">
        <f>CONCATENATE("[td]",TEXT(AK3,"0%"),"[/td]")</f>
        <v>[td]100%[/td]</v>
      </c>
      <c r="AS3" s="236" t="str">
        <f t="shared" ref="AS3:AU26" si="7">CONCATENATE("[td]",TEXT(AL3,"0%"),"[/td]")</f>
        <v>[td]100%[/td]</v>
      </c>
      <c r="AT3" s="236" t="str">
        <f>CONCATENATE("[td]",AM3,"[/td]")</f>
        <v>[td]+0,0%[/td]</v>
      </c>
      <c r="AU3" s="236" t="str">
        <f t="shared" si="7"/>
        <v>[td]100%[/td]</v>
      </c>
      <c r="AV3" s="238" t="s">
        <v>578</v>
      </c>
    </row>
    <row r="4" spans="2:48">
      <c r="B4" s="274">
        <f>B3+0.25</f>
        <v>12.25</v>
      </c>
      <c r="C4" s="234"/>
      <c r="D4" s="272">
        <f t="shared" si="2"/>
        <v>0.51803404998038682</v>
      </c>
      <c r="E4" s="272">
        <f t="shared" si="2"/>
        <v>0.5</v>
      </c>
      <c r="F4" s="272">
        <f t="shared" si="2"/>
        <v>0.48232999273635813</v>
      </c>
      <c r="G4" s="272">
        <f t="shared" si="2"/>
        <v>0.46505240985547674</v>
      </c>
      <c r="H4" s="272">
        <f t="shared" si="2"/>
        <v>0.44819112845974762</v>
      </c>
      <c r="I4" s="272">
        <f t="shared" si="2"/>
        <v>0.43176572444097422</v>
      </c>
      <c r="J4" s="272">
        <f t="shared" si="2"/>
        <v>0.41579171555186462</v>
      </c>
      <c r="K4" s="272">
        <f t="shared" si="2"/>
        <v>0.40028083358919342</v>
      </c>
      <c r="L4" s="272">
        <f t="shared" si="2"/>
        <v>0.3852413160329311</v>
      </c>
      <c r="M4" s="272">
        <f t="shared" si="2"/>
        <v>0.37067820858413753</v>
      </c>
      <c r="N4" s="272">
        <f t="shared" si="2"/>
        <v>0.35659367121599805</v>
      </c>
      <c r="O4" s="272">
        <f t="shared" si="2"/>
        <v>0.34298728153568941</v>
      </c>
      <c r="P4" s="272">
        <f t="shared" si="2"/>
        <v>0.32985633040172524</v>
      </c>
      <c r="Q4" s="272">
        <f t="shared" si="2"/>
        <v>0.31719610581665003</v>
      </c>
      <c r="R4" s="272">
        <f t="shared" si="3"/>
        <v>0.30500016209449887</v>
      </c>
      <c r="S4" s="272">
        <f t="shared" si="3"/>
        <v>0.29326057217215401</v>
      </c>
      <c r="T4" s="272">
        <f t="shared" si="3"/>
        <v>0.28196816168754374</v>
      </c>
      <c r="U4" s="272">
        <f t="shared" si="3"/>
        <v>0.27111272408564296</v>
      </c>
      <c r="V4" s="272">
        <f t="shared" si="3"/>
        <v>0.26068321654032917</v>
      </c>
      <c r="W4" s="272">
        <f t="shared" si="3"/>
        <v>0.2506679369042259</v>
      </c>
      <c r="X4" s="272">
        <f t="shared" si="4"/>
        <v>0.24105468222981183</v>
      </c>
      <c r="Y4" s="272">
        <f t="shared" si="4"/>
        <v>0.23183088965418031</v>
      </c>
      <c r="Z4" s="272">
        <f t="shared" si="4"/>
        <v>0.22298376061827327</v>
      </c>
      <c r="AA4" s="272">
        <f t="shared" si="5"/>
        <v>0.21450036951008006</v>
      </c>
      <c r="AB4" s="272">
        <f t="shared" si="5"/>
        <v>0.20636775789054559</v>
      </c>
      <c r="AC4" s="272">
        <f t="shared" si="5"/>
        <v>0.19857301549019793</v>
      </c>
      <c r="AD4" s="272">
        <f t="shared" si="5"/>
        <v>0.19110334916212479</v>
      </c>
      <c r="AE4" s="272">
        <f t="shared" si="5"/>
        <v>0.18394614095025058</v>
      </c>
      <c r="AF4" s="277">
        <f t="shared" si="5"/>
        <v>0.17708899638712453</v>
      </c>
      <c r="AG4" s="242"/>
      <c r="AJ4" s="191">
        <v>2</v>
      </c>
      <c r="AK4" s="268">
        <f t="shared" ref="AK4:AK31" si="8">(1+SQRT((AJ4-1))*9/100)</f>
        <v>1.0900000000000001</v>
      </c>
      <c r="AL4" s="268">
        <f t="shared" ref="AL4:AL31" si="9">(1+0.07161*SQRT((AJ4-1)))</f>
        <v>1.07161</v>
      </c>
      <c r="AM4" s="236" t="str">
        <f>CONCATENATE("+",TEXT(100*(4/3*LOG(AJ4)),"0,0"),"%")</f>
        <v>+40,1%</v>
      </c>
      <c r="AN4" s="268">
        <f t="shared" si="6"/>
        <v>1.0222985181973321</v>
      </c>
      <c r="AP4" s="238" t="s">
        <v>576</v>
      </c>
      <c r="AQ4" s="236" t="str">
        <f t="shared" ref="AQ4:AQ31" si="10">CONCATENATE("[td]",AJ4,"[/td]")</f>
        <v>[td]2[/td]</v>
      </c>
      <c r="AR4" s="236" t="str">
        <f t="shared" ref="AR4:AS31" si="11">CONCATENATE("[td]",TEXT(AK4,"0%"),"[/td]")</f>
        <v>[td]109%[/td]</v>
      </c>
      <c r="AS4" s="236" t="str">
        <f t="shared" si="7"/>
        <v>[td]107%[/td]</v>
      </c>
      <c r="AT4" s="236" t="str">
        <f t="shared" ref="AT4:AT31" si="12">CONCATENATE("[td]",AM4,"[/td]")</f>
        <v>[td]+40,1%[/td]</v>
      </c>
      <c r="AU4" s="236" t="str">
        <f t="shared" si="7"/>
        <v>[td]102%[/td]</v>
      </c>
      <c r="AV4" s="238" t="s">
        <v>578</v>
      </c>
    </row>
    <row r="5" spans="2:48">
      <c r="B5" s="274">
        <f t="shared" ref="B5:B31" si="13">B4+0.25</f>
        <v>12.5</v>
      </c>
      <c r="C5" s="234"/>
      <c r="D5" s="272">
        <f t="shared" si="2"/>
        <v>0.53565860510371233</v>
      </c>
      <c r="E5" s="272">
        <f t="shared" si="2"/>
        <v>0.51767000726364187</v>
      </c>
      <c r="F5" s="272">
        <f t="shared" si="2"/>
        <v>0.5</v>
      </c>
      <c r="G5" s="272">
        <f t="shared" si="2"/>
        <v>0.48267963414079562</v>
      </c>
      <c r="H5" s="272">
        <f t="shared" si="2"/>
        <v>0.46573566478023659</v>
      </c>
      <c r="I5" s="272">
        <f t="shared" si="2"/>
        <v>0.44919068852782795</v>
      </c>
      <c r="J5" s="272">
        <f t="shared" si="2"/>
        <v>0.43306332617559845</v>
      </c>
      <c r="K5" s="272">
        <f t="shared" si="2"/>
        <v>0.41736844093404857</v>
      </c>
      <c r="L5" s="272">
        <f t="shared" si="2"/>
        <v>0.40211738298980082</v>
      </c>
      <c r="M5" s="272">
        <f t="shared" si="2"/>
        <v>0.3873182519382925</v>
      </c>
      <c r="N5" s="272">
        <f t="shared" si="2"/>
        <v>0.37297616957269608</v>
      </c>
      <c r="O5" s="272">
        <f t="shared" si="2"/>
        <v>0.35909355650400915</v>
      </c>
      <c r="P5" s="272">
        <f t="shared" si="2"/>
        <v>0.34567040709572266</v>
      </c>
      <c r="Q5" s="272">
        <f t="shared" si="2"/>
        <v>0.3327045581790522</v>
      </c>
      <c r="R5" s="272">
        <f t="shared" si="3"/>
        <v>0.32019194794113931</v>
      </c>
      <c r="S5" s="272">
        <f t="shared" si="3"/>
        <v>0.30812686222792085</v>
      </c>
      <c r="T5" s="272">
        <f t="shared" si="3"/>
        <v>0.29650216626268688</v>
      </c>
      <c r="U5" s="272">
        <f t="shared" si="3"/>
        <v>0.28530952044449065</v>
      </c>
      <c r="V5" s="272">
        <f t="shared" si="3"/>
        <v>0.27453957945676183</v>
      </c>
      <c r="W5" s="272">
        <f t="shared" si="3"/>
        <v>0.26418217438875663</v>
      </c>
      <c r="X5" s="272">
        <f t="shared" si="4"/>
        <v>0.25422647795693987</v>
      </c>
      <c r="Y5" s="272">
        <f t="shared" si="4"/>
        <v>0.2446611532177195</v>
      </c>
      <c r="Z5" s="272">
        <f t="shared" si="4"/>
        <v>0.23547448639608379</v>
      </c>
      <c r="AA5" s="272">
        <f t="shared" si="5"/>
        <v>0.22665450462573244</v>
      </c>
      <c r="AB5" s="272">
        <f t="shared" si="5"/>
        <v>0.21818907951438474</v>
      </c>
      <c r="AC5" s="272">
        <f t="shared" si="5"/>
        <v>0.21006601752176296</v>
      </c>
      <c r="AD5" s="272">
        <f t="shared" si="5"/>
        <v>0.2022731381752324</v>
      </c>
      <c r="AE5" s="272">
        <f t="shared" si="5"/>
        <v>0.19479834115646752</v>
      </c>
      <c r="AF5" s="277">
        <f t="shared" si="5"/>
        <v>0.18762966327814098</v>
      </c>
      <c r="AG5" s="242"/>
      <c r="AJ5" s="191">
        <v>3</v>
      </c>
      <c r="AK5" s="268">
        <f t="shared" si="8"/>
        <v>1.1272792206135787</v>
      </c>
      <c r="AL5" s="268">
        <f t="shared" si="9"/>
        <v>1.1012718332015374</v>
      </c>
      <c r="AM5" s="236" t="str">
        <f t="shared" ref="AM5:AM31" si="14">CONCATENATE("+",TEXT(100*(4/3*LOG(AJ5)),"0,0"),"%")</f>
        <v>+63,6%</v>
      </c>
      <c r="AN5" s="268">
        <f t="shared" si="6"/>
        <v>1.0353423151644194</v>
      </c>
      <c r="AP5" s="238" t="s">
        <v>576</v>
      </c>
      <c r="AQ5" s="236" t="str">
        <f t="shared" si="10"/>
        <v>[td]3[/td]</v>
      </c>
      <c r="AR5" s="236" t="str">
        <f t="shared" si="11"/>
        <v>[td]113%[/td]</v>
      </c>
      <c r="AS5" s="236" t="str">
        <f t="shared" si="7"/>
        <v>[td]110%[/td]</v>
      </c>
      <c r="AT5" s="236" t="str">
        <f t="shared" si="12"/>
        <v>[td]+63,6%[/td]</v>
      </c>
      <c r="AU5" s="236" t="str">
        <f t="shared" si="7"/>
        <v>[td]104%[/td]</v>
      </c>
      <c r="AV5" s="238" t="s">
        <v>578</v>
      </c>
    </row>
    <row r="6" spans="2:48">
      <c r="B6" s="274">
        <f t="shared" si="13"/>
        <v>12.75</v>
      </c>
      <c r="C6" s="234"/>
      <c r="D6" s="272">
        <f t="shared" si="2"/>
        <v>0.55284841000469853</v>
      </c>
      <c r="E6" s="272">
        <f t="shared" si="2"/>
        <v>0.5349475901445232</v>
      </c>
      <c r="F6" s="272">
        <f t="shared" si="2"/>
        <v>0.51732036585920438</v>
      </c>
      <c r="G6" s="272">
        <f t="shared" si="2"/>
        <v>0.5</v>
      </c>
      <c r="H6" s="272">
        <f t="shared" si="2"/>
        <v>0.48301571192181847</v>
      </c>
      <c r="I6" s="272">
        <f t="shared" si="2"/>
        <v>0.46639275205313135</v>
      </c>
      <c r="J6" s="272">
        <f t="shared" si="2"/>
        <v>0.45015252583287951</v>
      </c>
      <c r="K6" s="272">
        <f t="shared" si="2"/>
        <v>0.43431275814984333</v>
      </c>
      <c r="L6" s="272">
        <f t="shared" si="2"/>
        <v>0.41888768969511037</v>
      </c>
      <c r="M6" s="272">
        <f t="shared" si="2"/>
        <v>0.40388829714532021</v>
      </c>
      <c r="N6" s="272">
        <f t="shared" si="2"/>
        <v>0.38932252977004483</v>
      </c>
      <c r="O6" s="272">
        <f t="shared" si="2"/>
        <v>0.37519555584272862</v>
      </c>
      <c r="P6" s="272">
        <f t="shared" si="2"/>
        <v>0.36151001307993025</v>
      </c>
      <c r="Q6" s="272">
        <f t="shared" si="2"/>
        <v>0.34826625819526841</v>
      </c>
      <c r="R6" s="272">
        <f t="shared" si="3"/>
        <v>0.33546261149820311</v>
      </c>
      <c r="S6" s="272">
        <f t="shared" si="3"/>
        <v>0.32309559326760562</v>
      </c>
      <c r="T6" s="272">
        <f t="shared" si="3"/>
        <v>0.31116014936770164</v>
      </c>
      <c r="U6" s="272">
        <f t="shared" si="3"/>
        <v>0.2996498642377326</v>
      </c>
      <c r="V6" s="272">
        <f t="shared" si="3"/>
        <v>0.28855715997062326</v>
      </c>
      <c r="W6" s="272">
        <f t="shared" si="3"/>
        <v>0.27787348069845275</v>
      </c>
      <c r="X6" s="272">
        <f t="shared" si="4"/>
        <v>0.26758946192562089</v>
      </c>
      <c r="Y6" s="272">
        <f t="shared" si="4"/>
        <v>0.25769508479857606</v>
      </c>
      <c r="Z6" s="272">
        <f t="shared" si="4"/>
        <v>0.24817981558000995</v>
      </c>
      <c r="AA6" s="272">
        <f t="shared" si="5"/>
        <v>0.23903273081250545</v>
      </c>
      <c r="AB6" s="272">
        <f t="shared" si="5"/>
        <v>0.23024262881928617</v>
      </c>
      <c r="AC6" s="272">
        <f t="shared" si="5"/>
        <v>0.22179812830551265</v>
      </c>
      <c r="AD6" s="272">
        <f t="shared" si="5"/>
        <v>0.21368775489970696</v>
      </c>
      <c r="AE6" s="272">
        <f t="shared" si="5"/>
        <v>0.20590001651819009</v>
      </c>
      <c r="AF6" s="277">
        <f t="shared" si="5"/>
        <v>0.19842346845203915</v>
      </c>
      <c r="AG6" s="242"/>
      <c r="AJ6" s="191">
        <v>4</v>
      </c>
      <c r="AK6" s="268">
        <f t="shared" si="8"/>
        <v>1.1558845726811988</v>
      </c>
      <c r="AL6" s="268">
        <f t="shared" si="9"/>
        <v>1.1240321583300072</v>
      </c>
      <c r="AM6" s="236" t="str">
        <f t="shared" si="14"/>
        <v>+80,3%</v>
      </c>
      <c r="AN6" s="268">
        <f t="shared" si="6"/>
        <v>1.0445970363946637</v>
      </c>
      <c r="AP6" s="238" t="s">
        <v>576</v>
      </c>
      <c r="AQ6" s="236" t="str">
        <f t="shared" si="10"/>
        <v>[td]4[/td]</v>
      </c>
      <c r="AR6" s="236" t="str">
        <f t="shared" si="11"/>
        <v>[td]116%[/td]</v>
      </c>
      <c r="AS6" s="236" t="str">
        <f t="shared" si="7"/>
        <v>[td]112%[/td]</v>
      </c>
      <c r="AT6" s="236" t="str">
        <f t="shared" si="12"/>
        <v>[td]+80,3%[/td]</v>
      </c>
      <c r="AU6" s="236" t="str">
        <f t="shared" si="7"/>
        <v>[td]104%[/td]</v>
      </c>
      <c r="AV6" s="238" t="s">
        <v>578</v>
      </c>
    </row>
    <row r="7" spans="2:48">
      <c r="B7" s="274">
        <f t="shared" si="13"/>
        <v>13</v>
      </c>
      <c r="C7" s="234"/>
      <c r="D7" s="272">
        <f t="shared" si="2"/>
        <v>0.56958286980123385</v>
      </c>
      <c r="E7" s="272">
        <f t="shared" si="2"/>
        <v>0.55180887154025238</v>
      </c>
      <c r="F7" s="272">
        <f t="shared" si="2"/>
        <v>0.53426433521976335</v>
      </c>
      <c r="G7" s="272">
        <f t="shared" si="2"/>
        <v>0.51698428807818153</v>
      </c>
      <c r="H7" s="272">
        <f t="shared" si="2"/>
        <v>0.5</v>
      </c>
      <c r="I7" s="272">
        <f t="shared" si="2"/>
        <v>0.48333900005742508</v>
      </c>
      <c r="J7" s="272">
        <f t="shared" si="2"/>
        <v>0.46702514471383838</v>
      </c>
      <c r="K7" s="272">
        <f t="shared" si="2"/>
        <v>0.45107872996511994</v>
      </c>
      <c r="L7" s="272">
        <f t="shared" si="2"/>
        <v>0.43551663967690124</v>
      </c>
      <c r="M7" s="272">
        <f t="shared" si="2"/>
        <v>0.42035252260772732</v>
      </c>
      <c r="N7" s="272">
        <f t="shared" si="2"/>
        <v>0.40559699103628533</v>
      </c>
      <c r="O7" s="272">
        <f t="shared" si="2"/>
        <v>0.39125783448302648</v>
      </c>
      <c r="P7" s="272">
        <f t="shared" si="2"/>
        <v>0.3773402426844234</v>
      </c>
      <c r="Q7" s="272">
        <f t="shared" si="2"/>
        <v>0.36384703269909613</v>
      </c>
      <c r="R7" s="272">
        <f t="shared" si="3"/>
        <v>0.35077887576313721</v>
      </c>
      <c r="S7" s="272">
        <f t="shared" si="3"/>
        <v>0.33813452023809959</v>
      </c>
      <c r="T7" s="272">
        <f t="shared" si="3"/>
        <v>0.32591100768704051</v>
      </c>
      <c r="U7" s="272">
        <f t="shared" si="3"/>
        <v>0.31410387975569931</v>
      </c>
      <c r="V7" s="272">
        <f t="shared" si="3"/>
        <v>0.30270737411695492</v>
      </c>
      <c r="W7" s="272">
        <f t="shared" si="3"/>
        <v>0.2917146082512968</v>
      </c>
      <c r="X7" s="272">
        <f t="shared" si="4"/>
        <v>0.28111775028231822</v>
      </c>
      <c r="Y7" s="272">
        <f t="shared" si="4"/>
        <v>0.27090817646508614</v>
      </c>
      <c r="Z7" s="272">
        <f t="shared" si="4"/>
        <v>0.261076615239975</v>
      </c>
      <c r="AA7" s="272">
        <f t="shared" si="5"/>
        <v>0.25161327801978184</v>
      </c>
      <c r="AB7" s="272">
        <f t="shared" si="5"/>
        <v>0.24250797707934557</v>
      </c>
      <c r="AC7" s="272">
        <f t="shared" si="5"/>
        <v>0.23375023107060766</v>
      </c>
      <c r="AD7" s="272">
        <f t="shared" si="5"/>
        <v>0.22532935879825605</v>
      </c>
      <c r="AE7" s="272">
        <f t="shared" si="5"/>
        <v>0.21723456196791341</v>
      </c>
      <c r="AF7" s="277">
        <f t="shared" si="5"/>
        <v>0.20945499766600012</v>
      </c>
      <c r="AG7" s="242"/>
      <c r="AJ7" s="191">
        <v>5</v>
      </c>
      <c r="AK7" s="268">
        <f t="shared" si="8"/>
        <v>1.18</v>
      </c>
      <c r="AL7" s="268">
        <f t="shared" si="9"/>
        <v>1.1432199999999999</v>
      </c>
      <c r="AM7" s="236" t="str">
        <f t="shared" si="14"/>
        <v>+93,2%</v>
      </c>
      <c r="AN7" s="268">
        <f t="shared" si="6"/>
        <v>1.0517755558767421</v>
      </c>
      <c r="AP7" s="238" t="s">
        <v>576</v>
      </c>
      <c r="AQ7" s="236" t="str">
        <f t="shared" si="10"/>
        <v>[td]5[/td]</v>
      </c>
      <c r="AR7" s="236" t="str">
        <f t="shared" si="11"/>
        <v>[td]118%[/td]</v>
      </c>
      <c r="AS7" s="236" t="str">
        <f t="shared" si="7"/>
        <v>[td]114%[/td]</v>
      </c>
      <c r="AT7" s="236" t="str">
        <f t="shared" si="12"/>
        <v>[td]+93,2%[/td]</v>
      </c>
      <c r="AU7" s="236" t="str">
        <f t="shared" si="7"/>
        <v>[td]105%[/td]</v>
      </c>
      <c r="AV7" s="238" t="s">
        <v>578</v>
      </c>
    </row>
    <row r="8" spans="2:48">
      <c r="B8" s="274">
        <f t="shared" si="13"/>
        <v>13.25</v>
      </c>
      <c r="C8" s="234"/>
      <c r="D8" s="272">
        <f t="shared" si="2"/>
        <v>0.58584577876569288</v>
      </c>
      <c r="E8" s="272">
        <f t="shared" si="2"/>
        <v>0.56823427555902584</v>
      </c>
      <c r="F8" s="272">
        <f t="shared" si="2"/>
        <v>0.55080931147217205</v>
      </c>
      <c r="G8" s="272">
        <f t="shared" si="2"/>
        <v>0.53360724794686865</v>
      </c>
      <c r="H8" s="272">
        <f t="shared" si="2"/>
        <v>0.51666099994257486</v>
      </c>
      <c r="I8" s="272">
        <f t="shared" si="2"/>
        <v>0.5</v>
      </c>
      <c r="J8" s="272">
        <f t="shared" si="2"/>
        <v>0.48365021475670084</v>
      </c>
      <c r="K8" s="272">
        <f t="shared" si="2"/>
        <v>0.46763420741932515</v>
      </c>
      <c r="L8" s="272">
        <f t="shared" si="2"/>
        <v>0.45197123942853384</v>
      </c>
      <c r="M8" s="272">
        <f t="shared" si="2"/>
        <v>0.43667740453775378</v>
      </c>
      <c r="N8" s="272">
        <f t="shared" si="2"/>
        <v>0.42176578872301212</v>
      </c>
      <c r="O8" s="272">
        <f t="shared" si="2"/>
        <v>0.40724664970377766</v>
      </c>
      <c r="P8" s="272">
        <f t="shared" si="2"/>
        <v>0.39312761034072458</v>
      </c>
      <c r="Q8" s="272">
        <f t="shared" si="2"/>
        <v>0.37941386074542627</v>
      </c>
      <c r="R8" s="272">
        <f t="shared" si="3"/>
        <v>0.36610836455358792</v>
      </c>
      <c r="S8" s="272">
        <f t="shared" si="3"/>
        <v>0.35321206544720996</v>
      </c>
      <c r="T8" s="272">
        <f t="shared" si="3"/>
        <v>0.34072409063741171</v>
      </c>
      <c r="U8" s="272">
        <f t="shared" si="3"/>
        <v>0.32864194861936935</v>
      </c>
      <c r="V8" s="272">
        <f t="shared" si="3"/>
        <v>0.316961719070042</v>
      </c>
      <c r="W8" s="272">
        <f t="shared" si="3"/>
        <v>0.30567823326863952</v>
      </c>
      <c r="X8" s="272">
        <f t="shared" si="4"/>
        <v>0.29478524387379607</v>
      </c>
      <c r="Y8" s="272">
        <f t="shared" si="4"/>
        <v>0.28427558328784014</v>
      </c>
      <c r="Z8" s="272">
        <f t="shared" si="4"/>
        <v>0.27414131017787413</v>
      </c>
      <c r="AA8" s="272">
        <f t="shared" si="5"/>
        <v>0.26437384400774522</v>
      </c>
      <c r="AB8" s="272">
        <f t="shared" si="5"/>
        <v>0.25496408766807882</v>
      </c>
      <c r="AC8" s="272">
        <f t="shared" si="5"/>
        <v>0.24590253847785082</v>
      </c>
      <c r="AD8" s="272">
        <f t="shared" si="5"/>
        <v>0.23717938797542784</v>
      </c>
      <c r="AE8" s="272">
        <f t="shared" si="5"/>
        <v>0.22878461102479705</v>
      </c>
      <c r="AF8" s="277">
        <f t="shared" si="5"/>
        <v>0.22070804483892498</v>
      </c>
      <c r="AG8" s="242"/>
      <c r="AJ8" s="191">
        <v>6</v>
      </c>
      <c r="AK8" s="268">
        <f t="shared" si="8"/>
        <v>1.2012461179749812</v>
      </c>
      <c r="AL8" s="268">
        <f t="shared" si="9"/>
        <v>1.1601248278687599</v>
      </c>
      <c r="AM8" s="236" t="str">
        <f t="shared" si="14"/>
        <v>+103,8%</v>
      </c>
      <c r="AN8" s="268">
        <f t="shared" si="6"/>
        <v>1.0576408333617513</v>
      </c>
      <c r="AP8" s="238" t="s">
        <v>576</v>
      </c>
      <c r="AQ8" s="236" t="str">
        <f t="shared" si="10"/>
        <v>[td]6[/td]</v>
      </c>
      <c r="AR8" s="236" t="str">
        <f t="shared" si="11"/>
        <v>[td]120%[/td]</v>
      </c>
      <c r="AS8" s="236" t="str">
        <f t="shared" si="7"/>
        <v>[td]116%[/td]</v>
      </c>
      <c r="AT8" s="236" t="str">
        <f t="shared" si="12"/>
        <v>[td]+103,8%[/td]</v>
      </c>
      <c r="AU8" s="236" t="str">
        <f t="shared" si="7"/>
        <v>[td]106%[/td]</v>
      </c>
      <c r="AV8" s="238" t="s">
        <v>578</v>
      </c>
    </row>
    <row r="9" spans="2:48">
      <c r="B9" s="274">
        <f t="shared" si="13"/>
        <v>13.5</v>
      </c>
      <c r="C9" s="234"/>
      <c r="D9" s="272">
        <f t="shared" si="2"/>
        <v>0.60162501675587088</v>
      </c>
      <c r="E9" s="272">
        <f t="shared" si="2"/>
        <v>0.58420828444813533</v>
      </c>
      <c r="F9" s="272">
        <f t="shared" si="2"/>
        <v>0.5669366738244016</v>
      </c>
      <c r="G9" s="272">
        <f t="shared" si="2"/>
        <v>0.54984747416712043</v>
      </c>
      <c r="H9" s="272">
        <f t="shared" si="2"/>
        <v>0.53297485528616173</v>
      </c>
      <c r="I9" s="272">
        <f t="shared" si="2"/>
        <v>0.51634978524329933</v>
      </c>
      <c r="J9" s="272">
        <f t="shared" si="2"/>
        <v>0.5</v>
      </c>
      <c r="K9" s="272">
        <f t="shared" si="2"/>
        <v>0.48395001974916874</v>
      </c>
      <c r="L9" s="272">
        <f t="shared" si="2"/>
        <v>0.46822120621947849</v>
      </c>
      <c r="M9" s="272">
        <f t="shared" si="2"/>
        <v>0.45283185501442119</v>
      </c>
      <c r="N9" s="272">
        <f t="shared" si="2"/>
        <v>0.43779731703585817</v>
      </c>
      <c r="O9" s="272">
        <f t="shared" si="2"/>
        <v>0.42313014320815673</v>
      </c>
      <c r="P9" s="272">
        <f t="shared" si="2"/>
        <v>0.40884024702713995</v>
      </c>
      <c r="Q9" s="272">
        <f t="shared" si="2"/>
        <v>0.39493507987201476</v>
      </c>
      <c r="R9" s="272">
        <f t="shared" si="3"/>
        <v>0.38141981450469065</v>
      </c>
      <c r="S9" s="272">
        <f t="shared" si="3"/>
        <v>0.36829753270955229</v>
      </c>
      <c r="T9" s="272">
        <f t="shared" si="3"/>
        <v>0.35556941357228727</v>
      </c>
      <c r="U9" s="272">
        <f t="shared" si="3"/>
        <v>0.34323491943774942</v>
      </c>
      <c r="V9" s="272">
        <f t="shared" si="3"/>
        <v>0.33129197710771163</v>
      </c>
      <c r="W9" s="272">
        <f t="shared" si="3"/>
        <v>0.31973715232744593</v>
      </c>
      <c r="X9" s="272">
        <f t="shared" si="4"/>
        <v>0.30856581605713351</v>
      </c>
      <c r="Y9" s="272">
        <f t="shared" si="4"/>
        <v>0.29777230142496575</v>
      </c>
      <c r="Z9" s="272">
        <f t="shared" si="4"/>
        <v>0.28735005061127028</v>
      </c>
      <c r="AA9" s="272">
        <f t="shared" si="5"/>
        <v>0.27729175121685684</v>
      </c>
      <c r="AB9" s="272">
        <f t="shared" si="5"/>
        <v>0.26758946192562127</v>
      </c>
      <c r="AC9" s="272">
        <f t="shared" si="5"/>
        <v>0.25823472748403903</v>
      </c>
      <c r="AD9" s="272">
        <f t="shared" si="5"/>
        <v>0.24921868319203855</v>
      </c>
      <c r="AE9" s="272">
        <f t="shared" si="5"/>
        <v>0.24053214923495467</v>
      </c>
      <c r="AF9" s="277">
        <f t="shared" si="5"/>
        <v>0.23216571528907193</v>
      </c>
      <c r="AG9" s="242"/>
      <c r="AJ9" s="191">
        <v>7</v>
      </c>
      <c r="AK9" s="268">
        <f t="shared" si="8"/>
        <v>1.2204540768504861</v>
      </c>
      <c r="AL9" s="268">
        <f t="shared" si="9"/>
        <v>1.1754079604807033</v>
      </c>
      <c r="AM9" s="236" t="str">
        <f t="shared" si="14"/>
        <v>+112,7%</v>
      </c>
      <c r="AN9" s="268">
        <f t="shared" si="6"/>
        <v>1.062599854815871</v>
      </c>
      <c r="AP9" s="238" t="s">
        <v>576</v>
      </c>
      <c r="AQ9" s="236" t="str">
        <f t="shared" si="10"/>
        <v>[td]7[/td]</v>
      </c>
      <c r="AR9" s="236" t="str">
        <f t="shared" si="11"/>
        <v>[td]122%[/td]</v>
      </c>
      <c r="AS9" s="236" t="str">
        <f t="shared" si="7"/>
        <v>[td]118%[/td]</v>
      </c>
      <c r="AT9" s="236" t="str">
        <f t="shared" si="12"/>
        <v>[td]+112,7%[/td]</v>
      </c>
      <c r="AU9" s="236" t="str">
        <f t="shared" si="7"/>
        <v>[td]106%[/td]</v>
      </c>
      <c r="AV9" s="238" t="s">
        <v>578</v>
      </c>
    </row>
    <row r="10" spans="2:48">
      <c r="B10" s="274">
        <f t="shared" si="13"/>
        <v>13.75</v>
      </c>
      <c r="C10" s="234"/>
      <c r="D10" s="272">
        <f t="shared" si="2"/>
        <v>0.61691222447059335</v>
      </c>
      <c r="E10" s="272">
        <f t="shared" si="2"/>
        <v>0.59971916641080669</v>
      </c>
      <c r="F10" s="272">
        <f t="shared" si="2"/>
        <v>0.58263155906595132</v>
      </c>
      <c r="G10" s="272">
        <f t="shared" si="2"/>
        <v>0.56568724185015673</v>
      </c>
      <c r="H10" s="272">
        <f t="shared" si="2"/>
        <v>0.54892127003488</v>
      </c>
      <c r="I10" s="272">
        <f t="shared" si="2"/>
        <v>0.53236579258067485</v>
      </c>
      <c r="J10" s="272">
        <f t="shared" si="2"/>
        <v>0.51604998025083137</v>
      </c>
      <c r="K10" s="272">
        <f t="shared" si="2"/>
        <v>0.5</v>
      </c>
      <c r="L10" s="272">
        <f t="shared" si="2"/>
        <v>0.4842390310036146</v>
      </c>
      <c r="M10" s="272">
        <f t="shared" si="2"/>
        <v>0.4687873172947194</v>
      </c>
      <c r="N10" s="272">
        <f t="shared" si="2"/>
        <v>0.45366225178318925</v>
      </c>
      <c r="O10" s="272">
        <f t="shared" si="2"/>
        <v>0.43887848642202615</v>
      </c>
      <c r="P10" s="272">
        <f t="shared" si="2"/>
        <v>0.42444806342689373</v>
      </c>
      <c r="Q10" s="272">
        <f t="shared" si="2"/>
        <v>0.41038056271758416</v>
      </c>
      <c r="R10" s="272">
        <f t="shared" si="3"/>
        <v>0.39668326110368457</v>
      </c>
      <c r="S10" s="272">
        <f t="shared" si="3"/>
        <v>0.38336129915324618</v>
      </c>
      <c r="T10" s="272">
        <f t="shared" si="3"/>
        <v>0.37041785213766498</v>
      </c>
      <c r="U10" s="272">
        <f t="shared" si="3"/>
        <v>0.35785430191659551</v>
      </c>
      <c r="V10" s="272">
        <f t="shared" si="3"/>
        <v>0.34567040709572272</v>
      </c>
      <c r="W10" s="272">
        <f t="shared" si="3"/>
        <v>0.33386446924337798</v>
      </c>
      <c r="X10" s="272">
        <f t="shared" si="4"/>
        <v>0.32243349337878574</v>
      </c>
      <c r="Y10" s="272">
        <f t="shared" si="4"/>
        <v>0.3113733413375967</v>
      </c>
      <c r="Z10" s="272">
        <f t="shared" si="4"/>
        <v>0.30067887697478174</v>
      </c>
      <c r="AA10" s="272">
        <f t="shared" si="5"/>
        <v>0.29034410247847076</v>
      </c>
      <c r="AB10" s="272">
        <f t="shared" si="5"/>
        <v>0.28036228534052937</v>
      </c>
      <c r="AC10" s="272">
        <f t="shared" si="5"/>
        <v>0.27072607576158303</v>
      </c>
      <c r="AD10" s="272">
        <f t="shared" si="5"/>
        <v>0.26142761446184776</v>
      </c>
      <c r="AE10" s="272">
        <f t="shared" si="5"/>
        <v>0.25245863102737204</v>
      </c>
      <c r="AF10" s="277">
        <f t="shared" si="5"/>
        <v>0.24381053304740799</v>
      </c>
      <c r="AG10" s="242"/>
      <c r="AJ10" s="191">
        <v>8</v>
      </c>
      <c r="AK10" s="268">
        <f t="shared" si="8"/>
        <v>1.2381176179958131</v>
      </c>
      <c r="AL10" s="268">
        <f t="shared" si="9"/>
        <v>1.1894622513853352</v>
      </c>
      <c r="AM10" s="236" t="str">
        <f t="shared" si="14"/>
        <v>+120,4%</v>
      </c>
      <c r="AN10" s="268">
        <f t="shared" si="6"/>
        <v>1.0668955545919958</v>
      </c>
      <c r="AP10" s="238" t="s">
        <v>576</v>
      </c>
      <c r="AQ10" s="236" t="str">
        <f t="shared" si="10"/>
        <v>[td]8[/td]</v>
      </c>
      <c r="AR10" s="236" t="str">
        <f t="shared" si="11"/>
        <v>[td]124%[/td]</v>
      </c>
      <c r="AS10" s="236" t="str">
        <f t="shared" si="7"/>
        <v>[td]119%[/td]</v>
      </c>
      <c r="AT10" s="236" t="str">
        <f t="shared" si="12"/>
        <v>[td]+120,4%[/td]</v>
      </c>
      <c r="AU10" s="236" t="str">
        <f t="shared" si="7"/>
        <v>[td]107%[/td]</v>
      </c>
      <c r="AV10" s="238" t="s">
        <v>578</v>
      </c>
    </row>
    <row r="11" spans="2:48">
      <c r="B11" s="274">
        <f t="shared" si="13"/>
        <v>14</v>
      </c>
      <c r="C11" s="234"/>
      <c r="D11" s="272">
        <f t="shared" si="2"/>
        <v>0.63170246729044766</v>
      </c>
      <c r="E11" s="272">
        <f t="shared" si="2"/>
        <v>0.61475868396706879</v>
      </c>
      <c r="F11" s="272">
        <f t="shared" si="2"/>
        <v>0.59788261701019929</v>
      </c>
      <c r="G11" s="272">
        <f t="shared" si="2"/>
        <v>0.58111231030488963</v>
      </c>
      <c r="H11" s="272">
        <f t="shared" si="2"/>
        <v>0.56448336032309876</v>
      </c>
      <c r="I11" s="272">
        <f t="shared" si="2"/>
        <v>0.5480287605714661</v>
      </c>
      <c r="J11" s="272">
        <f t="shared" si="2"/>
        <v>0.53177879378052151</v>
      </c>
      <c r="K11" s="272">
        <f t="shared" si="2"/>
        <v>0.51576096899638535</v>
      </c>
      <c r="L11" s="272">
        <f t="shared" si="2"/>
        <v>0.5</v>
      </c>
      <c r="M11" s="272">
        <f t="shared" si="2"/>
        <v>0.48451782094688917</v>
      </c>
      <c r="N11" s="272">
        <f t="shared" si="2"/>
        <v>0.4693336347818039</v>
      </c>
      <c r="O11" s="272">
        <f t="shared" si="2"/>
        <v>0.45446398981999442</v>
      </c>
      <c r="P11" s="272">
        <f t="shared" si="2"/>
        <v>0.43992287987824896</v>
      </c>
      <c r="Q11" s="272">
        <f t="shared" si="2"/>
        <v>0.42572186345950724</v>
      </c>
      <c r="R11" s="272">
        <f t="shared" si="3"/>
        <v>0.41187019771918332</v>
      </c>
      <c r="S11" s="272">
        <f t="shared" si="3"/>
        <v>0.39837498324412907</v>
      </c>
      <c r="T11" s="272">
        <f t="shared" si="3"/>
        <v>0.38524131603293071</v>
      </c>
      <c r="U11" s="272">
        <f t="shared" si="3"/>
        <v>0.37247244345771285</v>
      </c>
      <c r="V11" s="272">
        <f t="shared" si="3"/>
        <v>0.36006992139458005</v>
      </c>
      <c r="W11" s="272">
        <f t="shared" si="3"/>
        <v>0.34803377011688486</v>
      </c>
      <c r="X11" s="272">
        <f t="shared" si="4"/>
        <v>0.33636262694059477</v>
      </c>
      <c r="Y11" s="272">
        <f t="shared" si="4"/>
        <v>0.32505389398473195</v>
      </c>
      <c r="Z11" s="272">
        <f t="shared" si="4"/>
        <v>0.31410387975569892</v>
      </c>
      <c r="AA11" s="272">
        <f t="shared" si="5"/>
        <v>0.3035079335778974</v>
      </c>
      <c r="AB11" s="272">
        <f t="shared" si="5"/>
        <v>0.29326057217215401</v>
      </c>
      <c r="AC11" s="272">
        <f t="shared" si="5"/>
        <v>0.28335559792741122</v>
      </c>
      <c r="AD11" s="272">
        <f t="shared" si="5"/>
        <v>0.27378620862046521</v>
      </c>
      <c r="AE11" s="272">
        <f t="shared" si="5"/>
        <v>0.26454509851482627</v>
      </c>
      <c r="AF11" s="277">
        <f t="shared" si="5"/>
        <v>0.255624550915237</v>
      </c>
      <c r="AG11" s="242"/>
      <c r="AJ11" s="191">
        <v>9</v>
      </c>
      <c r="AK11" s="268">
        <f t="shared" si="8"/>
        <v>1.2545584412271571</v>
      </c>
      <c r="AL11" s="268">
        <f t="shared" si="9"/>
        <v>1.2025436664030746</v>
      </c>
      <c r="AM11" s="236" t="str">
        <f t="shared" si="14"/>
        <v>+127,2%</v>
      </c>
      <c r="AN11" s="268">
        <f t="shared" si="6"/>
        <v>1.0706846303288389</v>
      </c>
      <c r="AP11" s="238" t="s">
        <v>576</v>
      </c>
      <c r="AQ11" s="236" t="str">
        <f t="shared" si="10"/>
        <v>[td]9[/td]</v>
      </c>
      <c r="AR11" s="236" t="str">
        <f t="shared" si="11"/>
        <v>[td]125%[/td]</v>
      </c>
      <c r="AS11" s="236" t="str">
        <f t="shared" si="7"/>
        <v>[td]120%[/td]</v>
      </c>
      <c r="AT11" s="236" t="str">
        <f t="shared" si="12"/>
        <v>[td]+127,2%[/td]</v>
      </c>
      <c r="AU11" s="236" t="str">
        <f t="shared" si="7"/>
        <v>[td]107%[/td]</v>
      </c>
      <c r="AV11" s="238" t="s">
        <v>578</v>
      </c>
    </row>
    <row r="12" spans="2:48">
      <c r="B12" s="274">
        <f t="shared" si="13"/>
        <v>14.25</v>
      </c>
      <c r="C12" s="234"/>
      <c r="D12" s="272">
        <f t="shared" si="2"/>
        <v>0.64599389607883395</v>
      </c>
      <c r="E12" s="272">
        <f t="shared" si="2"/>
        <v>0.62932179141586242</v>
      </c>
      <c r="F12" s="272">
        <f t="shared" si="2"/>
        <v>0.61268174806170761</v>
      </c>
      <c r="G12" s="272">
        <f t="shared" si="2"/>
        <v>0.59611170285467985</v>
      </c>
      <c r="H12" s="272">
        <f t="shared" si="2"/>
        <v>0.57964747739227274</v>
      </c>
      <c r="I12" s="272">
        <f t="shared" si="2"/>
        <v>0.56332259546224606</v>
      </c>
      <c r="J12" s="272">
        <f t="shared" si="2"/>
        <v>0.54716814498557875</v>
      </c>
      <c r="K12" s="272">
        <f t="shared" si="2"/>
        <v>0.53121268270528055</v>
      </c>
      <c r="L12" s="272">
        <f t="shared" si="2"/>
        <v>0.51548217905311078</v>
      </c>
      <c r="M12" s="272">
        <f t="shared" si="2"/>
        <v>0.5</v>
      </c>
      <c r="N12" s="272">
        <f t="shared" si="2"/>
        <v>0.48478692224341402</v>
      </c>
      <c r="O12" s="272">
        <f t="shared" si="2"/>
        <v>0.46986117779678871</v>
      </c>
      <c r="P12" s="272">
        <f t="shared" si="2"/>
        <v>0.45523852390777209</v>
      </c>
      <c r="Q12" s="272">
        <f t="shared" si="2"/>
        <v>0.44093233422478212</v>
      </c>
      <c r="R12" s="272">
        <f t="shared" si="3"/>
        <v>0.42695370723461817</v>
      </c>
      <c r="S12" s="272">
        <f t="shared" si="3"/>
        <v>0.41331158818603458</v>
      </c>
      <c r="T12" s="272">
        <f t="shared" si="3"/>
        <v>0.40001290097420189</v>
      </c>
      <c r="U12" s="272">
        <f t="shared" si="3"/>
        <v>0.3870626867689736</v>
      </c>
      <c r="V12" s="272">
        <f t="shared" si="3"/>
        <v>0.37446424650800197</v>
      </c>
      <c r="W12" s="272">
        <f t="shared" si="3"/>
        <v>0.36221928472834258</v>
      </c>
      <c r="X12" s="272">
        <f t="shared" si="4"/>
        <v>0.35032805256429217</v>
      </c>
      <c r="Y12" s="272">
        <f t="shared" si="4"/>
        <v>0.33878948808416814</v>
      </c>
      <c r="Z12" s="272">
        <f t="shared" si="4"/>
        <v>0.32760135246658773</v>
      </c>
      <c r="AA12" s="272">
        <f t="shared" si="5"/>
        <v>0.31676036082156578</v>
      </c>
      <c r="AB12" s="272">
        <f t="shared" si="5"/>
        <v>0.30626230673957233</v>
      </c>
      <c r="AC12" s="272">
        <f t="shared" si="5"/>
        <v>0.29610217990037258</v>
      </c>
      <c r="AD12" s="272">
        <f t="shared" si="5"/>
        <v>0.28627427629213092</v>
      </c>
      <c r="AE12" s="272">
        <f t="shared" si="5"/>
        <v>0.27677230078022758</v>
      </c>
      <c r="AF12" s="277">
        <f t="shared" si="5"/>
        <v>0.26758946192562127</v>
      </c>
      <c r="AG12" s="242"/>
      <c r="AJ12" s="191">
        <v>10</v>
      </c>
      <c r="AK12" s="268">
        <f t="shared" si="8"/>
        <v>1.27</v>
      </c>
      <c r="AL12" s="268">
        <f t="shared" si="9"/>
        <v>1.2148300000000001</v>
      </c>
      <c r="AM12" s="236" t="str">
        <f t="shared" si="14"/>
        <v>+133,3%</v>
      </c>
      <c r="AN12" s="268">
        <f t="shared" si="6"/>
        <v>1.074074074074074</v>
      </c>
      <c r="AP12" s="238" t="s">
        <v>576</v>
      </c>
      <c r="AQ12" s="236" t="str">
        <f t="shared" si="10"/>
        <v>[td]10[/td]</v>
      </c>
      <c r="AR12" s="236" t="str">
        <f t="shared" si="11"/>
        <v>[td]127%[/td]</v>
      </c>
      <c r="AS12" s="236" t="str">
        <f t="shared" si="7"/>
        <v>[td]121%[/td]</v>
      </c>
      <c r="AT12" s="236" t="str">
        <f t="shared" si="12"/>
        <v>[td]+133,3%[/td]</v>
      </c>
      <c r="AU12" s="236" t="str">
        <f t="shared" si="7"/>
        <v>[td]107%[/td]</v>
      </c>
      <c r="AV12" s="238" t="s">
        <v>578</v>
      </c>
    </row>
    <row r="13" spans="2:48">
      <c r="B13" s="274">
        <f t="shared" si="13"/>
        <v>14.5</v>
      </c>
      <c r="C13" s="234"/>
      <c r="D13" s="272">
        <f t="shared" si="2"/>
        <v>0.65978741192634915</v>
      </c>
      <c r="E13" s="272">
        <f t="shared" si="2"/>
        <v>0.64340632878400184</v>
      </c>
      <c r="F13" s="272">
        <f t="shared" si="2"/>
        <v>0.62702383042730392</v>
      </c>
      <c r="G13" s="272">
        <f t="shared" si="2"/>
        <v>0.61067747022995511</v>
      </c>
      <c r="H13" s="272">
        <f t="shared" si="2"/>
        <v>0.59440300896371467</v>
      </c>
      <c r="I13" s="272">
        <f t="shared" si="2"/>
        <v>0.57823421127698782</v>
      </c>
      <c r="J13" s="272">
        <f t="shared" si="2"/>
        <v>0.56220268296414178</v>
      </c>
      <c r="K13" s="272">
        <f t="shared" si="2"/>
        <v>0.54633774821681069</v>
      </c>
      <c r="L13" s="272">
        <f t="shared" si="2"/>
        <v>0.5306663652181961</v>
      </c>
      <c r="M13" s="272">
        <f t="shared" si="2"/>
        <v>0.51521307775658598</v>
      </c>
      <c r="N13" s="272">
        <f t="shared" si="2"/>
        <v>0.5</v>
      </c>
      <c r="O13" s="272">
        <f t="shared" si="2"/>
        <v>0.48504683118782832</v>
      </c>
      <c r="P13" s="272">
        <f t="shared" si="2"/>
        <v>0.47037089674953286</v>
      </c>
      <c r="Q13" s="272">
        <f t="shared" si="2"/>
        <v>0.45598721224234967</v>
      </c>
      <c r="R13" s="272">
        <f t="shared" si="3"/>
        <v>0.44190856649385529</v>
      </c>
      <c r="S13" s="272">
        <f t="shared" si="3"/>
        <v>0.42814562042379078</v>
      </c>
      <c r="T13" s="272">
        <f t="shared" si="3"/>
        <v>0.41470701818461303</v>
      </c>
      <c r="U13" s="272">
        <f t="shared" si="3"/>
        <v>0.40159950748404194</v>
      </c>
      <c r="V13" s="272">
        <f t="shared" si="3"/>
        <v>0.38882806621871607</v>
      </c>
      <c r="W13" s="272">
        <f t="shared" si="3"/>
        <v>0.37639603284069617</v>
      </c>
      <c r="X13" s="272">
        <f t="shared" si="4"/>
        <v>0.36430523818479671</v>
      </c>
      <c r="Y13" s="272">
        <f t="shared" si="4"/>
        <v>0.35255613679326103</v>
      </c>
      <c r="Z13" s="272">
        <f t="shared" si="4"/>
        <v>0.34114793607614796</v>
      </c>
      <c r="AA13" s="272">
        <f t="shared" si="5"/>
        <v>0.33007872193378573</v>
      </c>
      <c r="AB13" s="272">
        <f t="shared" si="5"/>
        <v>0.31934557973662059</v>
      </c>
      <c r="AC13" s="272">
        <f t="shared" si="5"/>
        <v>0.30894470980420097</v>
      </c>
      <c r="AD13" s="272">
        <f t="shared" si="5"/>
        <v>0.29887153674674916</v>
      </c>
      <c r="AE13" s="272">
        <f t="shared" si="5"/>
        <v>0.2891208122289009</v>
      </c>
      <c r="AF13" s="277">
        <f t="shared" si="5"/>
        <v>0.27968671088578878</v>
      </c>
      <c r="AG13" s="242"/>
      <c r="AJ13" s="191">
        <v>11</v>
      </c>
      <c r="AK13" s="268">
        <f t="shared" si="8"/>
        <v>1.2846049894151541</v>
      </c>
      <c r="AL13" s="268">
        <f t="shared" si="9"/>
        <v>1.2264507032446577</v>
      </c>
      <c r="AM13" s="236" t="str">
        <f t="shared" si="14"/>
        <v>+138,9%</v>
      </c>
      <c r="AN13" s="268">
        <f t="shared" si="6"/>
        <v>1.0771401989006093</v>
      </c>
      <c r="AP13" s="238" t="s">
        <v>576</v>
      </c>
      <c r="AQ13" s="236" t="str">
        <f t="shared" si="10"/>
        <v>[td]11[/td]</v>
      </c>
      <c r="AR13" s="236" t="str">
        <f t="shared" si="11"/>
        <v>[td]128%[/td]</v>
      </c>
      <c r="AS13" s="236" t="str">
        <f t="shared" si="7"/>
        <v>[td]123%[/td]</v>
      </c>
      <c r="AT13" s="236" t="str">
        <f t="shared" si="12"/>
        <v>[td]+138,9%[/td]</v>
      </c>
      <c r="AU13" s="236" t="str">
        <f t="shared" si="7"/>
        <v>[td]108%[/td]</v>
      </c>
      <c r="AV13" s="238" t="s">
        <v>578</v>
      </c>
    </row>
    <row r="14" spans="2:48">
      <c r="B14" s="274">
        <f t="shared" si="13"/>
        <v>14.75</v>
      </c>
      <c r="C14" s="234"/>
      <c r="D14" s="272">
        <f t="shared" si="2"/>
        <v>0.67308634047951055</v>
      </c>
      <c r="E14" s="272">
        <f t="shared" si="2"/>
        <v>0.65701271846431053</v>
      </c>
      <c r="F14" s="272">
        <f t="shared" si="2"/>
        <v>0.64090644349599091</v>
      </c>
      <c r="G14" s="272">
        <f t="shared" si="2"/>
        <v>0.62480444415727143</v>
      </c>
      <c r="H14" s="272">
        <f t="shared" si="2"/>
        <v>0.60874216551697358</v>
      </c>
      <c r="I14" s="272">
        <f t="shared" si="2"/>
        <v>0.59275335029622245</v>
      </c>
      <c r="J14" s="272">
        <f t="shared" si="2"/>
        <v>0.57686985679184322</v>
      </c>
      <c r="K14" s="272">
        <f t="shared" si="2"/>
        <v>0.56112151357797391</v>
      </c>
      <c r="L14" s="272">
        <f t="shared" si="2"/>
        <v>0.54553601018000553</v>
      </c>
      <c r="M14" s="272">
        <f t="shared" si="2"/>
        <v>0.53013882220321129</v>
      </c>
      <c r="N14" s="272">
        <f t="shared" si="2"/>
        <v>0.51495316881217168</v>
      </c>
      <c r="O14" s="272">
        <f t="shared" si="2"/>
        <v>0.5</v>
      </c>
      <c r="P14" s="272">
        <f t="shared" si="2"/>
        <v>0.48529801075619461</v>
      </c>
      <c r="Q14" s="272">
        <f t="shared" si="2"/>
        <v>0.47086367903164672</v>
      </c>
      <c r="R14" s="272">
        <f t="shared" si="3"/>
        <v>0.4567113242982429</v>
      </c>
      <c r="S14" s="272">
        <f t="shared" si="3"/>
        <v>0.44285318349536185</v>
      </c>
      <c r="T14" s="272">
        <f t="shared" si="3"/>
        <v>0.42929950123171001</v>
      </c>
      <c r="U14" s="272">
        <f t="shared" si="3"/>
        <v>0.4160586312530572</v>
      </c>
      <c r="V14" s="272">
        <f t="shared" si="3"/>
        <v>0.40313714637958648</v>
      </c>
      <c r="W14" s="272">
        <f t="shared" si="3"/>
        <v>0.39053995434649275</v>
      </c>
      <c r="X14" s="272">
        <f t="shared" si="4"/>
        <v>0.37827041723536581</v>
      </c>
      <c r="Y14" s="272">
        <f t="shared" si="4"/>
        <v>0.36633047245031602</v>
      </c>
      <c r="Z14" s="272">
        <f t="shared" si="4"/>
        <v>0.35472075346225673</v>
      </c>
      <c r="AA14" s="272">
        <f t="shared" si="5"/>
        <v>0.34344070880925814</v>
      </c>
      <c r="AB14" s="272">
        <f t="shared" si="5"/>
        <v>0.33248871809429725</v>
      </c>
      <c r="AC14" s="272">
        <f t="shared" si="5"/>
        <v>0.32186220395944681</v>
      </c>
      <c r="AD14" s="272">
        <f t="shared" si="5"/>
        <v>0.31155773923430097</v>
      </c>
      <c r="AE14" s="272">
        <f t="shared" si="5"/>
        <v>0.30157114865431134</v>
      </c>
      <c r="AF14" s="277">
        <f t="shared" si="5"/>
        <v>0.29189760472071119</v>
      </c>
      <c r="AG14" s="242"/>
      <c r="AJ14" s="191">
        <v>12</v>
      </c>
      <c r="AK14" s="268">
        <f t="shared" si="8"/>
        <v>1.2984962311319861</v>
      </c>
      <c r="AL14" s="268">
        <f t="shared" si="9"/>
        <v>1.2375035012373501</v>
      </c>
      <c r="AM14" s="236" t="str">
        <f t="shared" si="14"/>
        <v>+143,9%</v>
      </c>
      <c r="AN14" s="268">
        <f t="shared" si="6"/>
        <v>1.0799393515590834</v>
      </c>
      <c r="AP14" s="238" t="s">
        <v>576</v>
      </c>
      <c r="AQ14" s="236" t="str">
        <f t="shared" si="10"/>
        <v>[td]12[/td]</v>
      </c>
      <c r="AR14" s="236" t="str">
        <f t="shared" si="11"/>
        <v>[td]130%[/td]</v>
      </c>
      <c r="AS14" s="236" t="str">
        <f t="shared" si="7"/>
        <v>[td]124%[/td]</v>
      </c>
      <c r="AT14" s="236" t="str">
        <f t="shared" si="12"/>
        <v>[td]+143,9%[/td]</v>
      </c>
      <c r="AU14" s="236" t="str">
        <f t="shared" si="7"/>
        <v>[td]108%[/td]</v>
      </c>
      <c r="AV14" s="238" t="s">
        <v>578</v>
      </c>
    </row>
    <row r="15" spans="2:48">
      <c r="B15" s="274">
        <f t="shared" si="13"/>
        <v>15</v>
      </c>
      <c r="C15" s="234"/>
      <c r="D15" s="272">
        <f t="shared" ref="D15:S31" si="15">(POWER($B15,$F$1)/(POWER($B15,$F$1)+POWER(D$2,$F$1)))</f>
        <v>0.6858961202443008</v>
      </c>
      <c r="E15" s="272">
        <f t="shared" si="15"/>
        <v>0.67014366959827476</v>
      </c>
      <c r="F15" s="272">
        <f t="shared" si="15"/>
        <v>0.65432959290427728</v>
      </c>
      <c r="G15" s="272">
        <f t="shared" si="15"/>
        <v>0.63848998692006986</v>
      </c>
      <c r="H15" s="272">
        <f t="shared" si="15"/>
        <v>0.62265975731557655</v>
      </c>
      <c r="I15" s="272">
        <f t="shared" si="15"/>
        <v>0.60687238965927548</v>
      </c>
      <c r="J15" s="272">
        <f t="shared" si="15"/>
        <v>0.59115975297286016</v>
      </c>
      <c r="K15" s="272">
        <f t="shared" si="15"/>
        <v>0.57555193657310633</v>
      </c>
      <c r="L15" s="272">
        <f t="shared" si="15"/>
        <v>0.56007712012175093</v>
      </c>
      <c r="M15" s="272">
        <f t="shared" si="15"/>
        <v>0.5447614760922278</v>
      </c>
      <c r="N15" s="272">
        <f t="shared" si="15"/>
        <v>0.52962910325046708</v>
      </c>
      <c r="O15" s="272">
        <f t="shared" si="15"/>
        <v>0.5147019892438055</v>
      </c>
      <c r="P15" s="272">
        <f t="shared" si="15"/>
        <v>0.5</v>
      </c>
      <c r="Q15" s="272">
        <f t="shared" si="15"/>
        <v>0.48554089335517586</v>
      </c>
      <c r="R15" s="272">
        <f t="shared" si="3"/>
        <v>0.4713403541491617</v>
      </c>
      <c r="S15" s="272">
        <f t="shared" si="3"/>
        <v>0.45741204793990925</v>
      </c>
      <c r="T15" s="272">
        <f t="shared" si="3"/>
        <v>0.44376769048436504</v>
      </c>
      <c r="U15" s="272">
        <f t="shared" si="3"/>
        <v>0.43041713019876615</v>
      </c>
      <c r="V15" s="272">
        <f t="shared" si="3"/>
        <v>0.41736844093404868</v>
      </c>
      <c r="W15" s="272">
        <f t="shared" si="3"/>
        <v>0.40462802256906899</v>
      </c>
      <c r="X15" s="272">
        <f t="shared" si="3"/>
        <v>0.39220070712373839</v>
      </c>
      <c r="Y15" s="272">
        <f t="shared" si="3"/>
        <v>0.38008986831482594</v>
      </c>
      <c r="Z15" s="272">
        <f t="shared" si="3"/>
        <v>0.36829753270955196</v>
      </c>
      <c r="AA15" s="272">
        <f t="shared" si="5"/>
        <v>0.35682449086776752</v>
      </c>
      <c r="AB15" s="272">
        <f t="shared" si="5"/>
        <v>0.34567040709572266</v>
      </c>
      <c r="AC15" s="272">
        <f t="shared" si="5"/>
        <v>0.33483392665777029</v>
      </c>
      <c r="AD15" s="272">
        <f t="shared" si="5"/>
        <v>0.3243127795026795</v>
      </c>
      <c r="AE15" s="272">
        <f t="shared" si="5"/>
        <v>0.31410387975569931</v>
      </c>
      <c r="AF15" s="277">
        <f t="shared" si="5"/>
        <v>0.30420342040425502</v>
      </c>
      <c r="AG15" s="242"/>
      <c r="AK15" s="268"/>
      <c r="AL15" s="268"/>
      <c r="AN15" s="268"/>
      <c r="AP15" s="238"/>
      <c r="AV15" s="238"/>
    </row>
    <row r="16" spans="2:48">
      <c r="B16" s="274">
        <f t="shared" si="13"/>
        <v>15.25</v>
      </c>
      <c r="C16" s="234"/>
      <c r="D16" s="272">
        <f t="shared" si="15"/>
        <v>0.69822400812335128</v>
      </c>
      <c r="E16" s="272">
        <f t="shared" si="15"/>
        <v>0.68280389418334986</v>
      </c>
      <c r="F16" s="272">
        <f t="shared" si="15"/>
        <v>0.6672954418209478</v>
      </c>
      <c r="G16" s="272">
        <f t="shared" si="15"/>
        <v>0.65173374180473154</v>
      </c>
      <c r="H16" s="272">
        <f t="shared" si="15"/>
        <v>0.63615296730090387</v>
      </c>
      <c r="I16" s="272">
        <f t="shared" si="15"/>
        <v>0.62058613925457384</v>
      </c>
      <c r="J16" s="272">
        <f t="shared" si="15"/>
        <v>0.6050649201279853</v>
      </c>
      <c r="K16" s="272">
        <f t="shared" si="15"/>
        <v>0.58961943728241595</v>
      </c>
      <c r="L16" s="272">
        <f t="shared" si="15"/>
        <v>0.57427813654049276</v>
      </c>
      <c r="M16" s="272">
        <f t="shared" si="15"/>
        <v>0.55906766577521794</v>
      </c>
      <c r="N16" s="272">
        <f t="shared" si="15"/>
        <v>0.54401278775765038</v>
      </c>
      <c r="O16" s="272">
        <f t="shared" si="15"/>
        <v>0.52913632096835328</v>
      </c>
      <c r="P16" s="272">
        <f t="shared" si="15"/>
        <v>0.51445910664482419</v>
      </c>
      <c r="Q16" s="272">
        <f t="shared" si="15"/>
        <v>0.5</v>
      </c>
      <c r="R16" s="272">
        <f t="shared" si="3"/>
        <v>0.48577588330349381</v>
      </c>
      <c r="S16" s="272">
        <f t="shared" si="3"/>
        <v>0.47180169836208635</v>
      </c>
      <c r="T16" s="272">
        <f t="shared" si="3"/>
        <v>0.45809049586138412</v>
      </c>
      <c r="U16" s="272">
        <f t="shared" si="3"/>
        <v>0.4446534990268467</v>
      </c>
      <c r="V16" s="272">
        <f t="shared" si="3"/>
        <v>0.43150017911911848</v>
      </c>
      <c r="W16" s="272">
        <f t="shared" si="3"/>
        <v>0.41863834038472147</v>
      </c>
      <c r="X16" s="272">
        <f t="shared" si="3"/>
        <v>0.40607421222801443</v>
      </c>
      <c r="Y16" s="272">
        <f t="shared" si="3"/>
        <v>0.39381254654350467</v>
      </c>
      <c r="Z16" s="272">
        <f t="shared" si="3"/>
        <v>0.38185671833989204</v>
      </c>
      <c r="AA16" s="272">
        <f t="shared" si="5"/>
        <v>0.37020882799017807</v>
      </c>
      <c r="AB16" s="272">
        <f t="shared" si="5"/>
        <v>0.3588698036487265</v>
      </c>
      <c r="AC16" s="272">
        <f t="shared" si="5"/>
        <v>0.34783950258037438</v>
      </c>
      <c r="AD16" s="272">
        <f t="shared" si="5"/>
        <v>0.33711681034378238</v>
      </c>
      <c r="AE16" s="272">
        <f t="shared" si="5"/>
        <v>0.32669973695760224</v>
      </c>
      <c r="AF16" s="277">
        <f t="shared" si="5"/>
        <v>0.31658550935109336</v>
      </c>
      <c r="AG16" s="242"/>
      <c r="AK16" s="268"/>
      <c r="AL16" s="268"/>
      <c r="AN16" s="268"/>
      <c r="AP16" s="238"/>
      <c r="AV16" s="238"/>
    </row>
    <row r="17" spans="2:48">
      <c r="B17" s="274">
        <f t="shared" si="13"/>
        <v>15.5</v>
      </c>
      <c r="C17" s="234"/>
      <c r="D17" s="272">
        <f t="shared" si="15"/>
        <v>0.71007880444810956</v>
      </c>
      <c r="E17" s="272">
        <f t="shared" si="15"/>
        <v>0.69499983790550102</v>
      </c>
      <c r="F17" s="272">
        <f t="shared" si="15"/>
        <v>0.67980805205886075</v>
      </c>
      <c r="G17" s="272">
        <f t="shared" si="15"/>
        <v>0.66453738850179689</v>
      </c>
      <c r="H17" s="272">
        <f t="shared" si="15"/>
        <v>0.64922112423686285</v>
      </c>
      <c r="I17" s="272">
        <f t="shared" si="15"/>
        <v>0.63389163544641203</v>
      </c>
      <c r="J17" s="272">
        <f t="shared" si="15"/>
        <v>0.61858018549530935</v>
      </c>
      <c r="K17" s="272">
        <f t="shared" si="15"/>
        <v>0.60331673889631532</v>
      </c>
      <c r="L17" s="272">
        <f t="shared" si="15"/>
        <v>0.58812980228081668</v>
      </c>
      <c r="M17" s="272">
        <f t="shared" si="15"/>
        <v>0.57304629276538177</v>
      </c>
      <c r="N17" s="272">
        <f t="shared" si="15"/>
        <v>0.55809143350614476</v>
      </c>
      <c r="O17" s="272">
        <f t="shared" si="15"/>
        <v>0.5432886757017571</v>
      </c>
      <c r="P17" s="272">
        <f t="shared" si="15"/>
        <v>0.52865964585083824</v>
      </c>
      <c r="Q17" s="272">
        <f t="shared" si="15"/>
        <v>0.51422411669650614</v>
      </c>
      <c r="R17" s="272">
        <f t="shared" si="3"/>
        <v>0.5</v>
      </c>
      <c r="S17" s="272">
        <f t="shared" si="3"/>
        <v>0.48600335907558284</v>
      </c>
      <c r="T17" s="272">
        <f t="shared" si="3"/>
        <v>0.47224843888519857</v>
      </c>
      <c r="U17" s="272">
        <f t="shared" si="3"/>
        <v>0.45874771142697329</v>
      </c>
      <c r="V17" s="272">
        <f t="shared" si="3"/>
        <v>0.44551193414854273</v>
      </c>
      <c r="W17" s="272">
        <f t="shared" si="3"/>
        <v>0.4325502191652667</v>
      </c>
      <c r="X17" s="272">
        <f t="shared" si="3"/>
        <v>0.41987011115548456</v>
      </c>
      <c r="Y17" s="272">
        <f t="shared" si="3"/>
        <v>0.40747767193073964</v>
      </c>
      <c r="Z17" s="272">
        <f t="shared" si="3"/>
        <v>0.39537756982976408</v>
      </c>
      <c r="AA17" s="272">
        <f t="shared" si="5"/>
        <v>0.38357317225281812</v>
      </c>
      <c r="AB17" s="272">
        <f t="shared" si="5"/>
        <v>0.37206663983064153</v>
      </c>
      <c r="AC17" s="272">
        <f t="shared" si="5"/>
        <v>0.36085902090362687</v>
      </c>
      <c r="AD17" s="272">
        <f t="shared" si="5"/>
        <v>0.34995034516667212</v>
      </c>
      <c r="AE17" s="272">
        <f t="shared" si="5"/>
        <v>0.33933971550939407</v>
      </c>
      <c r="AF17" s="277">
        <f t="shared" si="5"/>
        <v>0.32902539724676122</v>
      </c>
      <c r="AG17" s="242"/>
      <c r="AK17" s="268"/>
      <c r="AL17" s="268"/>
      <c r="AN17" s="268"/>
      <c r="AP17" s="238"/>
      <c r="AV17" s="238"/>
    </row>
    <row r="18" spans="2:48" ht="13.8" thickBot="1">
      <c r="B18" s="274">
        <f t="shared" si="13"/>
        <v>15.75</v>
      </c>
      <c r="C18" s="234"/>
      <c r="D18" s="272">
        <f t="shared" si="15"/>
        <v>0.72147059890986687</v>
      </c>
      <c r="E18" s="272">
        <f t="shared" si="15"/>
        <v>0.70673942782784593</v>
      </c>
      <c r="F18" s="272">
        <f t="shared" si="15"/>
        <v>0.69187313777207915</v>
      </c>
      <c r="G18" s="272">
        <f t="shared" si="15"/>
        <v>0.67690440673239438</v>
      </c>
      <c r="H18" s="272">
        <f t="shared" si="15"/>
        <v>0.66186547976190047</v>
      </c>
      <c r="I18" s="272">
        <f t="shared" si="15"/>
        <v>0.64678793455278993</v>
      </c>
      <c r="J18" s="272">
        <f t="shared" si="15"/>
        <v>0.63170246729044777</v>
      </c>
      <c r="K18" s="272">
        <f t="shared" si="15"/>
        <v>0.61663870084675376</v>
      </c>
      <c r="L18" s="272">
        <f t="shared" si="15"/>
        <v>0.60162501675587088</v>
      </c>
      <c r="M18" s="272">
        <f t="shared" si="15"/>
        <v>0.58668841181396547</v>
      </c>
      <c r="N18" s="272">
        <f t="shared" si="15"/>
        <v>0.57185437957620922</v>
      </c>
      <c r="O18" s="272">
        <f t="shared" si="15"/>
        <v>0.55714681650463815</v>
      </c>
      <c r="P18" s="272">
        <f t="shared" si="15"/>
        <v>0.54258795206009069</v>
      </c>
      <c r="Q18" s="272">
        <f t="shared" si="15"/>
        <v>0.5281983016379137</v>
      </c>
      <c r="R18" s="272">
        <f t="shared" si="3"/>
        <v>0.5139966409244171</v>
      </c>
      <c r="S18" s="272">
        <f t="shared" si="3"/>
        <v>0.5</v>
      </c>
      <c r="T18" s="272">
        <f t="shared" si="3"/>
        <v>0.48622367533361777</v>
      </c>
      <c r="U18" s="272">
        <f t="shared" si="3"/>
        <v>0.47268125769768349</v>
      </c>
      <c r="V18" s="272">
        <f t="shared" si="3"/>
        <v>0.45938467397687627</v>
      </c>
      <c r="W18" s="272">
        <f t="shared" si="3"/>
        <v>0.44634424084162955</v>
      </c>
      <c r="X18" s="272">
        <f t="shared" si="3"/>
        <v>0.43356872829973137</v>
      </c>
      <c r="Y18" s="272">
        <f t="shared" si="3"/>
        <v>0.42106543121944701</v>
      </c>
      <c r="Z18" s="272">
        <f t="shared" si="3"/>
        <v>0.4088402470271395</v>
      </c>
      <c r="AA18" s="272">
        <f t="shared" si="5"/>
        <v>0.39689775791395793</v>
      </c>
      <c r="AB18" s="272">
        <f t="shared" si="5"/>
        <v>0.38524131603293116</v>
      </c>
      <c r="AC18" s="272">
        <f t="shared" si="5"/>
        <v>0.37387313032362557</v>
      </c>
      <c r="AD18" s="272">
        <f t="shared" si="5"/>
        <v>0.3627943537609879</v>
      </c>
      <c r="AE18" s="272">
        <f t="shared" si="5"/>
        <v>0.35200516998367426</v>
      </c>
      <c r="AF18" s="277">
        <f t="shared" si="5"/>
        <v>0.34150487841139571</v>
      </c>
      <c r="AG18" s="242"/>
      <c r="AK18" s="268"/>
      <c r="AL18" s="268"/>
      <c r="AN18" s="268"/>
      <c r="AP18" s="238"/>
      <c r="AV18" s="238"/>
    </row>
    <row r="19" spans="2:48" ht="13.8" thickBot="1">
      <c r="B19" s="282">
        <f t="shared" si="13"/>
        <v>16</v>
      </c>
      <c r="C19" s="283"/>
      <c r="D19" s="284">
        <f t="shared" si="15"/>
        <v>0.73241053807437917</v>
      </c>
      <c r="E19" s="284">
        <f t="shared" si="15"/>
        <v>0.71803183831245632</v>
      </c>
      <c r="F19" s="284">
        <f t="shared" si="15"/>
        <v>0.70349783373731312</v>
      </c>
      <c r="G19" s="284">
        <f t="shared" si="15"/>
        <v>0.68883985063229847</v>
      </c>
      <c r="H19" s="284">
        <f t="shared" si="15"/>
        <v>0.67408899231295949</v>
      </c>
      <c r="I19" s="284">
        <f t="shared" si="15"/>
        <v>0.65927590936258829</v>
      </c>
      <c r="J19" s="284">
        <f t="shared" si="15"/>
        <v>0.64443058642771278</v>
      </c>
      <c r="K19" s="284">
        <f t="shared" si="15"/>
        <v>0.62958214786233502</v>
      </c>
      <c r="L19" s="284">
        <f t="shared" si="15"/>
        <v>0.61475868396706923</v>
      </c>
      <c r="M19" s="284">
        <f t="shared" si="15"/>
        <v>0.59998709902579805</v>
      </c>
      <c r="N19" s="284">
        <f t="shared" si="15"/>
        <v>0.58529298181538691</v>
      </c>
      <c r="O19" s="284">
        <f t="shared" si="15"/>
        <v>0.57070049876828999</v>
      </c>
      <c r="P19" s="284">
        <f t="shared" si="15"/>
        <v>0.55623230951563496</v>
      </c>
      <c r="Q19" s="284">
        <f t="shared" si="15"/>
        <v>0.54190950413861594</v>
      </c>
      <c r="R19" s="284">
        <f t="shared" si="3"/>
        <v>0.52775156111480137</v>
      </c>
      <c r="S19" s="284">
        <f t="shared" si="3"/>
        <v>0.51377632466638212</v>
      </c>
      <c r="T19" s="284">
        <f t="shared" si="3"/>
        <v>0.5</v>
      </c>
      <c r="U19" s="284">
        <f t="shared" si="3"/>
        <v>0.48643716477081783</v>
      </c>
      <c r="V19" s="284">
        <f t="shared" si="3"/>
        <v>0.47310079500342411</v>
      </c>
      <c r="W19" s="284">
        <f t="shared" si="3"/>
        <v>0.4600023036539217</v>
      </c>
      <c r="X19" s="284">
        <f t="shared" si="3"/>
        <v>0.44715158999530141</v>
      </c>
      <c r="Y19" s="284">
        <f t="shared" si="3"/>
        <v>0.43455709804524467</v>
      </c>
      <c r="Z19" s="284">
        <f t="shared" si="3"/>
        <v>0.42222588232521957</v>
      </c>
      <c r="AA19" s="284">
        <f t="shared" si="5"/>
        <v>0.41016367933529302</v>
      </c>
      <c r="AB19" s="284">
        <f t="shared" si="5"/>
        <v>0.39837498324412951</v>
      </c>
      <c r="AC19" s="284">
        <f t="shared" si="5"/>
        <v>0.38686312442228715</v>
      </c>
      <c r="AD19" s="284">
        <f t="shared" si="5"/>
        <v>0.375630349583776</v>
      </c>
      <c r="AE19" s="284">
        <f t="shared" si="5"/>
        <v>0.36467790244134346</v>
      </c>
      <c r="AF19" s="285">
        <f t="shared" si="5"/>
        <v>0.35400610392116649</v>
      </c>
      <c r="AG19" s="242"/>
      <c r="AK19" s="268"/>
      <c r="AL19" s="268"/>
      <c r="AN19" s="268"/>
      <c r="AP19" s="238"/>
      <c r="AV19" s="238"/>
    </row>
    <row r="20" spans="2:48">
      <c r="B20" s="274">
        <f t="shared" si="13"/>
        <v>16.25</v>
      </c>
      <c r="C20" s="234"/>
      <c r="D20" s="272">
        <f t="shared" si="15"/>
        <v>0.74291061457702323</v>
      </c>
      <c r="E20" s="272">
        <f t="shared" si="15"/>
        <v>0.72888727591435698</v>
      </c>
      <c r="F20" s="272">
        <f t="shared" si="15"/>
        <v>0.71469047955550935</v>
      </c>
      <c r="G20" s="272">
        <f t="shared" si="15"/>
        <v>0.70035013576226746</v>
      </c>
      <c r="H20" s="272">
        <f t="shared" si="15"/>
        <v>0.68589612024430069</v>
      </c>
      <c r="I20" s="272">
        <f t="shared" si="15"/>
        <v>0.67135805138063054</v>
      </c>
      <c r="J20" s="272">
        <f t="shared" si="15"/>
        <v>0.65676508056225058</v>
      </c>
      <c r="K20" s="272">
        <f t="shared" si="15"/>
        <v>0.64214569808340438</v>
      </c>
      <c r="L20" s="272">
        <f t="shared" si="15"/>
        <v>0.62752755654228709</v>
      </c>
      <c r="M20" s="272">
        <f t="shared" si="15"/>
        <v>0.6129373132310264</v>
      </c>
      <c r="N20" s="272">
        <f t="shared" si="15"/>
        <v>0.59840049251595806</v>
      </c>
      <c r="O20" s="272">
        <f t="shared" si="15"/>
        <v>0.5839413687469428</v>
      </c>
      <c r="P20" s="272">
        <f t="shared" si="15"/>
        <v>0.56958286980123374</v>
      </c>
      <c r="Q20" s="272">
        <f t="shared" si="15"/>
        <v>0.5553465009731533</v>
      </c>
      <c r="R20" s="272">
        <f t="shared" si="3"/>
        <v>0.54125228857302676</v>
      </c>
      <c r="S20" s="272">
        <f t="shared" si="3"/>
        <v>0.52731874230231646</v>
      </c>
      <c r="T20" s="272">
        <f t="shared" si="3"/>
        <v>0.51356283522918211</v>
      </c>
      <c r="U20" s="272">
        <f t="shared" si="3"/>
        <v>0.5</v>
      </c>
      <c r="V20" s="272">
        <f t="shared" si="3"/>
        <v>0.48664413978618321</v>
      </c>
      <c r="W20" s="272">
        <f t="shared" si="3"/>
        <v>0.47350765237872033</v>
      </c>
      <c r="X20" s="272">
        <f t="shared" si="3"/>
        <v>0.46060146580101941</v>
      </c>
      <c r="Y20" s="272">
        <f t="shared" si="3"/>
        <v>0.44793508380864566</v>
      </c>
      <c r="Z20" s="272">
        <f t="shared" si="3"/>
        <v>0.43551663967690074</v>
      </c>
      <c r="AA20" s="272">
        <f t="shared" si="5"/>
        <v>0.42335295673800105</v>
      </c>
      <c r="AB20" s="272">
        <f t="shared" si="5"/>
        <v>0.41144961421315646</v>
      </c>
      <c r="AC20" s="272">
        <f t="shared" si="5"/>
        <v>0.39981101698566018</v>
      </c>
      <c r="AD20" s="272">
        <f t="shared" si="5"/>
        <v>0.38844046807399479</v>
      </c>
      <c r="AE20" s="272">
        <f t="shared" si="5"/>
        <v>0.3773402426844234</v>
      </c>
      <c r="AF20" s="277">
        <f t="shared" si="5"/>
        <v>0.36651166284651637</v>
      </c>
      <c r="AG20" s="242"/>
      <c r="AK20" s="268"/>
      <c r="AL20" s="268"/>
      <c r="AN20" s="268"/>
      <c r="AP20" s="238"/>
      <c r="AV20" s="238"/>
    </row>
    <row r="21" spans="2:48">
      <c r="B21" s="274">
        <f t="shared" si="13"/>
        <v>16.5</v>
      </c>
      <c r="C21" s="234"/>
      <c r="D21" s="272">
        <f t="shared" si="15"/>
        <v>0.7529834776283576</v>
      </c>
      <c r="E21" s="272">
        <f t="shared" si="15"/>
        <v>0.73931678345967078</v>
      </c>
      <c r="F21" s="272">
        <f t="shared" si="15"/>
        <v>0.72546042054323823</v>
      </c>
      <c r="G21" s="272">
        <f t="shared" si="15"/>
        <v>0.71144284002937674</v>
      </c>
      <c r="H21" s="272">
        <f t="shared" si="15"/>
        <v>0.69729262588304508</v>
      </c>
      <c r="I21" s="272">
        <f t="shared" si="15"/>
        <v>0.68303828092995811</v>
      </c>
      <c r="J21" s="272">
        <f t="shared" si="15"/>
        <v>0.66870802289228837</v>
      </c>
      <c r="K21" s="272">
        <f t="shared" si="15"/>
        <v>0.65432959290427739</v>
      </c>
      <c r="L21" s="272">
        <f t="shared" si="15"/>
        <v>0.63993007860541995</v>
      </c>
      <c r="M21" s="272">
        <f t="shared" si="15"/>
        <v>0.62553575349199797</v>
      </c>
      <c r="N21" s="272">
        <f t="shared" si="15"/>
        <v>0.61117193378128398</v>
      </c>
      <c r="O21" s="272">
        <f t="shared" si="15"/>
        <v>0.59686285362041358</v>
      </c>
      <c r="P21" s="272">
        <f t="shared" si="15"/>
        <v>0.58263155906595143</v>
      </c>
      <c r="Q21" s="272">
        <f t="shared" si="15"/>
        <v>0.56849982088088147</v>
      </c>
      <c r="R21" s="272">
        <f t="shared" si="3"/>
        <v>0.55448806585145738</v>
      </c>
      <c r="S21" s="272">
        <f t="shared" si="3"/>
        <v>0.54061532602312357</v>
      </c>
      <c r="T21" s="272">
        <f t="shared" si="3"/>
        <v>0.52689920499657594</v>
      </c>
      <c r="U21" s="272">
        <f t="shared" si="3"/>
        <v>0.51335586021381674</v>
      </c>
      <c r="V21" s="272">
        <f t="shared" si="3"/>
        <v>0.5</v>
      </c>
      <c r="W21" s="272">
        <f t="shared" si="3"/>
        <v>0.48684489400834757</v>
      </c>
      <c r="X21" s="272">
        <f t="shared" si="3"/>
        <v>0.4739023956398648</v>
      </c>
      <c r="Y21" s="272">
        <f t="shared" si="3"/>
        <v>0.46118297497310551</v>
      </c>
      <c r="Z21" s="272">
        <f t="shared" si="3"/>
        <v>0.44869576073758421</v>
      </c>
      <c r="AA21" s="272">
        <f t="shared" si="5"/>
        <v>0.43644858989265856</v>
      </c>
      <c r="AB21" s="272">
        <f t="shared" si="5"/>
        <v>0.42444806342689367</v>
      </c>
      <c r="AC21" s="272">
        <f t="shared" si="5"/>
        <v>0.41269960706612718</v>
      </c>
      <c r="AD21" s="272">
        <f t="shared" si="5"/>
        <v>0.40120753566688566</v>
      </c>
      <c r="AE21" s="272">
        <f t="shared" si="5"/>
        <v>0.38997512017112329</v>
      </c>
      <c r="AF21" s="277">
        <f t="shared" si="5"/>
        <v>0.37900465610444639</v>
      </c>
      <c r="AG21" s="242"/>
      <c r="AK21" s="268"/>
      <c r="AL21" s="268"/>
      <c r="AN21" s="268"/>
      <c r="AP21" s="238"/>
      <c r="AV21" s="238"/>
    </row>
    <row r="22" spans="2:48">
      <c r="B22" s="274">
        <f t="shared" si="13"/>
        <v>16.75</v>
      </c>
      <c r="C22" s="234"/>
      <c r="D22" s="272">
        <f t="shared" si="15"/>
        <v>0.76264226410092328</v>
      </c>
      <c r="E22" s="272">
        <f t="shared" si="15"/>
        <v>0.74933206309577405</v>
      </c>
      <c r="F22" s="272">
        <f t="shared" si="15"/>
        <v>0.73581782561124343</v>
      </c>
      <c r="G22" s="272">
        <f t="shared" si="15"/>
        <v>0.72212651930154725</v>
      </c>
      <c r="H22" s="272">
        <f t="shared" si="15"/>
        <v>0.7082853917487032</v>
      </c>
      <c r="I22" s="272">
        <f t="shared" si="15"/>
        <v>0.69432176673136037</v>
      </c>
      <c r="J22" s="272">
        <f t="shared" si="15"/>
        <v>0.68026284767255407</v>
      </c>
      <c r="K22" s="272">
        <f t="shared" si="15"/>
        <v>0.66613553075662191</v>
      </c>
      <c r="L22" s="272">
        <f t="shared" si="15"/>
        <v>0.65196622988311514</v>
      </c>
      <c r="M22" s="272">
        <f t="shared" si="15"/>
        <v>0.63778071527165736</v>
      </c>
      <c r="N22" s="272">
        <f t="shared" si="15"/>
        <v>0.62360396715930388</v>
      </c>
      <c r="O22" s="272">
        <f t="shared" si="15"/>
        <v>0.60946004565350731</v>
      </c>
      <c r="P22" s="272">
        <f t="shared" si="15"/>
        <v>0.59537197743093095</v>
      </c>
      <c r="Q22" s="272">
        <f t="shared" si="15"/>
        <v>0.58136165961527841</v>
      </c>
      <c r="R22" s="272">
        <f t="shared" si="3"/>
        <v>0.5674497808347333</v>
      </c>
      <c r="S22" s="272">
        <f t="shared" si="3"/>
        <v>0.5536557591583704</v>
      </c>
      <c r="T22" s="272">
        <f t="shared" si="3"/>
        <v>0.5399976963460783</v>
      </c>
      <c r="U22" s="272">
        <f t="shared" si="3"/>
        <v>0.52649234762127972</v>
      </c>
      <c r="V22" s="272">
        <f t="shared" si="3"/>
        <v>0.51315510599165237</v>
      </c>
      <c r="W22" s="272">
        <f t="shared" si="3"/>
        <v>0.5</v>
      </c>
      <c r="X22" s="272">
        <f t="shared" si="3"/>
        <v>0.48703970368419941</v>
      </c>
      <c r="Y22" s="272">
        <f t="shared" si="3"/>
        <v>0.47428555745921097</v>
      </c>
      <c r="Z22" s="272">
        <f t="shared" si="3"/>
        <v>0.4617475986023879</v>
      </c>
      <c r="AA22" s="272">
        <f t="shared" si="5"/>
        <v>0.44943460002185587</v>
      </c>
      <c r="AB22" s="272">
        <f t="shared" si="5"/>
        <v>0.4373541160124485</v>
      </c>
      <c r="AC22" s="272">
        <f t="shared" si="5"/>
        <v>0.42551253375031423</v>
      </c>
      <c r="AD22" s="272">
        <f t="shared" si="5"/>
        <v>0.41391512934152408</v>
      </c>
      <c r="AE22" s="272">
        <f t="shared" si="5"/>
        <v>0.40256612731778507</v>
      </c>
      <c r="AF22" s="277">
        <f t="shared" si="5"/>
        <v>0.39146876255986962</v>
      </c>
      <c r="AG22" s="242"/>
      <c r="AK22" s="268"/>
      <c r="AL22" s="268"/>
      <c r="AN22" s="268"/>
      <c r="AP22" s="238"/>
      <c r="AV22" s="238"/>
    </row>
    <row r="23" spans="2:48">
      <c r="B23" s="274">
        <f t="shared" si="13"/>
        <v>17</v>
      </c>
      <c r="C23" s="234"/>
      <c r="D23" s="272">
        <f t="shared" si="15"/>
        <v>0.77190044920337164</v>
      </c>
      <c r="E23" s="272">
        <f t="shared" si="15"/>
        <v>0.75894531777018814</v>
      </c>
      <c r="F23" s="272">
        <f t="shared" si="15"/>
        <v>0.74577352204306013</v>
      </c>
      <c r="G23" s="272">
        <f t="shared" si="15"/>
        <v>0.73241053807437906</v>
      </c>
      <c r="H23" s="272">
        <f t="shared" si="15"/>
        <v>0.71888224971768178</v>
      </c>
      <c r="I23" s="272">
        <f t="shared" si="15"/>
        <v>0.70521475612620388</v>
      </c>
      <c r="J23" s="272">
        <f t="shared" si="15"/>
        <v>0.69143418394286649</v>
      </c>
      <c r="K23" s="272">
        <f t="shared" si="15"/>
        <v>0.6775665066212142</v>
      </c>
      <c r="L23" s="272">
        <f t="shared" si="15"/>
        <v>0.66363737305940529</v>
      </c>
      <c r="M23" s="272">
        <f t="shared" si="15"/>
        <v>0.64967194743570789</v>
      </c>
      <c r="N23" s="272">
        <f t="shared" si="15"/>
        <v>0.63569476181520335</v>
      </c>
      <c r="O23" s="272">
        <f t="shared" si="15"/>
        <v>0.62172958276463419</v>
      </c>
      <c r="P23" s="272">
        <f t="shared" si="15"/>
        <v>0.60779929287626155</v>
      </c>
      <c r="Q23" s="272">
        <f t="shared" si="15"/>
        <v>0.59392578777198568</v>
      </c>
      <c r="R23" s="272">
        <f t="shared" si="3"/>
        <v>0.58012988884451544</v>
      </c>
      <c r="S23" s="272">
        <f t="shared" si="3"/>
        <v>0.56643127170026863</v>
      </c>
      <c r="T23" s="272">
        <f t="shared" si="3"/>
        <v>0.55284841000469853</v>
      </c>
      <c r="U23" s="272">
        <f t="shared" si="3"/>
        <v>0.53939853419898065</v>
      </c>
      <c r="V23" s="272">
        <f t="shared" si="3"/>
        <v>0.52609760436013531</v>
      </c>
      <c r="W23" s="272">
        <f t="shared" si="3"/>
        <v>0.51296029631580053</v>
      </c>
      <c r="X23" s="272">
        <f t="shared" si="3"/>
        <v>0.5</v>
      </c>
      <c r="Y23" s="272">
        <f t="shared" si="3"/>
        <v>0.48722882894603314</v>
      </c>
      <c r="Z23" s="272">
        <f t="shared" si="3"/>
        <v>0.47465763975507347</v>
      </c>
      <c r="AA23" s="272">
        <f t="shared" si="5"/>
        <v>0.46229606035126819</v>
      </c>
      <c r="AB23" s="272">
        <f t="shared" si="5"/>
        <v>0.45015252583287996</v>
      </c>
      <c r="AC23" s="272">
        <f t="shared" si="5"/>
        <v>0.43823432075070395</v>
      </c>
      <c r="AD23" s="272">
        <f t="shared" si="5"/>
        <v>0.42654762668590318</v>
      </c>
      <c r="AE23" s="272">
        <f t="shared" si="5"/>
        <v>0.41509757405588071</v>
      </c>
      <c r="AF23" s="277">
        <f t="shared" si="5"/>
        <v>0.40388829714532065</v>
      </c>
      <c r="AG23" s="242"/>
      <c r="AJ23" s="191">
        <v>13</v>
      </c>
      <c r="AK23" s="268">
        <f t="shared" si="8"/>
        <v>1.3117691453623979</v>
      </c>
      <c r="AL23" s="268">
        <f t="shared" si="9"/>
        <v>1.2480643166600145</v>
      </c>
      <c r="AM23" s="236" t="str">
        <f t="shared" si="14"/>
        <v>+148,5%</v>
      </c>
      <c r="AN23" s="268">
        <f t="shared" si="6"/>
        <v>1.0825143223930991</v>
      </c>
      <c r="AP23" s="238" t="s">
        <v>576</v>
      </c>
      <c r="AQ23" s="236" t="str">
        <f t="shared" si="10"/>
        <v>[td]13[/td]</v>
      </c>
      <c r="AR23" s="236" t="str">
        <f t="shared" si="11"/>
        <v>[td]131%[/td]</v>
      </c>
      <c r="AS23" s="236" t="str">
        <f t="shared" si="7"/>
        <v>[td]125%[/td]</v>
      </c>
      <c r="AT23" s="236" t="str">
        <f t="shared" si="12"/>
        <v>[td]+148,5%[/td]</v>
      </c>
      <c r="AU23" s="236" t="str">
        <f t="shared" si="7"/>
        <v>[td]108%[/td]</v>
      </c>
      <c r="AV23" s="238" t="s">
        <v>578</v>
      </c>
    </row>
    <row r="24" spans="2:48">
      <c r="B24" s="274">
        <f t="shared" si="13"/>
        <v>17.25</v>
      </c>
      <c r="C24" s="234"/>
      <c r="D24" s="272">
        <f t="shared" si="15"/>
        <v>0.78077171556383618</v>
      </c>
      <c r="E24" s="272">
        <f t="shared" si="15"/>
        <v>0.76816911034581969</v>
      </c>
      <c r="F24" s="272">
        <f t="shared" si="15"/>
        <v>0.75533884678228058</v>
      </c>
      <c r="G24" s="272">
        <f t="shared" si="15"/>
        <v>0.74230491520142394</v>
      </c>
      <c r="H24" s="272">
        <f t="shared" si="15"/>
        <v>0.72909182353491386</v>
      </c>
      <c r="I24" s="272">
        <f t="shared" si="15"/>
        <v>0.71572441671215992</v>
      </c>
      <c r="J24" s="272">
        <f t="shared" si="15"/>
        <v>0.7022276985750342</v>
      </c>
      <c r="K24" s="272">
        <f t="shared" si="15"/>
        <v>0.68862665866240336</v>
      </c>
      <c r="L24" s="272">
        <f t="shared" si="15"/>
        <v>0.67494610601526805</v>
      </c>
      <c r="M24" s="272">
        <f t="shared" si="15"/>
        <v>0.66121051191583191</v>
      </c>
      <c r="N24" s="272">
        <f t="shared" si="15"/>
        <v>0.64744386320673886</v>
      </c>
      <c r="O24" s="272">
        <f t="shared" si="15"/>
        <v>0.63366952754968398</v>
      </c>
      <c r="P24" s="272">
        <f t="shared" si="15"/>
        <v>0.61991013168517417</v>
      </c>
      <c r="Q24" s="272">
        <f t="shared" si="15"/>
        <v>0.60618745345649538</v>
      </c>
      <c r="R24" s="272">
        <f t="shared" si="3"/>
        <v>0.59252232806926031</v>
      </c>
      <c r="S24" s="272">
        <f t="shared" si="3"/>
        <v>0.57893456878055305</v>
      </c>
      <c r="T24" s="272">
        <f t="shared" si="3"/>
        <v>0.56544290195475544</v>
      </c>
      <c r="U24" s="272">
        <f t="shared" si="3"/>
        <v>0.55206491619135445</v>
      </c>
      <c r="V24" s="272">
        <f t="shared" si="3"/>
        <v>0.53881702502689455</v>
      </c>
      <c r="W24" s="272">
        <f t="shared" si="3"/>
        <v>0.52571444254078914</v>
      </c>
      <c r="X24" s="272">
        <f t="shared" si="3"/>
        <v>0.51277117105396675</v>
      </c>
      <c r="Y24" s="272">
        <f t="shared" si="3"/>
        <v>0.5</v>
      </c>
      <c r="Z24" s="272">
        <f t="shared" si="3"/>
        <v>0.48741251496947369</v>
      </c>
      <c r="AA24" s="272">
        <f t="shared" si="5"/>
        <v>0.47501911587794365</v>
      </c>
      <c r="AB24" s="272">
        <f t="shared" si="5"/>
        <v>0.46282904318350648</v>
      </c>
      <c r="AC24" s="272">
        <f t="shared" si="5"/>
        <v>0.45085041107893536</v>
      </c>
      <c r="AD24" s="272">
        <f t="shared" si="5"/>
        <v>0.43909024660237544</v>
      </c>
      <c r="AE24" s="272">
        <f t="shared" si="5"/>
        <v>0.42755453364657969</v>
      </c>
      <c r="AF24" s="277">
        <f t="shared" si="5"/>
        <v>0.41624826089643002</v>
      </c>
      <c r="AG24" s="242"/>
      <c r="AJ24" s="191">
        <v>14</v>
      </c>
      <c r="AK24" s="268">
        <f t="shared" si="8"/>
        <v>1.3244996147917592</v>
      </c>
      <c r="AL24" s="268">
        <f t="shared" si="9"/>
        <v>1.2581935268359763</v>
      </c>
      <c r="AM24" s="236" t="str">
        <f t="shared" si="14"/>
        <v>+152,8%</v>
      </c>
      <c r="AN24" s="268">
        <f t="shared" si="6"/>
        <v>1.0848983730132027</v>
      </c>
      <c r="AP24" s="238" t="s">
        <v>576</v>
      </c>
      <c r="AQ24" s="236" t="str">
        <f t="shared" si="10"/>
        <v>[td]14[/td]</v>
      </c>
      <c r="AR24" s="236" t="str">
        <f t="shared" si="11"/>
        <v>[td]132%[/td]</v>
      </c>
      <c r="AS24" s="236" t="str">
        <f t="shared" si="7"/>
        <v>[td]126%[/td]</v>
      </c>
      <c r="AT24" s="236" t="str">
        <f t="shared" si="12"/>
        <v>[td]+152,8%[/td]</v>
      </c>
      <c r="AU24" s="236" t="str">
        <f t="shared" si="7"/>
        <v>[td]108%[/td]</v>
      </c>
      <c r="AV24" s="238" t="s">
        <v>578</v>
      </c>
    </row>
    <row r="25" spans="2:48">
      <c r="B25" s="274">
        <f t="shared" si="13"/>
        <v>17.5</v>
      </c>
      <c r="C25" s="234"/>
      <c r="D25" s="272">
        <f t="shared" si="15"/>
        <v>0.78926983942754825</v>
      </c>
      <c r="E25" s="272">
        <f t="shared" si="15"/>
        <v>0.7770162393817267</v>
      </c>
      <c r="F25" s="272">
        <f t="shared" si="15"/>
        <v>0.76452551360391618</v>
      </c>
      <c r="G25" s="272">
        <f t="shared" si="15"/>
        <v>0.7518201844199901</v>
      </c>
      <c r="H25" s="272">
        <f t="shared" si="15"/>
        <v>0.73892338476002506</v>
      </c>
      <c r="I25" s="272">
        <f t="shared" si="15"/>
        <v>0.72585868982212598</v>
      </c>
      <c r="J25" s="272">
        <f t="shared" si="15"/>
        <v>0.71264994938872972</v>
      </c>
      <c r="K25" s="272">
        <f t="shared" si="15"/>
        <v>0.69932112302521832</v>
      </c>
      <c r="L25" s="272">
        <f t="shared" si="15"/>
        <v>0.68589612024430102</v>
      </c>
      <c r="M25" s="272">
        <f t="shared" si="15"/>
        <v>0.67239864753341216</v>
      </c>
      <c r="N25" s="272">
        <f t="shared" si="15"/>
        <v>0.6588520639238522</v>
      </c>
      <c r="O25" s="272">
        <f t="shared" si="15"/>
        <v>0.64527924653774327</v>
      </c>
      <c r="P25" s="272">
        <f t="shared" si="15"/>
        <v>0.6317024672904481</v>
      </c>
      <c r="Q25" s="272">
        <f t="shared" si="15"/>
        <v>0.61814328166010801</v>
      </c>
      <c r="R25" s="272">
        <f t="shared" si="3"/>
        <v>0.60462243017023598</v>
      </c>
      <c r="S25" s="272">
        <f t="shared" si="3"/>
        <v>0.59115975297286039</v>
      </c>
      <c r="T25" s="272">
        <f t="shared" si="3"/>
        <v>0.57777411767478049</v>
      </c>
      <c r="U25" s="272">
        <f t="shared" si="3"/>
        <v>0.5644833603230992</v>
      </c>
      <c r="V25" s="272">
        <f t="shared" si="3"/>
        <v>0.55130423926241579</v>
      </c>
      <c r="W25" s="272">
        <f t="shared" si="3"/>
        <v>0.53825240139761199</v>
      </c>
      <c r="X25" s="272">
        <f t="shared" si="3"/>
        <v>0.52534236024492664</v>
      </c>
      <c r="Y25" s="272">
        <f t="shared" si="3"/>
        <v>0.51258748503052631</v>
      </c>
      <c r="Z25" s="272">
        <f t="shared" si="3"/>
        <v>0.5</v>
      </c>
      <c r="AA25" s="272">
        <f t="shared" si="5"/>
        <v>0.48759099303298808</v>
      </c>
      <c r="AB25" s="272">
        <f t="shared" si="5"/>
        <v>0.47537043261295858</v>
      </c>
      <c r="AC25" s="272">
        <f t="shared" si="5"/>
        <v>0.46334719218082121</v>
      </c>
      <c r="AD25" s="272">
        <f t="shared" si="5"/>
        <v>0.45152908090011057</v>
      </c>
      <c r="AE25" s="272">
        <f t="shared" si="5"/>
        <v>0.43992287987824941</v>
      </c>
      <c r="AF25" s="277">
        <f t="shared" si="5"/>
        <v>0.42853438292011936</v>
      </c>
      <c r="AG25" s="242"/>
      <c r="AJ25" s="191">
        <v>15</v>
      </c>
      <c r="AK25" s="268">
        <f t="shared" si="8"/>
        <v>1.3367491648096548</v>
      </c>
      <c r="AL25" s="268">
        <f t="shared" si="9"/>
        <v>1.2679400854668819</v>
      </c>
      <c r="AM25" s="236" t="str">
        <f t="shared" si="14"/>
        <v>+156,8%</v>
      </c>
      <c r="AN25" s="268">
        <f t="shared" si="6"/>
        <v>1.0871178710411615</v>
      </c>
      <c r="AP25" s="238" t="s">
        <v>576</v>
      </c>
      <c r="AQ25" s="236" t="str">
        <f t="shared" si="10"/>
        <v>[td]15[/td]</v>
      </c>
      <c r="AR25" s="236" t="str">
        <f t="shared" si="11"/>
        <v>[td]134%[/td]</v>
      </c>
      <c r="AS25" s="236" t="str">
        <f t="shared" si="7"/>
        <v>[td]127%[/td]</v>
      </c>
      <c r="AT25" s="236" t="str">
        <f t="shared" si="12"/>
        <v>[td]+156,8%[/td]</v>
      </c>
      <c r="AU25" s="236" t="str">
        <f t="shared" si="7"/>
        <v>[td]109%[/td]</v>
      </c>
      <c r="AV25" s="238" t="s">
        <v>578</v>
      </c>
    </row>
    <row r="26" spans="2:48">
      <c r="B26" s="274">
        <f t="shared" si="13"/>
        <v>17.75</v>
      </c>
      <c r="C26" s="234"/>
      <c r="D26" s="272">
        <f t="shared" si="15"/>
        <v>0.79740859261181696</v>
      </c>
      <c r="E26" s="272">
        <f t="shared" si="15"/>
        <v>0.78549963048991989</v>
      </c>
      <c r="F26" s="272">
        <f t="shared" si="15"/>
        <v>0.77334549537426756</v>
      </c>
      <c r="G26" s="272">
        <f t="shared" si="15"/>
        <v>0.76096726918749458</v>
      </c>
      <c r="H26" s="272">
        <f t="shared" si="15"/>
        <v>0.74838672198021816</v>
      </c>
      <c r="I26" s="272">
        <f t="shared" si="15"/>
        <v>0.73562615599225467</v>
      </c>
      <c r="J26" s="272">
        <f t="shared" si="15"/>
        <v>0.72270824878314321</v>
      </c>
      <c r="K26" s="272">
        <f t="shared" si="15"/>
        <v>0.70965589752152913</v>
      </c>
      <c r="L26" s="272">
        <f t="shared" si="15"/>
        <v>0.6964920664221026</v>
      </c>
      <c r="M26" s="272">
        <f t="shared" si="15"/>
        <v>0.68323963917843422</v>
      </c>
      <c r="N26" s="272">
        <f t="shared" si="15"/>
        <v>0.66992127806621427</v>
      </c>
      <c r="O26" s="272">
        <f t="shared" si="15"/>
        <v>0.65655929119074197</v>
      </c>
      <c r="P26" s="272">
        <f t="shared" si="15"/>
        <v>0.64317550913223243</v>
      </c>
      <c r="Q26" s="272">
        <f t="shared" si="15"/>
        <v>0.62979117200982204</v>
      </c>
      <c r="R26" s="272">
        <f t="shared" si="3"/>
        <v>0.61642682774718183</v>
      </c>
      <c r="S26" s="272">
        <f t="shared" si="3"/>
        <v>0.60310224208604202</v>
      </c>
      <c r="T26" s="272">
        <f t="shared" si="3"/>
        <v>0.58983632066470693</v>
      </c>
      <c r="U26" s="272">
        <f t="shared" si="3"/>
        <v>0.576647043261999</v>
      </c>
      <c r="V26" s="272">
        <f t="shared" si="3"/>
        <v>0.56355141010734155</v>
      </c>
      <c r="W26" s="272">
        <f t="shared" si="3"/>
        <v>0.55056539997814413</v>
      </c>
      <c r="X26" s="272">
        <f t="shared" si="3"/>
        <v>0.53770393964873175</v>
      </c>
      <c r="Y26" s="272">
        <f t="shared" si="3"/>
        <v>0.52498088412205623</v>
      </c>
      <c r="Z26" s="272">
        <f t="shared" si="3"/>
        <v>0.51240900696701197</v>
      </c>
      <c r="AA26" s="272">
        <f t="shared" si="5"/>
        <v>0.5</v>
      </c>
      <c r="AB26" s="272">
        <f t="shared" si="5"/>
        <v>0.48776448148859985</v>
      </c>
      <c r="AC26" s="272">
        <f t="shared" si="5"/>
        <v>0.47571201201638641</v>
      </c>
      <c r="AD26" s="272">
        <f t="shared" si="5"/>
        <v>0.46385111712915994</v>
      </c>
      <c r="AE26" s="272">
        <f t="shared" si="5"/>
        <v>0.45218931588204181</v>
      </c>
      <c r="AF26" s="277">
        <f t="shared" si="5"/>
        <v>0.4407331544216892</v>
      </c>
      <c r="AG26" s="242"/>
      <c r="AJ26" s="191">
        <v>16</v>
      </c>
      <c r="AK26" s="268">
        <f t="shared" si="8"/>
        <v>1.3485685011586677</v>
      </c>
      <c r="AL26" s="268">
        <f t="shared" si="9"/>
        <v>1.2773443374219131</v>
      </c>
      <c r="AM26" s="236" t="str">
        <f t="shared" si="14"/>
        <v>+160,5%</v>
      </c>
      <c r="AN26" s="268">
        <f t="shared" si="6"/>
        <v>1.0891940727893279</v>
      </c>
      <c r="AP26" s="238" t="s">
        <v>576</v>
      </c>
      <c r="AQ26" s="236" t="str">
        <f t="shared" si="10"/>
        <v>[td]16[/td]</v>
      </c>
      <c r="AR26" s="236" t="str">
        <f t="shared" si="11"/>
        <v>[td]135%[/td]</v>
      </c>
      <c r="AS26" s="236" t="str">
        <f t="shared" si="7"/>
        <v>[td]128%[/td]</v>
      </c>
      <c r="AT26" s="236" t="str">
        <f t="shared" si="12"/>
        <v>[td]+160,5%[/td]</v>
      </c>
      <c r="AU26" s="236" t="str">
        <f t="shared" si="7"/>
        <v>[td]109%[/td]</v>
      </c>
      <c r="AV26" s="238" t="s">
        <v>578</v>
      </c>
    </row>
    <row r="27" spans="2:48">
      <c r="B27" s="274">
        <f t="shared" si="13"/>
        <v>18</v>
      </c>
      <c r="C27" s="234"/>
      <c r="D27" s="272">
        <f t="shared" si="15"/>
        <v>0.80520165884353245</v>
      </c>
      <c r="E27" s="272">
        <f t="shared" si="15"/>
        <v>0.79363224210945438</v>
      </c>
      <c r="F27" s="272">
        <f t="shared" si="15"/>
        <v>0.78181092048561529</v>
      </c>
      <c r="G27" s="272">
        <f t="shared" si="15"/>
        <v>0.76975737118071386</v>
      </c>
      <c r="H27" s="272">
        <f t="shared" si="15"/>
        <v>0.75749202292065443</v>
      </c>
      <c r="I27" s="272">
        <f t="shared" si="15"/>
        <v>0.74503591233192112</v>
      </c>
      <c r="J27" s="272">
        <f t="shared" si="15"/>
        <v>0.73241053807437884</v>
      </c>
      <c r="K27" s="272">
        <f t="shared" si="15"/>
        <v>0.71963771465947057</v>
      </c>
      <c r="L27" s="272">
        <f t="shared" si="15"/>
        <v>0.70673942782784593</v>
      </c>
      <c r="M27" s="272">
        <f t="shared" si="15"/>
        <v>0.69373769326042767</v>
      </c>
      <c r="N27" s="272">
        <f t="shared" si="15"/>
        <v>0.68065442026337941</v>
      </c>
      <c r="O27" s="272">
        <f t="shared" si="15"/>
        <v>0.66751128190570264</v>
      </c>
      <c r="P27" s="272">
        <f t="shared" si="15"/>
        <v>0.65432959290427728</v>
      </c>
      <c r="Q27" s="272">
        <f t="shared" si="15"/>
        <v>0.64113019635127344</v>
      </c>
      <c r="R27" s="272">
        <f t="shared" si="15"/>
        <v>0.62793336016935841</v>
      </c>
      <c r="S27" s="272">
        <f t="shared" si="15"/>
        <v>0.61475868396706879</v>
      </c>
      <c r="T27" s="272">
        <f t="shared" ref="R27:AF31" si="16">(POWER($B27,$F$1)/(POWER($B27,$F$1)+POWER(T$2,$F$1)))</f>
        <v>0.60162501675587043</v>
      </c>
      <c r="U27" s="272">
        <f t="shared" si="16"/>
        <v>0.5885503857868436</v>
      </c>
      <c r="V27" s="272">
        <f t="shared" si="16"/>
        <v>0.57555193657310622</v>
      </c>
      <c r="W27" s="272">
        <f t="shared" si="16"/>
        <v>0.56264588398755155</v>
      </c>
      <c r="X27" s="272">
        <f t="shared" si="16"/>
        <v>0.5498474741671201</v>
      </c>
      <c r="Y27" s="272">
        <f t="shared" si="16"/>
        <v>0.53717095681649363</v>
      </c>
      <c r="Z27" s="272">
        <f t="shared" si="16"/>
        <v>0.52462956738704136</v>
      </c>
      <c r="AA27" s="272">
        <f t="shared" si="16"/>
        <v>0.51223551851140015</v>
      </c>
      <c r="AB27" s="272">
        <f t="shared" si="16"/>
        <v>0.5</v>
      </c>
      <c r="AC27" s="272">
        <f t="shared" si="16"/>
        <v>0.48793318665238339</v>
      </c>
      <c r="AD27" s="272">
        <f t="shared" si="16"/>
        <v>0.47604425310195442</v>
      </c>
      <c r="AE27" s="272">
        <f t="shared" si="16"/>
        <v>0.46434139489628767</v>
      </c>
      <c r="AF27" s="277">
        <f t="shared" si="16"/>
        <v>0.45283185501442119</v>
      </c>
      <c r="AG27" s="242"/>
      <c r="AJ27" s="191">
        <v>17</v>
      </c>
      <c r="AK27" s="268">
        <f t="shared" si="8"/>
        <v>1.3599999999999999</v>
      </c>
      <c r="AL27" s="268">
        <f t="shared" si="9"/>
        <v>1.28644</v>
      </c>
      <c r="AM27" s="236" t="str">
        <f t="shared" si="14"/>
        <v>+164,1%</v>
      </c>
      <c r="AN27" s="268">
        <f t="shared" si="6"/>
        <v>1.0911443645465388</v>
      </c>
      <c r="AP27" s="238" t="s">
        <v>576</v>
      </c>
      <c r="AQ27" s="236" t="str">
        <f t="shared" si="10"/>
        <v>[td]17[/td]</v>
      </c>
      <c r="AR27" s="236" t="str">
        <f t="shared" si="11"/>
        <v>[td]136%[/td]</v>
      </c>
      <c r="AS27" s="236" t="str">
        <f t="shared" si="11"/>
        <v>[td]129%[/td]</v>
      </c>
      <c r="AT27" s="236" t="str">
        <f t="shared" si="12"/>
        <v>[td]+164,1%[/td]</v>
      </c>
      <c r="AU27" s="236" t="str">
        <f t="shared" ref="AU27:AU31" si="17">CONCATENATE("[td]",TEXT(AN27,"0%"),"[/td]")</f>
        <v>[td]109%[/td]</v>
      </c>
      <c r="AV27" s="238" t="s">
        <v>578</v>
      </c>
    </row>
    <row r="28" spans="2:48">
      <c r="B28" s="274">
        <f t="shared" si="13"/>
        <v>18.25</v>
      </c>
      <c r="C28" s="234"/>
      <c r="D28" s="272">
        <f t="shared" si="15"/>
        <v>0.81266256312055196</v>
      </c>
      <c r="E28" s="272">
        <f t="shared" si="15"/>
        <v>0.80142698450980199</v>
      </c>
      <c r="F28" s="272">
        <f t="shared" si="15"/>
        <v>0.7899339824782371</v>
      </c>
      <c r="G28" s="272">
        <f t="shared" si="15"/>
        <v>0.7782018716944874</v>
      </c>
      <c r="H28" s="272">
        <f t="shared" si="15"/>
        <v>0.76624976892939234</v>
      </c>
      <c r="I28" s="272">
        <f t="shared" si="15"/>
        <v>0.75409746152214907</v>
      </c>
      <c r="J28" s="272">
        <f t="shared" si="15"/>
        <v>0.74176527251596081</v>
      </c>
      <c r="K28" s="272">
        <f t="shared" si="15"/>
        <v>0.72927392423841686</v>
      </c>
      <c r="L28" s="272">
        <f t="shared" si="15"/>
        <v>0.71664440207258873</v>
      </c>
      <c r="M28" s="272">
        <f t="shared" si="15"/>
        <v>0.70389782009962742</v>
      </c>
      <c r="N28" s="272">
        <f t="shared" si="15"/>
        <v>0.69105529019579903</v>
      </c>
      <c r="O28" s="272">
        <f t="shared" si="15"/>
        <v>0.67813779604055335</v>
      </c>
      <c r="P28" s="272">
        <f t="shared" si="15"/>
        <v>0.66516607334222966</v>
      </c>
      <c r="Q28" s="272">
        <f t="shared" si="15"/>
        <v>0.65216049741962567</v>
      </c>
      <c r="R28" s="272">
        <f t="shared" si="16"/>
        <v>0.63914097909637313</v>
      </c>
      <c r="S28" s="272">
        <f t="shared" si="16"/>
        <v>0.62612686967637443</v>
      </c>
      <c r="T28" s="272">
        <f t="shared" si="16"/>
        <v>0.61313687557771279</v>
      </c>
      <c r="U28" s="272">
        <f t="shared" si="16"/>
        <v>0.60018898301433987</v>
      </c>
      <c r="V28" s="272">
        <f t="shared" si="16"/>
        <v>0.58730039293387293</v>
      </c>
      <c r="W28" s="272">
        <f t="shared" si="16"/>
        <v>0.57448746624968583</v>
      </c>
      <c r="X28" s="272">
        <f t="shared" si="16"/>
        <v>0.5617656792492961</v>
      </c>
      <c r="Y28" s="272">
        <f t="shared" si="16"/>
        <v>0.54914958892106458</v>
      </c>
      <c r="Z28" s="272">
        <f t="shared" si="16"/>
        <v>0.53665280781917879</v>
      </c>
      <c r="AA28" s="272">
        <f t="shared" si="16"/>
        <v>0.52428798798361353</v>
      </c>
      <c r="AB28" s="272">
        <f t="shared" si="16"/>
        <v>0.51206681334761661</v>
      </c>
      <c r="AC28" s="272">
        <f t="shared" si="16"/>
        <v>0.5</v>
      </c>
      <c r="AD28" s="272">
        <f t="shared" si="16"/>
        <v>0.48809730362235099</v>
      </c>
      <c r="AE28" s="272">
        <f t="shared" si="16"/>
        <v>0.47636753339112708</v>
      </c>
      <c r="AF28" s="277">
        <f t="shared" si="16"/>
        <v>0.46481857162004403</v>
      </c>
      <c r="AG28" s="242"/>
      <c r="AJ28" s="191">
        <v>18</v>
      </c>
      <c r="AK28" s="268">
        <f t="shared" si="8"/>
        <v>1.3710795063055894</v>
      </c>
      <c r="AL28" s="268">
        <f t="shared" si="9"/>
        <v>1.2952555938504806</v>
      </c>
      <c r="AM28" s="236" t="str">
        <f t="shared" si="14"/>
        <v>+167,4%</v>
      </c>
      <c r="AN28" s="268">
        <f t="shared" si="6"/>
        <v>1.0929831485261707</v>
      </c>
      <c r="AP28" s="238" t="s">
        <v>576</v>
      </c>
      <c r="AQ28" s="236" t="str">
        <f t="shared" si="10"/>
        <v>[td]18[/td]</v>
      </c>
      <c r="AR28" s="236" t="str">
        <f t="shared" si="11"/>
        <v>[td]137%[/td]</v>
      </c>
      <c r="AS28" s="236" t="str">
        <f t="shared" si="11"/>
        <v>[td]130%[/td]</v>
      </c>
      <c r="AT28" s="236" t="str">
        <f t="shared" si="12"/>
        <v>[td]+167,4%[/td]</v>
      </c>
      <c r="AU28" s="236" t="str">
        <f t="shared" si="17"/>
        <v>[td]109%[/td]</v>
      </c>
      <c r="AV28" s="238" t="s">
        <v>578</v>
      </c>
    </row>
    <row r="29" spans="2:48">
      <c r="B29" s="274">
        <f t="shared" si="13"/>
        <v>18.5</v>
      </c>
      <c r="C29" s="234"/>
      <c r="D29" s="272">
        <f t="shared" si="15"/>
        <v>0.81980461278031447</v>
      </c>
      <c r="E29" s="272">
        <f t="shared" si="15"/>
        <v>0.80889665083787521</v>
      </c>
      <c r="F29" s="272">
        <f t="shared" si="15"/>
        <v>0.79772686182476749</v>
      </c>
      <c r="G29" s="272">
        <f t="shared" si="15"/>
        <v>0.78631224510029307</v>
      </c>
      <c r="H29" s="272">
        <f t="shared" si="15"/>
        <v>0.77467064120174389</v>
      </c>
      <c r="I29" s="272">
        <f t="shared" si="15"/>
        <v>0.76282061202457219</v>
      </c>
      <c r="J29" s="272">
        <f t="shared" si="15"/>
        <v>0.75078131680796145</v>
      </c>
      <c r="K29" s="272">
        <f t="shared" si="15"/>
        <v>0.7385723855381523</v>
      </c>
      <c r="L29" s="272">
        <f t="shared" si="15"/>
        <v>0.72621379137953468</v>
      </c>
      <c r="M29" s="272">
        <f t="shared" si="15"/>
        <v>0.71372572370786902</v>
      </c>
      <c r="N29" s="272">
        <f t="shared" si="15"/>
        <v>0.70112846325325096</v>
      </c>
      <c r="O29" s="272">
        <f t="shared" si="15"/>
        <v>0.68844226076569903</v>
      </c>
      <c r="P29" s="272">
        <f t="shared" si="15"/>
        <v>0.67568722049732055</v>
      </c>
      <c r="Q29" s="272">
        <f t="shared" si="15"/>
        <v>0.66288318965621762</v>
      </c>
      <c r="R29" s="272">
        <f t="shared" si="16"/>
        <v>0.65004965483332799</v>
      </c>
      <c r="S29" s="272">
        <f t="shared" si="16"/>
        <v>0.63720564623901199</v>
      </c>
      <c r="T29" s="272">
        <f t="shared" si="16"/>
        <v>0.62436965041622405</v>
      </c>
      <c r="U29" s="272">
        <f t="shared" si="16"/>
        <v>0.6115595319260051</v>
      </c>
      <c r="V29" s="272">
        <f t="shared" si="16"/>
        <v>0.59879246433311428</v>
      </c>
      <c r="W29" s="272">
        <f t="shared" si="16"/>
        <v>0.58608487065847581</v>
      </c>
      <c r="X29" s="272">
        <f t="shared" si="16"/>
        <v>0.57345237331409693</v>
      </c>
      <c r="Y29" s="272">
        <f t="shared" si="16"/>
        <v>0.56090975339762461</v>
      </c>
      <c r="Z29" s="272">
        <f t="shared" si="16"/>
        <v>0.54847091909988943</v>
      </c>
      <c r="AA29" s="272">
        <f t="shared" si="16"/>
        <v>0.53614888287084017</v>
      </c>
      <c r="AB29" s="272">
        <f t="shared" si="16"/>
        <v>0.52395574689804547</v>
      </c>
      <c r="AC29" s="272">
        <f t="shared" si="16"/>
        <v>0.51190269637764907</v>
      </c>
      <c r="AD29" s="272">
        <f t="shared" si="16"/>
        <v>0.5</v>
      </c>
      <c r="AE29" s="272">
        <f t="shared" si="16"/>
        <v>0.48825701703054936</v>
      </c>
      <c r="AF29" s="277">
        <f t="shared" si="16"/>
        <v>0.47668221033997288</v>
      </c>
      <c r="AG29" s="242"/>
      <c r="AJ29" s="191">
        <v>19</v>
      </c>
      <c r="AK29" s="268">
        <f t="shared" si="8"/>
        <v>1.3818376618407355</v>
      </c>
      <c r="AL29" s="268">
        <f t="shared" si="9"/>
        <v>1.3038154996046121</v>
      </c>
      <c r="AM29" s="236" t="str">
        <f t="shared" si="14"/>
        <v>+170,5%</v>
      </c>
      <c r="AN29" s="268">
        <f t="shared" si="6"/>
        <v>1.0947224889594687</v>
      </c>
      <c r="AP29" s="238" t="s">
        <v>576</v>
      </c>
      <c r="AQ29" s="236" t="str">
        <f t="shared" si="10"/>
        <v>[td]19[/td]</v>
      </c>
      <c r="AR29" s="236" t="str">
        <f t="shared" si="11"/>
        <v>[td]138%[/td]</v>
      </c>
      <c r="AS29" s="236" t="str">
        <f t="shared" si="11"/>
        <v>[td]130%[/td]</v>
      </c>
      <c r="AT29" s="236" t="str">
        <f t="shared" si="12"/>
        <v>[td]+170,5%[/td]</v>
      </c>
      <c r="AU29" s="236" t="str">
        <f t="shared" si="17"/>
        <v>[td]109%[/td]</v>
      </c>
      <c r="AV29" s="238" t="s">
        <v>578</v>
      </c>
    </row>
    <row r="30" spans="2:48">
      <c r="B30" s="274">
        <f t="shared" si="13"/>
        <v>18.75</v>
      </c>
      <c r="C30" s="234"/>
      <c r="D30" s="272">
        <f t="shared" si="15"/>
        <v>0.82664084901967017</v>
      </c>
      <c r="E30" s="272">
        <f t="shared" si="15"/>
        <v>0.81605385904974936</v>
      </c>
      <c r="F30" s="272">
        <f t="shared" si="15"/>
        <v>0.80520165884353245</v>
      </c>
      <c r="G30" s="272">
        <f t="shared" si="15"/>
        <v>0.79409998348180988</v>
      </c>
      <c r="H30" s="272">
        <f t="shared" si="15"/>
        <v>0.78276543803208654</v>
      </c>
      <c r="I30" s="272">
        <f t="shared" si="15"/>
        <v>0.77121538897520303</v>
      </c>
      <c r="J30" s="272">
        <f t="shared" si="15"/>
        <v>0.7594678507650453</v>
      </c>
      <c r="K30" s="272">
        <f t="shared" si="15"/>
        <v>0.74754136897262802</v>
      </c>
      <c r="L30" s="272">
        <f t="shared" si="15"/>
        <v>0.73545490148517367</v>
      </c>
      <c r="M30" s="272">
        <f t="shared" si="15"/>
        <v>0.72322769921977237</v>
      </c>
      <c r="N30" s="272">
        <f t="shared" si="15"/>
        <v>0.71087918777109915</v>
      </c>
      <c r="O30" s="272">
        <f t="shared" si="15"/>
        <v>0.69842885134568866</v>
      </c>
      <c r="P30" s="272">
        <f t="shared" si="15"/>
        <v>0.68589612024430069</v>
      </c>
      <c r="Q30" s="272">
        <f t="shared" si="15"/>
        <v>0.67330026304239776</v>
      </c>
      <c r="R30" s="272">
        <f t="shared" si="16"/>
        <v>0.66066028449060599</v>
      </c>
      <c r="S30" s="272">
        <f t="shared" si="16"/>
        <v>0.64799483001632563</v>
      </c>
      <c r="T30" s="272">
        <f t="shared" si="16"/>
        <v>0.63532209755865654</v>
      </c>
      <c r="U30" s="272">
        <f t="shared" si="16"/>
        <v>0.62265975731557655</v>
      </c>
      <c r="V30" s="272">
        <f t="shared" si="16"/>
        <v>0.61002487982887665</v>
      </c>
      <c r="W30" s="272">
        <f t="shared" si="16"/>
        <v>0.59743387268221482</v>
      </c>
      <c r="X30" s="272">
        <f t="shared" si="16"/>
        <v>0.58490242594411934</v>
      </c>
      <c r="Y30" s="272">
        <f t="shared" si="16"/>
        <v>0.57244546635342031</v>
      </c>
      <c r="Z30" s="272">
        <f t="shared" si="16"/>
        <v>0.56007712012175059</v>
      </c>
      <c r="AA30" s="272">
        <f t="shared" si="16"/>
        <v>0.5478106841179583</v>
      </c>
      <c r="AB30" s="272">
        <f t="shared" si="16"/>
        <v>0.53565860510371233</v>
      </c>
      <c r="AC30" s="272">
        <f t="shared" si="16"/>
        <v>0.52363246660887297</v>
      </c>
      <c r="AD30" s="272">
        <f t="shared" si="16"/>
        <v>0.51174298296945064</v>
      </c>
      <c r="AE30" s="272">
        <f t="shared" si="16"/>
        <v>0.5</v>
      </c>
      <c r="AF30" s="277">
        <f t="shared" si="16"/>
        <v>0.48841250173546624</v>
      </c>
      <c r="AG30" s="242"/>
      <c r="AK30" s="268"/>
      <c r="AL30" s="268"/>
      <c r="AN30" s="268"/>
      <c r="AP30" s="238"/>
      <c r="AV30" s="238"/>
    </row>
    <row r="31" spans="2:48" ht="13.8" thickBot="1">
      <c r="B31" s="274">
        <f t="shared" si="13"/>
        <v>19</v>
      </c>
      <c r="C31" s="234"/>
      <c r="D31" s="273">
        <f t="shared" si="15"/>
        <v>0.83318400768332024</v>
      </c>
      <c r="E31" s="273">
        <f t="shared" si="15"/>
        <v>0.8229110036128755</v>
      </c>
      <c r="F31" s="273">
        <f t="shared" si="15"/>
        <v>0.81237033672185899</v>
      </c>
      <c r="G31" s="273">
        <f t="shared" si="15"/>
        <v>0.80157653154796071</v>
      </c>
      <c r="H31" s="273">
        <f t="shared" si="15"/>
        <v>0.79054500233399994</v>
      </c>
      <c r="I31" s="273">
        <f t="shared" si="15"/>
        <v>0.77929195516107497</v>
      </c>
      <c r="J31" s="273">
        <f t="shared" si="15"/>
        <v>0.76783428471092818</v>
      </c>
      <c r="K31" s="273">
        <f t="shared" si="15"/>
        <v>0.75618946695259193</v>
      </c>
      <c r="L31" s="273">
        <f t="shared" si="15"/>
        <v>0.74437544908476294</v>
      </c>
      <c r="M31" s="273">
        <f t="shared" si="15"/>
        <v>0.73241053807437873</v>
      </c>
      <c r="N31" s="273">
        <f t="shared" si="15"/>
        <v>0.72031328911421122</v>
      </c>
      <c r="O31" s="273">
        <f t="shared" si="15"/>
        <v>0.70810239527928875</v>
      </c>
      <c r="P31" s="273">
        <f t="shared" si="15"/>
        <v>0.69579657959574492</v>
      </c>
      <c r="Q31" s="273">
        <f t="shared" si="15"/>
        <v>0.68341449064890658</v>
      </c>
      <c r="R31" s="273">
        <f t="shared" si="16"/>
        <v>0.67097460275323884</v>
      </c>
      <c r="S31" s="273">
        <f t="shared" si="16"/>
        <v>0.65849512158860435</v>
      </c>
      <c r="T31" s="273">
        <f t="shared" si="16"/>
        <v>0.64599389607883351</v>
      </c>
      <c r="U31" s="273">
        <f t="shared" si="16"/>
        <v>0.63348833715348363</v>
      </c>
      <c r="V31" s="273">
        <f t="shared" si="16"/>
        <v>0.62099534389555355</v>
      </c>
      <c r="W31" s="273">
        <f t="shared" si="16"/>
        <v>0.60853123744013038</v>
      </c>
      <c r="X31" s="273">
        <f t="shared" si="16"/>
        <v>0.5961117028546794</v>
      </c>
      <c r="Y31" s="273">
        <f t="shared" si="16"/>
        <v>0.58375173910357003</v>
      </c>
      <c r="Z31" s="273">
        <f t="shared" si="16"/>
        <v>0.57146561707988053</v>
      </c>
      <c r="AA31" s="273">
        <f t="shared" si="16"/>
        <v>0.55926684557831075</v>
      </c>
      <c r="AB31" s="273">
        <f t="shared" si="16"/>
        <v>0.54716814498557875</v>
      </c>
      <c r="AC31" s="273">
        <f t="shared" si="16"/>
        <v>0.53518142837995597</v>
      </c>
      <c r="AD31" s="273">
        <f t="shared" si="16"/>
        <v>0.52331778966002707</v>
      </c>
      <c r="AE31" s="273">
        <f t="shared" si="16"/>
        <v>0.51158749826453376</v>
      </c>
      <c r="AF31" s="278">
        <f t="shared" si="16"/>
        <v>0.5</v>
      </c>
      <c r="AG31" s="242"/>
      <c r="AJ31" s="191">
        <v>20</v>
      </c>
      <c r="AK31" s="268">
        <f t="shared" si="8"/>
        <v>1.3923009049186605</v>
      </c>
      <c r="AL31" s="268">
        <f t="shared" si="9"/>
        <v>1.3121407533469476</v>
      </c>
      <c r="AM31" s="236" t="str">
        <f t="shared" si="14"/>
        <v>+173,5%</v>
      </c>
      <c r="AN31" s="268">
        <f>(18+(4/3*LOG(AJ31)))/18</f>
        <v>1.096372592271406</v>
      </c>
      <c r="AP31" s="238" t="s">
        <v>576</v>
      </c>
      <c r="AQ31" s="236" t="str">
        <f t="shared" si="10"/>
        <v>[td]20[/td]</v>
      </c>
      <c r="AR31" s="236" t="str">
        <f t="shared" si="11"/>
        <v>[td]139%[/td]</v>
      </c>
      <c r="AS31" s="236" t="str">
        <f t="shared" si="11"/>
        <v>[td]131%[/td]</v>
      </c>
      <c r="AT31" s="236" t="str">
        <f t="shared" si="12"/>
        <v>[td]+173,5%[/td]</v>
      </c>
      <c r="AU31" s="236" t="str">
        <f t="shared" si="17"/>
        <v>[td]110%[/td]</v>
      </c>
      <c r="AV31" s="238" t="s">
        <v>578</v>
      </c>
    </row>
    <row r="32" spans="2:48" ht="13.8" thickBot="1">
      <c r="B32" s="245"/>
      <c r="C32" s="246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8"/>
      <c r="AP32" s="238" t="s">
        <v>579</v>
      </c>
    </row>
    <row r="34" spans="2:33" ht="13.8" thickBot="1">
      <c r="B34" s="237" t="s">
        <v>601</v>
      </c>
      <c r="D34" s="238" t="s">
        <v>604</v>
      </c>
      <c r="E34" s="192">
        <v>4.5</v>
      </c>
      <c r="F34" s="192">
        <v>0.15</v>
      </c>
      <c r="G34" s="192">
        <v>0.7</v>
      </c>
    </row>
    <row r="35" spans="2:33" ht="36.6" customHeight="1" thickBot="1">
      <c r="B35" s="275" t="s">
        <v>605</v>
      </c>
      <c r="C35" s="233"/>
      <c r="D35" s="218">
        <v>6</v>
      </c>
      <c r="E35" s="218">
        <v>6.5</v>
      </c>
      <c r="F35" s="218">
        <v>7</v>
      </c>
      <c r="G35" s="218">
        <v>7.5</v>
      </c>
      <c r="H35" s="218">
        <v>8</v>
      </c>
      <c r="I35" s="218">
        <v>8.5</v>
      </c>
      <c r="J35" s="218">
        <v>9</v>
      </c>
      <c r="K35" s="218">
        <v>9.5</v>
      </c>
      <c r="L35" s="218">
        <v>10</v>
      </c>
      <c r="M35" s="218">
        <v>10.5</v>
      </c>
      <c r="N35" s="218">
        <v>11</v>
      </c>
      <c r="O35" s="218">
        <v>11.5</v>
      </c>
      <c r="P35" s="218">
        <v>12</v>
      </c>
      <c r="Q35" s="218">
        <v>12.5</v>
      </c>
      <c r="R35" s="218">
        <v>13</v>
      </c>
      <c r="S35" s="218">
        <v>13.5</v>
      </c>
      <c r="T35" s="218">
        <v>14</v>
      </c>
      <c r="U35" s="218">
        <v>14.5</v>
      </c>
      <c r="V35" s="218">
        <v>15</v>
      </c>
      <c r="W35" s="218">
        <v>15.5</v>
      </c>
      <c r="X35" s="218">
        <v>16</v>
      </c>
      <c r="Y35" s="218">
        <v>16.5</v>
      </c>
      <c r="Z35" s="218">
        <v>17</v>
      </c>
      <c r="AA35" s="218">
        <v>17.5</v>
      </c>
      <c r="AB35" s="218">
        <v>18</v>
      </c>
      <c r="AC35" s="218">
        <v>18.5</v>
      </c>
      <c r="AD35" s="218">
        <v>19</v>
      </c>
      <c r="AE35" s="218">
        <v>19.5</v>
      </c>
      <c r="AF35" s="218">
        <v>20</v>
      </c>
      <c r="AG35" s="241"/>
    </row>
    <row r="36" spans="2:33">
      <c r="B36" s="232">
        <v>10</v>
      </c>
      <c r="C36" s="234"/>
      <c r="D36" s="279">
        <f t="shared" ref="D36:M45" si="18">$F$34+(POWER($B36,$E$34)/((POWER($B36,$E$34)+POWER(D$2,$E$34)))*$G$34)</f>
        <v>0.36396814687868351</v>
      </c>
      <c r="E36" s="279">
        <f t="shared" si="18"/>
        <v>0.35043699075495938</v>
      </c>
      <c r="F36" s="279">
        <f t="shared" si="18"/>
        <v>0.33768893734462602</v>
      </c>
      <c r="G36" s="279">
        <f t="shared" si="18"/>
        <v>0.32570371647441598</v>
      </c>
      <c r="H36" s="279">
        <f t="shared" si="18"/>
        <v>0.31445610133290969</v>
      </c>
      <c r="I36" s="279">
        <f t="shared" si="18"/>
        <v>0.30391716993879392</v>
      </c>
      <c r="J36" s="279">
        <f t="shared" si="18"/>
        <v>0.29405540402267716</v>
      </c>
      <c r="K36" s="279">
        <f t="shared" si="18"/>
        <v>0.28483762635669357</v>
      </c>
      <c r="L36" s="279">
        <f t="shared" si="18"/>
        <v>0.27622978422926336</v>
      </c>
      <c r="M36" s="279">
        <f t="shared" si="18"/>
        <v>0.26819759108392249</v>
      </c>
      <c r="N36" s="279">
        <f t="shared" ref="N36:Z45" si="19">$F$34+(POWER($B36,$E$34)/((POWER($B36,$E$34)+POWER(N$2,$E$34)))*$G$34)</f>
        <v>0.26070704078791462</v>
      </c>
      <c r="O36" s="279">
        <f t="shared" si="19"/>
        <v>0.25372481001555269</v>
      </c>
      <c r="P36" s="279">
        <f t="shared" si="19"/>
        <v>0.24721856421954519</v>
      </c>
      <c r="Q36" s="279">
        <f t="shared" si="19"/>
        <v>0.24115718195153327</v>
      </c>
      <c r="R36" s="279">
        <f t="shared" si="19"/>
        <v>0.23551091114437447</v>
      </c>
      <c r="S36" s="279">
        <f t="shared" si="19"/>
        <v>0.23025146958362483</v>
      </c>
      <c r="T36" s="279">
        <f t="shared" si="19"/>
        <v>0.22535210032001901</v>
      </c>
      <c r="U36" s="279">
        <f t="shared" si="19"/>
        <v>0.22078759130950765</v>
      </c>
      <c r="V36" s="279">
        <f t="shared" si="19"/>
        <v>0.21653426717823526</v>
      </c>
      <c r="W36" s="279">
        <f t="shared" si="19"/>
        <v>0.21256995973570655</v>
      </c>
      <c r="X36" s="279">
        <f t="shared" si="19"/>
        <v>0.2088739627198358</v>
      </c>
      <c r="Y36" s="279">
        <f t="shared" si="19"/>
        <v>0.20542697525858439</v>
      </c>
      <c r="Z36" s="279">
        <f t="shared" si="19"/>
        <v>0.20221103767141663</v>
      </c>
      <c r="AA36" s="279">
        <f t="shared" ref="AA36:AF51" si="20">$F$34+(POWER($B36,$E$34)/((POWER($B36,$E$34)+POWER(AA$2,$E$34)))*$G$34)</f>
        <v>0.19920946250124805</v>
      </c>
      <c r="AB36" s="279">
        <f t="shared" si="20"/>
        <v>0.19640676305217292</v>
      </c>
      <c r="AC36" s="279">
        <f t="shared" si="20"/>
        <v>0.19378858119694167</v>
      </c>
      <c r="AD36" s="279">
        <f t="shared" si="20"/>
        <v>0.19134161579760003</v>
      </c>
      <c r="AE36" s="279">
        <f t="shared" si="20"/>
        <v>0.1890535527401189</v>
      </c>
      <c r="AF36" s="279">
        <f t="shared" si="20"/>
        <v>0.18691299730742528</v>
      </c>
      <c r="AG36" s="242"/>
    </row>
    <row r="37" spans="2:33">
      <c r="B37" s="232">
        <v>10.5</v>
      </c>
      <c r="C37" s="234"/>
      <c r="D37" s="280">
        <f t="shared" si="18"/>
        <v>0.39789786871853072</v>
      </c>
      <c r="E37" s="280">
        <f t="shared" si="18"/>
        <v>0.38325075951607401</v>
      </c>
      <c r="F37" s="280">
        <f t="shared" si="18"/>
        <v>0.3693319995986537</v>
      </c>
      <c r="G37" s="280">
        <f t="shared" si="18"/>
        <v>0.35613919452815002</v>
      </c>
      <c r="H37" s="280">
        <f t="shared" si="18"/>
        <v>0.34366292562053069</v>
      </c>
      <c r="I37" s="280">
        <f t="shared" si="18"/>
        <v>0.33188799910613187</v>
      </c>
      <c r="J37" s="280">
        <f t="shared" si="18"/>
        <v>0.32079460569127055</v>
      </c>
      <c r="K37" s="280">
        <f t="shared" si="18"/>
        <v>0.31035937094421884</v>
      </c>
      <c r="L37" s="280">
        <f t="shared" si="18"/>
        <v>0.30055628642976628</v>
      </c>
      <c r="M37" s="280">
        <f t="shared" si="18"/>
        <v>0.29135751897368556</v>
      </c>
      <c r="N37" s="280">
        <f t="shared" si="19"/>
        <v>0.28273410098048446</v>
      </c>
      <c r="O37" s="280">
        <f t="shared" si="19"/>
        <v>0.2746565085874958</v>
      </c>
      <c r="P37" s="280">
        <f t="shared" si="19"/>
        <v>0.26709513689547321</v>
      </c>
      <c r="Q37" s="280">
        <f t="shared" si="19"/>
        <v>0.26002068285702329</v>
      </c>
      <c r="R37" s="280">
        <f t="shared" si="19"/>
        <v>0.25340444689716896</v>
      </c>
      <c r="S37" s="280">
        <f t="shared" si="19"/>
        <v>0.24721856421954505</v>
      </c>
      <c r="T37" s="280">
        <f t="shared" si="19"/>
        <v>0.24143617621244057</v>
      </c>
      <c r="U37" s="280">
        <f t="shared" si="19"/>
        <v>0.2360315515668957</v>
      </c>
      <c r="V37" s="280">
        <f t="shared" si="19"/>
        <v>0.23098016577370353</v>
      </c>
      <c r="W37" s="280">
        <f t="shared" si="19"/>
        <v>0.22625874666529594</v>
      </c>
      <c r="X37" s="280">
        <f t="shared" si="19"/>
        <v>0.22184529267385983</v>
      </c>
      <c r="Y37" s="280">
        <f t="shared" si="19"/>
        <v>0.21771906952965703</v>
      </c>
      <c r="Z37" s="280">
        <f t="shared" si="19"/>
        <v>0.21386059024849224</v>
      </c>
      <c r="AA37" s="280">
        <f t="shared" si="20"/>
        <v>0.21025158246792836</v>
      </c>
      <c r="AB37" s="280">
        <f t="shared" si="20"/>
        <v>0.2068749464930737</v>
      </c>
      <c r="AC37" s="280">
        <f t="shared" si="20"/>
        <v>0.20371470680372061</v>
      </c>
      <c r="AD37" s="280">
        <f t="shared" si="20"/>
        <v>0.20075595925074541</v>
      </c>
      <c r="AE37" s="280">
        <f t="shared" si="20"/>
        <v>0.19798481572423737</v>
      </c>
      <c r="AF37" s="280">
        <f t="shared" si="20"/>
        <v>0.19538834770095037</v>
      </c>
      <c r="AG37" s="242"/>
    </row>
    <row r="38" spans="2:33">
      <c r="B38" s="232">
        <v>11</v>
      </c>
      <c r="C38" s="234"/>
      <c r="D38" s="280">
        <f t="shared" si="18"/>
        <v>0.43234075630216851</v>
      </c>
      <c r="E38" s="280">
        <f t="shared" si="18"/>
        <v>0.41685980782702081</v>
      </c>
      <c r="F38" s="280">
        <f t="shared" si="18"/>
        <v>0.40201838187631811</v>
      </c>
      <c r="G38" s="280">
        <f t="shared" si="18"/>
        <v>0.38783230222090176</v>
      </c>
      <c r="H38" s="280">
        <f t="shared" si="18"/>
        <v>0.37430908189117112</v>
      </c>
      <c r="I38" s="280">
        <f t="shared" si="18"/>
        <v>0.36144896668493615</v>
      </c>
      <c r="J38" s="280">
        <f t="shared" si="18"/>
        <v>0.34924598053544537</v>
      </c>
      <c r="K38" s="280">
        <f t="shared" si="18"/>
        <v>0.33768893734462602</v>
      </c>
      <c r="L38" s="280">
        <f t="shared" si="18"/>
        <v>0.32676239331773416</v>
      </c>
      <c r="M38" s="280">
        <f t="shared" si="18"/>
        <v>0.31644752228356066</v>
      </c>
      <c r="N38" s="280">
        <f t="shared" si="19"/>
        <v>0.30672290367496735</v>
      </c>
      <c r="O38" s="280">
        <f t="shared" si="19"/>
        <v>0.29756521868267055</v>
      </c>
      <c r="P38" s="280">
        <f t="shared" si="19"/>
        <v>0.28894985461471323</v>
      </c>
      <c r="Q38" s="280">
        <f t="shared" si="19"/>
        <v>0.2808514208121658</v>
      </c>
      <c r="R38" s="280">
        <f t="shared" si="19"/>
        <v>0.27324418175135473</v>
      </c>
      <c r="S38" s="280">
        <f t="shared" si="19"/>
        <v>0.2661024143848299</v>
      </c>
      <c r="T38" s="280">
        <f t="shared" si="19"/>
        <v>0.2594006975154417</v>
      </c>
      <c r="U38" s="280">
        <f t="shared" si="19"/>
        <v>0.25311414122366166</v>
      </c>
      <c r="V38" s="280">
        <f t="shared" si="19"/>
        <v>0.24721856421954519</v>
      </c>
      <c r="W38" s="280">
        <f t="shared" si="19"/>
        <v>0.24169062658554519</v>
      </c>
      <c r="X38" s="280">
        <f t="shared" si="19"/>
        <v>0.23650792480921334</v>
      </c>
      <c r="Y38" s="280">
        <f t="shared" si="19"/>
        <v>0.23164905534859442</v>
      </c>
      <c r="Z38" s="280">
        <f t="shared" si="19"/>
        <v>0.22709365228201894</v>
      </c>
      <c r="AA38" s="280">
        <f t="shared" si="20"/>
        <v>0.22282240390671559</v>
      </c>
      <c r="AB38" s="280">
        <f t="shared" si="20"/>
        <v>0.21881705249334105</v>
      </c>
      <c r="AC38" s="280">
        <f t="shared" si="20"/>
        <v>0.21506038079263284</v>
      </c>
      <c r="AD38" s="280">
        <f t="shared" si="20"/>
        <v>0.21153618833508564</v>
      </c>
      <c r="AE38" s="280">
        <f t="shared" si="20"/>
        <v>0.2082292600686716</v>
      </c>
      <c r="AF38" s="280">
        <f t="shared" si="20"/>
        <v>0.20512532944328554</v>
      </c>
      <c r="AG38" s="242"/>
    </row>
    <row r="39" spans="2:33">
      <c r="B39" s="232">
        <v>11.5</v>
      </c>
      <c r="C39" s="234"/>
      <c r="D39" s="280">
        <f t="shared" si="18"/>
        <v>0.46658637348242704</v>
      </c>
      <c r="E39" s="280">
        <f t="shared" si="18"/>
        <v>0.45057905601059633</v>
      </c>
      <c r="F39" s="280">
        <f t="shared" si="18"/>
        <v>0.43509666955609694</v>
      </c>
      <c r="G39" s="280">
        <f t="shared" si="18"/>
        <v>0.42017154750013008</v>
      </c>
      <c r="H39" s="280">
        <f t="shared" si="18"/>
        <v>0.40582736394216257</v>
      </c>
      <c r="I39" s="280">
        <f t="shared" si="18"/>
        <v>0.3920798288971169</v>
      </c>
      <c r="J39" s="280">
        <f t="shared" si="18"/>
        <v>0.3789374716103095</v>
      </c>
      <c r="K39" s="280">
        <f t="shared" si="18"/>
        <v>0.36640247013459293</v>
      </c>
      <c r="L39" s="280">
        <f t="shared" si="18"/>
        <v>0.35447149192324423</v>
      </c>
      <c r="M39" s="280">
        <f t="shared" si="18"/>
        <v>0.34313651716128962</v>
      </c>
      <c r="N39" s="280">
        <f t="shared" si="19"/>
        <v>0.33238562334476207</v>
      </c>
      <c r="O39" s="280">
        <f t="shared" si="19"/>
        <v>0.32220371584477786</v>
      </c>
      <c r="P39" s="280">
        <f t="shared" si="19"/>
        <v>0.31257319463312511</v>
      </c>
      <c r="Q39" s="280">
        <f t="shared" si="19"/>
        <v>0.30347455189247585</v>
      </c>
      <c r="R39" s="280">
        <f t="shared" si="19"/>
        <v>0.29488689887455544</v>
      </c>
      <c r="S39" s="280">
        <f t="shared" si="19"/>
        <v>0.28678842315518777</v>
      </c>
      <c r="T39" s="280">
        <f t="shared" si="19"/>
        <v>0.27915677945740136</v>
      </c>
      <c r="U39" s="280">
        <f t="shared" si="19"/>
        <v>0.27196941858408474</v>
      </c>
      <c r="V39" s="280">
        <f t="shared" si="19"/>
        <v>0.26520385983674233</v>
      </c>
      <c r="W39" s="280">
        <f t="shared" si="19"/>
        <v>0.25883791270893264</v>
      </c>
      <c r="X39" s="280">
        <f t="shared" si="19"/>
        <v>0.25284985373350372</v>
      </c>
      <c r="Y39" s="280">
        <f t="shared" si="19"/>
        <v>0.24721856421954491</v>
      </c>
      <c r="Z39" s="280">
        <f t="shared" si="19"/>
        <v>0.24192363431099559</v>
      </c>
      <c r="AA39" s="280">
        <f t="shared" si="20"/>
        <v>0.23694543839276186</v>
      </c>
      <c r="AB39" s="280">
        <f t="shared" si="20"/>
        <v>0.23226518640751184</v>
      </c>
      <c r="AC39" s="280">
        <f t="shared" si="20"/>
        <v>0.22786495516128469</v>
      </c>
      <c r="AD39" s="280">
        <f t="shared" si="20"/>
        <v>0.22372770321335519</v>
      </c>
      <c r="AE39" s="280">
        <f t="shared" si="20"/>
        <v>0.21983727248247853</v>
      </c>
      <c r="AF39" s="280">
        <f t="shared" si="20"/>
        <v>0.21617837926866834</v>
      </c>
      <c r="AG39" s="242"/>
    </row>
    <row r="40" spans="2:33">
      <c r="B40" s="232">
        <v>12</v>
      </c>
      <c r="C40" s="234"/>
      <c r="D40" s="280">
        <f t="shared" si="18"/>
        <v>0.5</v>
      </c>
      <c r="E40" s="280">
        <f t="shared" si="18"/>
        <v>0.48377395102152854</v>
      </c>
      <c r="F40" s="280">
        <f t="shared" si="18"/>
        <v>0.46794277707446374</v>
      </c>
      <c r="G40" s="280">
        <f t="shared" si="18"/>
        <v>0.45255202511976345</v>
      </c>
      <c r="H40" s="280">
        <f t="shared" si="18"/>
        <v>0.43763913099741647</v>
      </c>
      <c r="I40" s="280">
        <f t="shared" si="18"/>
        <v>0.4232337036259155</v>
      </c>
      <c r="J40" s="280">
        <f t="shared" si="18"/>
        <v>0.40935795873702463</v>
      </c>
      <c r="K40" s="280">
        <f t="shared" si="18"/>
        <v>0.39602726397678611</v>
      </c>
      <c r="L40" s="280">
        <f t="shared" si="18"/>
        <v>0.38325075951607435</v>
      </c>
      <c r="M40" s="280">
        <f t="shared" si="18"/>
        <v>0.37103202204276836</v>
      </c>
      <c r="N40" s="280">
        <f t="shared" si="19"/>
        <v>0.359369744585742</v>
      </c>
      <c r="O40" s="280">
        <f t="shared" si="19"/>
        <v>0.34825840956086906</v>
      </c>
      <c r="P40" s="280">
        <f t="shared" si="19"/>
        <v>0.33768893734462602</v>
      </c>
      <c r="Q40" s="280">
        <f t="shared" si="19"/>
        <v>0.32764929729020753</v>
      </c>
      <c r="R40" s="280">
        <f t="shared" si="19"/>
        <v>0.31812507222116171</v>
      </c>
      <c r="S40" s="280">
        <f t="shared" si="19"/>
        <v>0.30909997096888564</v>
      </c>
      <c r="T40" s="280">
        <f t="shared" si="19"/>
        <v>0.30055628642976628</v>
      </c>
      <c r="U40" s="280">
        <f t="shared" si="19"/>
        <v>0.2924752989207603</v>
      </c>
      <c r="V40" s="280">
        <f t="shared" si="19"/>
        <v>0.28483762635669357</v>
      </c>
      <c r="W40" s="280">
        <f t="shared" si="19"/>
        <v>0.2776235240253947</v>
      </c>
      <c r="X40" s="280">
        <f t="shared" si="19"/>
        <v>0.27081313757327391</v>
      </c>
      <c r="Y40" s="280">
        <f t="shared" si="19"/>
        <v>0.26438671331017394</v>
      </c>
      <c r="Z40" s="280">
        <f t="shared" si="19"/>
        <v>0.25832477016994104</v>
      </c>
      <c r="AA40" s="280">
        <f t="shared" si="20"/>
        <v>0.25260823768649454</v>
      </c>
      <c r="AB40" s="280">
        <f t="shared" si="20"/>
        <v>0.24721856421954519</v>
      </c>
      <c r="AC40" s="280">
        <f t="shared" si="20"/>
        <v>0.24213779943560149</v>
      </c>
      <c r="AD40" s="280">
        <f t="shared" si="20"/>
        <v>0.23734865475565695</v>
      </c>
      <c r="AE40" s="280">
        <f t="shared" si="20"/>
        <v>0.23283454515004731</v>
      </c>
      <c r="AF40" s="280">
        <f t="shared" si="20"/>
        <v>0.22857961531542351</v>
      </c>
      <c r="AG40" s="242"/>
    </row>
    <row r="41" spans="2:33">
      <c r="B41" s="232">
        <v>12.5</v>
      </c>
      <c r="C41" s="234"/>
      <c r="D41" s="280">
        <f t="shared" si="18"/>
        <v>0.53205722292553614</v>
      </c>
      <c r="E41" s="280">
        <f t="shared" si="18"/>
        <v>0.51589868326942101</v>
      </c>
      <c r="F41" s="280">
        <f t="shared" si="18"/>
        <v>0.5</v>
      </c>
      <c r="G41" s="280">
        <f t="shared" si="18"/>
        <v>0.48441574241426044</v>
      </c>
      <c r="H41" s="280">
        <f t="shared" si="18"/>
        <v>0.46919361477010402</v>
      </c>
      <c r="I41" s="280">
        <f t="shared" si="18"/>
        <v>0.45437434845145952</v>
      </c>
      <c r="J41" s="280">
        <f t="shared" si="18"/>
        <v>0.43999177072826856</v>
      </c>
      <c r="K41" s="280">
        <f t="shared" si="18"/>
        <v>0.42607302306915085</v>
      </c>
      <c r="L41" s="280">
        <f t="shared" si="18"/>
        <v>0.41263890013956572</v>
      </c>
      <c r="M41" s="280">
        <f t="shared" si="18"/>
        <v>0.39970428063471714</v>
      </c>
      <c r="N41" s="280">
        <f t="shared" si="19"/>
        <v>0.38727862257228163</v>
      </c>
      <c r="O41" s="280">
        <f t="shared" si="19"/>
        <v>0.37536649820071288</v>
      </c>
      <c r="P41" s="280">
        <f t="shared" si="19"/>
        <v>0.36396814687868351</v>
      </c>
      <c r="Q41" s="280">
        <f t="shared" si="19"/>
        <v>0.35308002781103781</v>
      </c>
      <c r="R41" s="280">
        <f t="shared" si="19"/>
        <v>0.34269535810981677</v>
      </c>
      <c r="S41" s="280">
        <f t="shared" si="19"/>
        <v>0.33280462507633357</v>
      </c>
      <c r="T41" s="280">
        <f t="shared" si="19"/>
        <v>0.32339606472779814</v>
      </c>
      <c r="U41" s="280">
        <f t="shared" si="19"/>
        <v>0.31445610133290969</v>
      </c>
      <c r="V41" s="280">
        <f t="shared" si="19"/>
        <v>0.30596974503556562</v>
      </c>
      <c r="W41" s="280">
        <f t="shared" si="19"/>
        <v>0.29792094653095091</v>
      </c>
      <c r="X41" s="280">
        <f t="shared" si="19"/>
        <v>0.29029290923597029</v>
      </c>
      <c r="Y41" s="280">
        <f t="shared" si="19"/>
        <v>0.28306836050493972</v>
      </c>
      <c r="Z41" s="280">
        <f t="shared" si="19"/>
        <v>0.27622978422926314</v>
      </c>
      <c r="AA41" s="280">
        <f t="shared" si="20"/>
        <v>0.26975961767741274</v>
      </c>
      <c r="AB41" s="280">
        <f t="shared" si="20"/>
        <v>0.26364041572890173</v>
      </c>
      <c r="AC41" s="280">
        <f t="shared" si="20"/>
        <v>0.25785498577960581</v>
      </c>
      <c r="AD41" s="280">
        <f t="shared" si="20"/>
        <v>0.25238649658713341</v>
      </c>
      <c r="AE41" s="280">
        <f t="shared" si="20"/>
        <v>0.24721856421954519</v>
      </c>
      <c r="AF41" s="280">
        <f t="shared" si="20"/>
        <v>0.24233531809821834</v>
      </c>
      <c r="AG41" s="242"/>
    </row>
    <row r="42" spans="2:33">
      <c r="B42" s="232">
        <v>13</v>
      </c>
      <c r="C42" s="234"/>
      <c r="D42" s="280">
        <f t="shared" si="18"/>
        <v>0.56236086900258342</v>
      </c>
      <c r="E42" s="280">
        <f t="shared" si="18"/>
        <v>0.54651907537716338</v>
      </c>
      <c r="F42" s="280">
        <f t="shared" si="18"/>
        <v>0.53080638522989598</v>
      </c>
      <c r="G42" s="280">
        <f t="shared" si="18"/>
        <v>0.51528202001918466</v>
      </c>
      <c r="H42" s="280">
        <f t="shared" si="18"/>
        <v>0.5</v>
      </c>
      <c r="I42" s="280">
        <f t="shared" si="18"/>
        <v>0.48500872422390906</v>
      </c>
      <c r="J42" s="280">
        <f t="shared" si="18"/>
        <v>0.47035072132510758</v>
      </c>
      <c r="K42" s="280">
        <f t="shared" si="18"/>
        <v>0.45606255819736319</v>
      </c>
      <c r="L42" s="280">
        <f t="shared" si="18"/>
        <v>0.44217488906745928</v>
      </c>
      <c r="M42" s="280">
        <f t="shared" si="18"/>
        <v>0.42871262450687186</v>
      </c>
      <c r="N42" s="280">
        <f t="shared" si="19"/>
        <v>0.41569519848177183</v>
      </c>
      <c r="O42" s="280">
        <f t="shared" si="19"/>
        <v>0.40313691141878316</v>
      </c>
      <c r="P42" s="280">
        <f t="shared" si="19"/>
        <v>0.39104732820499044</v>
      </c>
      <c r="Q42" s="280">
        <f t="shared" si="19"/>
        <v>0.37943171177153134</v>
      </c>
      <c r="R42" s="280">
        <f t="shared" si="19"/>
        <v>0.36829147516532029</v>
      </c>
      <c r="S42" s="280">
        <f t="shared" si="19"/>
        <v>0.35762463755506368</v>
      </c>
      <c r="T42" s="280">
        <f t="shared" si="19"/>
        <v>0.34742627224672129</v>
      </c>
      <c r="U42" s="280">
        <f t="shared" si="19"/>
        <v>0.33768893734462602</v>
      </c>
      <c r="V42" s="280">
        <f t="shared" si="19"/>
        <v>0.32840308207560343</v>
      </c>
      <c r="W42" s="280">
        <f t="shared" si="19"/>
        <v>0.31955742392209241</v>
      </c>
      <c r="X42" s="280">
        <f t="shared" si="19"/>
        <v>0.31113929354738767</v>
      </c>
      <c r="Y42" s="280">
        <f t="shared" si="19"/>
        <v>0.30313494602928959</v>
      </c>
      <c r="Z42" s="280">
        <f t="shared" si="19"/>
        <v>0.295529838154997</v>
      </c>
      <c r="AA42" s="280">
        <f t="shared" si="20"/>
        <v>0.2883088724910905</v>
      </c>
      <c r="AB42" s="280">
        <f t="shared" si="20"/>
        <v>0.28145660965724917</v>
      </c>
      <c r="AC42" s="280">
        <f t="shared" si="20"/>
        <v>0.27495745073447736</v>
      </c>
      <c r="AD42" s="280">
        <f t="shared" si="20"/>
        <v>0.26879579206258331</v>
      </c>
      <c r="AE42" s="280">
        <f t="shared" si="20"/>
        <v>0.26295615486073798</v>
      </c>
      <c r="AF42" s="280">
        <f t="shared" si="20"/>
        <v>0.25742329216972076</v>
      </c>
      <c r="AG42" s="242"/>
    </row>
    <row r="43" spans="2:33">
      <c r="B43" s="232">
        <v>13.5</v>
      </c>
      <c r="C43" s="234"/>
      <c r="D43" s="280">
        <f t="shared" si="18"/>
        <v>0.59064204126297548</v>
      </c>
      <c r="E43" s="280">
        <f t="shared" si="18"/>
        <v>0.57532030458618821</v>
      </c>
      <c r="F43" s="280">
        <f t="shared" si="18"/>
        <v>0.56000822927173133</v>
      </c>
      <c r="G43" s="280">
        <f t="shared" si="18"/>
        <v>0.54476572002711965</v>
      </c>
      <c r="H43" s="280">
        <f t="shared" si="18"/>
        <v>0.52964927867489242</v>
      </c>
      <c r="I43" s="280">
        <f t="shared" si="18"/>
        <v>0.51471138185845855</v>
      </c>
      <c r="J43" s="280">
        <f t="shared" si="18"/>
        <v>0.5</v>
      </c>
      <c r="K43" s="280">
        <f t="shared" si="18"/>
        <v>0.48555825767174154</v>
      </c>
      <c r="L43" s="280">
        <f t="shared" si="18"/>
        <v>0.47142422993559807</v>
      </c>
      <c r="M43" s="280">
        <f t="shared" si="18"/>
        <v>0.4576308646462719</v>
      </c>
      <c r="N43" s="280">
        <f t="shared" si="19"/>
        <v>0.44420601731198983</v>
      </c>
      <c r="O43" s="280">
        <f t="shared" si="19"/>
        <v>0.43117258287383697</v>
      </c>
      <c r="P43" s="280">
        <f t="shared" si="19"/>
        <v>0.41854870762345708</v>
      </c>
      <c r="Q43" s="280">
        <f t="shared" si="19"/>
        <v>0.40634806429326265</v>
      </c>
      <c r="R43" s="280">
        <f t="shared" si="19"/>
        <v>0.39458017395022993</v>
      </c>
      <c r="S43" s="280">
        <f t="shared" si="19"/>
        <v>0.38325075951607374</v>
      </c>
      <c r="T43" s="280">
        <f t="shared" si="19"/>
        <v>0.37236211733843155</v>
      </c>
      <c r="U43" s="280">
        <f t="shared" si="19"/>
        <v>0.36191349508120929</v>
      </c>
      <c r="V43" s="280">
        <f t="shared" si="19"/>
        <v>0.3519014661434352</v>
      </c>
      <c r="W43" s="280">
        <f t="shared" si="19"/>
        <v>0.34232029273934028</v>
      </c>
      <c r="X43" s="280">
        <f t="shared" si="19"/>
        <v>0.33316227159151213</v>
      </c>
      <c r="Y43" s="280">
        <f t="shared" si="19"/>
        <v>0.32441805784464917</v>
      </c>
      <c r="Z43" s="280">
        <f t="shared" si="19"/>
        <v>0.31607696426418397</v>
      </c>
      <c r="AA43" s="280">
        <f t="shared" si="20"/>
        <v>0.30812723402599523</v>
      </c>
      <c r="AB43" s="280">
        <f t="shared" si="20"/>
        <v>0.30055628642976606</v>
      </c>
      <c r="AC43" s="280">
        <f t="shared" si="20"/>
        <v>0.29335093568947052</v>
      </c>
      <c r="AD43" s="280">
        <f t="shared" si="20"/>
        <v>0.2864975835874346</v>
      </c>
      <c r="AE43" s="280">
        <f t="shared" si="20"/>
        <v>0.27998238724510871</v>
      </c>
      <c r="AF43" s="280">
        <f t="shared" si="20"/>
        <v>0.27379140358762066</v>
      </c>
      <c r="AG43" s="242"/>
    </row>
    <row r="44" spans="2:33">
      <c r="B44" s="232">
        <v>14</v>
      </c>
      <c r="C44" s="234"/>
      <c r="D44" s="280">
        <f t="shared" si="18"/>
        <v>0.61674924048392565</v>
      </c>
      <c r="E44" s="280">
        <f t="shared" si="18"/>
        <v>0.60210213128146894</v>
      </c>
      <c r="F44" s="280">
        <f t="shared" si="18"/>
        <v>0.58736109986043428</v>
      </c>
      <c r="G44" s="280">
        <f t="shared" si="18"/>
        <v>0.57258353142612728</v>
      </c>
      <c r="H44" s="280">
        <f t="shared" si="18"/>
        <v>0.55782511093254061</v>
      </c>
      <c r="I44" s="280">
        <f t="shared" si="18"/>
        <v>0.54313910939325694</v>
      </c>
      <c r="J44" s="280">
        <f t="shared" si="18"/>
        <v>0.52857577006440182</v>
      </c>
      <c r="K44" s="280">
        <f t="shared" si="18"/>
        <v>0.51418180408171388</v>
      </c>
      <c r="L44" s="280">
        <f t="shared" si="18"/>
        <v>0.5</v>
      </c>
      <c r="M44" s="280">
        <f t="shared" si="18"/>
        <v>0.48606894692933655</v>
      </c>
      <c r="N44" s="280">
        <f t="shared" si="19"/>
        <v>0.472422866818765</v>
      </c>
      <c r="O44" s="280">
        <f t="shared" si="19"/>
        <v>0.45909154805751462</v>
      </c>
      <c r="P44" s="280">
        <f t="shared" si="19"/>
        <v>0.44610037002130853</v>
      </c>
      <c r="Q44" s="280">
        <f t="shared" si="19"/>
        <v>0.43347040649264013</v>
      </c>
      <c r="R44" s="280">
        <f t="shared" si="19"/>
        <v>0.42121859497780223</v>
      </c>
      <c r="S44" s="280">
        <f t="shared" si="19"/>
        <v>0.40935795873702396</v>
      </c>
      <c r="T44" s="280">
        <f t="shared" si="19"/>
        <v>0.39789786871853072</v>
      </c>
      <c r="U44" s="280">
        <f t="shared" si="19"/>
        <v>0.38684433341245561</v>
      </c>
      <c r="V44" s="280">
        <f t="shared" si="19"/>
        <v>0.3762003057864724</v>
      </c>
      <c r="W44" s="280">
        <f t="shared" si="19"/>
        <v>0.36596599781151112</v>
      </c>
      <c r="X44" s="280">
        <f t="shared" si="19"/>
        <v>0.35613919452815002</v>
      </c>
      <c r="Y44" s="280">
        <f t="shared" si="19"/>
        <v>0.3467155610561522</v>
      </c>
      <c r="Z44" s="280">
        <f t="shared" si="19"/>
        <v>0.33768893734462579</v>
      </c>
      <c r="AA44" s="280">
        <f t="shared" si="20"/>
        <v>0.32905161675086081</v>
      </c>
      <c r="AB44" s="280">
        <f t="shared" si="20"/>
        <v>0.32079460569127033</v>
      </c>
      <c r="AC44" s="280">
        <f t="shared" si="20"/>
        <v>0.3129078626116481</v>
      </c>
      <c r="AD44" s="280">
        <f t="shared" si="20"/>
        <v>0.30538051537118538</v>
      </c>
      <c r="AE44" s="280">
        <f t="shared" si="20"/>
        <v>0.29820105682905645</v>
      </c>
      <c r="AF44" s="280">
        <f t="shared" si="20"/>
        <v>0.29135751897368534</v>
      </c>
      <c r="AG44" s="242"/>
    </row>
    <row r="45" spans="2:33">
      <c r="B45" s="232">
        <v>14.5</v>
      </c>
      <c r="C45" s="234"/>
      <c r="D45" s="280">
        <f t="shared" si="18"/>
        <v>0.640630255414258</v>
      </c>
      <c r="E45" s="280">
        <f t="shared" si="18"/>
        <v>0.62676553628753062</v>
      </c>
      <c r="F45" s="280">
        <f t="shared" si="18"/>
        <v>0.61272137742771837</v>
      </c>
      <c r="G45" s="280">
        <f t="shared" si="18"/>
        <v>0.59855035525149147</v>
      </c>
      <c r="H45" s="280">
        <f t="shared" si="18"/>
        <v>0.58430480151822817</v>
      </c>
      <c r="I45" s="280">
        <f t="shared" si="18"/>
        <v>0.57003609039005454</v>
      </c>
      <c r="J45" s="280">
        <f t="shared" si="18"/>
        <v>0.55579398268801006</v>
      </c>
      <c r="K45" s="280">
        <f t="shared" si="18"/>
        <v>0.54162604196141284</v>
      </c>
      <c r="L45" s="280">
        <f t="shared" si="18"/>
        <v>0.527577133181235</v>
      </c>
      <c r="M45" s="280">
        <f t="shared" si="18"/>
        <v>0.51368901091678421</v>
      </c>
      <c r="N45" s="280">
        <f t="shared" si="19"/>
        <v>0.5</v>
      </c>
      <c r="O45" s="280">
        <f t="shared" si="19"/>
        <v>0.4865447681281222</v>
      </c>
      <c r="P45" s="280">
        <f t="shared" si="19"/>
        <v>0.47335418676032259</v>
      </c>
      <c r="Q45" s="280">
        <f t="shared" si="19"/>
        <v>0.46045527413065079</v>
      </c>
      <c r="R45" s="280">
        <f t="shared" si="19"/>
        <v>0.44787121227940674</v>
      </c>
      <c r="S45" s="280">
        <f t="shared" si="19"/>
        <v>0.43562142870150078</v>
      </c>
      <c r="T45" s="280">
        <f t="shared" si="19"/>
        <v>0.4237217324882897</v>
      </c>
      <c r="U45" s="280">
        <f t="shared" si="19"/>
        <v>0.4121844946347536</v>
      </c>
      <c r="V45" s="280">
        <f t="shared" si="19"/>
        <v>0.40101886241417017</v>
      </c>
      <c r="W45" s="280">
        <f t="shared" si="19"/>
        <v>0.39023099829625202</v>
      </c>
      <c r="X45" s="280">
        <f t="shared" si="19"/>
        <v>0.3798243347099165</v>
      </c>
      <c r="Y45" s="280">
        <f t="shared" si="19"/>
        <v>0.36979983694183161</v>
      </c>
      <c r="Z45" s="280">
        <f t="shared" si="19"/>
        <v>0.36015626753982477</v>
      </c>
      <c r="AA45" s="280">
        <f t="shared" si="20"/>
        <v>0.35089044669179204</v>
      </c>
      <c r="AB45" s="280">
        <f t="shared" si="20"/>
        <v>0.34199750412478863</v>
      </c>
      <c r="AC45" s="280">
        <f t="shared" si="20"/>
        <v>0.33347111907758464</v>
      </c>
      <c r="AD45" s="280">
        <f t="shared" si="20"/>
        <v>0.32530374581724009</v>
      </c>
      <c r="AE45" s="280">
        <f t="shared" si="20"/>
        <v>0.31748682298075381</v>
      </c>
      <c r="AF45" s="280">
        <f t="shared" si="20"/>
        <v>0.3100109657197877</v>
      </c>
      <c r="AG45" s="242"/>
    </row>
    <row r="46" spans="2:33">
      <c r="B46" s="232">
        <v>15</v>
      </c>
      <c r="C46" s="234"/>
      <c r="D46" s="280">
        <f t="shared" ref="D46:M56" si="21">$F$34+(POWER($B46,$E$34)/((POWER($B46,$E$34)+POWER(D$2,$E$34)))*$G$34)</f>
        <v>0.66231106265537409</v>
      </c>
      <c r="E46" s="280">
        <f t="shared" si="21"/>
        <v>0.64929474995369751</v>
      </c>
      <c r="F46" s="280">
        <f t="shared" si="21"/>
        <v>0.63603185312131649</v>
      </c>
      <c r="G46" s="280">
        <f t="shared" si="21"/>
        <v>0.62256874058241618</v>
      </c>
      <c r="H46" s="280">
        <f t="shared" si="21"/>
        <v>0.60895267179500956</v>
      </c>
      <c r="I46" s="280">
        <f t="shared" si="21"/>
        <v>0.59523114951143974</v>
      </c>
      <c r="J46" s="280">
        <f t="shared" si="21"/>
        <v>0.58145129237654281</v>
      </c>
      <c r="K46" s="280">
        <f t="shared" si="21"/>
        <v>0.56765924369783149</v>
      </c>
      <c r="L46" s="280">
        <f t="shared" si="21"/>
        <v>0.55389962997869135</v>
      </c>
      <c r="M46" s="280">
        <f t="shared" si="21"/>
        <v>0.5402150801185458</v>
      </c>
      <c r="N46" s="280">
        <f t="shared" ref="N46:Z56" si="22">$F$34+(POWER($B46,$E$34)/((POWER($B46,$E$34)+POWER(N$2,$E$34)))*$G$34)</f>
        <v>0.52664581323967741</v>
      </c>
      <c r="O46" s="280">
        <f t="shared" si="22"/>
        <v>0.51322930008364664</v>
      </c>
      <c r="P46" s="280">
        <f t="shared" si="22"/>
        <v>0.5</v>
      </c>
      <c r="Q46" s="280">
        <f t="shared" si="22"/>
        <v>0.48698917286824372</v>
      </c>
      <c r="R46" s="280">
        <f t="shared" si="22"/>
        <v>0.47422476295901361</v>
      </c>
      <c r="S46" s="280">
        <f t="shared" si="22"/>
        <v>0.46173134982325992</v>
      </c>
      <c r="T46" s="280">
        <f t="shared" si="22"/>
        <v>0.44953015983411437</v>
      </c>
      <c r="U46" s="280">
        <f t="shared" si="22"/>
        <v>0.43763913099741647</v>
      </c>
      <c r="V46" s="280">
        <f t="shared" si="22"/>
        <v>0.42607302306915085</v>
      </c>
      <c r="W46" s="280">
        <f t="shared" si="22"/>
        <v>0.41484356482660345</v>
      </c>
      <c r="X46" s="280">
        <f t="shared" si="22"/>
        <v>0.40395963047688788</v>
      </c>
      <c r="Y46" s="280">
        <f t="shared" si="22"/>
        <v>0.39342743758684151</v>
      </c>
      <c r="Z46" s="280">
        <f t="shared" si="22"/>
        <v>0.38325075951607401</v>
      </c>
      <c r="AA46" s="280">
        <f t="shared" si="20"/>
        <v>0.37343114606733097</v>
      </c>
      <c r="AB46" s="280">
        <f t="shared" si="20"/>
        <v>0.36396814687868351</v>
      </c>
      <c r="AC46" s="280">
        <f t="shared" si="20"/>
        <v>0.35485953292200717</v>
      </c>
      <c r="AD46" s="280">
        <f t="shared" si="20"/>
        <v>0.34610151230250841</v>
      </c>
      <c r="AE46" s="280">
        <f t="shared" si="20"/>
        <v>0.33768893734462602</v>
      </c>
      <c r="AF46" s="280">
        <f t="shared" si="20"/>
        <v>0.32961550067902101</v>
      </c>
      <c r="AG46" s="242"/>
    </row>
    <row r="47" spans="2:33">
      <c r="B47" s="232">
        <v>15.5</v>
      </c>
      <c r="C47" s="234"/>
      <c r="D47" s="280">
        <f t="shared" si="21"/>
        <v>0.68187492777883829</v>
      </c>
      <c r="E47" s="280">
        <f t="shared" si="21"/>
        <v>0.66973798673740748</v>
      </c>
      <c r="F47" s="280">
        <f t="shared" si="21"/>
        <v>0.65730464189018312</v>
      </c>
      <c r="G47" s="280">
        <f t="shared" si="21"/>
        <v>0.64461441513246642</v>
      </c>
      <c r="H47" s="280">
        <f t="shared" si="21"/>
        <v>0.63170852483467954</v>
      </c>
      <c r="I47" s="280">
        <f t="shared" si="21"/>
        <v>0.61862933982313861</v>
      </c>
      <c r="J47" s="280">
        <f t="shared" si="21"/>
        <v>0.60541982604977007</v>
      </c>
      <c r="K47" s="280">
        <f t="shared" si="21"/>
        <v>0.59212300037557386</v>
      </c>
      <c r="L47" s="280">
        <f t="shared" si="21"/>
        <v>0.57878140502219766</v>
      </c>
      <c r="M47" s="280">
        <f t="shared" si="21"/>
        <v>0.56543661484120733</v>
      </c>
      <c r="N47" s="280">
        <f t="shared" si="22"/>
        <v>0.55212878772059326</v>
      </c>
      <c r="O47" s="280">
        <f t="shared" si="22"/>
        <v>0.53889626632054788</v>
      </c>
      <c r="P47" s="280">
        <f t="shared" si="22"/>
        <v>0.52577523704098628</v>
      </c>
      <c r="Q47" s="280">
        <f t="shared" si="22"/>
        <v>0.51279944980352765</v>
      </c>
      <c r="R47" s="280">
        <f t="shared" si="22"/>
        <v>0.5</v>
      </c>
      <c r="S47" s="280">
        <f t="shared" si="22"/>
        <v>0.48740517191748689</v>
      </c>
      <c r="T47" s="280">
        <f t="shared" si="22"/>
        <v>0.4750403411719365</v>
      </c>
      <c r="U47" s="280">
        <f t="shared" si="22"/>
        <v>0.46292793221800643</v>
      </c>
      <c r="V47" s="280">
        <f t="shared" si="22"/>
        <v>0.45108742587646766</v>
      </c>
      <c r="W47" s="280">
        <f t="shared" si="22"/>
        <v>0.43953541103382898</v>
      </c>
      <c r="X47" s="280">
        <f t="shared" si="22"/>
        <v>0.42828567420464325</v>
      </c>
      <c r="Y47" s="280">
        <f t="shared" si="22"/>
        <v>0.41734932047371542</v>
      </c>
      <c r="Z47" s="280">
        <f t="shared" si="22"/>
        <v>0.40673491941188367</v>
      </c>
      <c r="AA47" s="280">
        <f t="shared" si="20"/>
        <v>0.39644866983888183</v>
      </c>
      <c r="AB47" s="280">
        <f t="shared" si="20"/>
        <v>0.38649457774217821</v>
      </c>
      <c r="AC47" s="280">
        <f t="shared" si="20"/>
        <v>0.37687464220566524</v>
      </c>
      <c r="AD47" s="280">
        <f t="shared" si="20"/>
        <v>0.36758904481462074</v>
      </c>
      <c r="AE47" s="280">
        <f t="shared" si="20"/>
        <v>0.35863633864701194</v>
      </c>
      <c r="AF47" s="280">
        <f t="shared" si="20"/>
        <v>0.35001363360573634</v>
      </c>
      <c r="AG47" s="242"/>
    </row>
    <row r="48" spans="2:33">
      <c r="B48" s="232">
        <v>16</v>
      </c>
      <c r="C48" s="234"/>
      <c r="D48" s="280">
        <f t="shared" si="21"/>
        <v>0.69944371357023372</v>
      </c>
      <c r="E48" s="280">
        <f t="shared" si="21"/>
        <v>0.68818921416852297</v>
      </c>
      <c r="F48" s="280">
        <f t="shared" si="21"/>
        <v>0.67660393527220186</v>
      </c>
      <c r="G48" s="280">
        <f t="shared" si="21"/>
        <v>0.66472049846452974</v>
      </c>
      <c r="H48" s="280">
        <f t="shared" si="21"/>
        <v>0.6525737277532786</v>
      </c>
      <c r="I48" s="280">
        <f t="shared" si="21"/>
        <v>0.64020021876404698</v>
      </c>
      <c r="J48" s="280">
        <f t="shared" si="21"/>
        <v>0.62763788266156839</v>
      </c>
      <c r="K48" s="280">
        <f t="shared" si="21"/>
        <v>0.61492547643267248</v>
      </c>
      <c r="L48" s="280">
        <f t="shared" si="21"/>
        <v>0.60210213128146928</v>
      </c>
      <c r="M48" s="280">
        <f t="shared" si="21"/>
        <v>0.58920689051851494</v>
      </c>
      <c r="N48" s="280">
        <f t="shared" si="22"/>
        <v>0.5762782675117103</v>
      </c>
      <c r="O48" s="280">
        <f t="shared" si="22"/>
        <v>0.56335383307299469</v>
      </c>
      <c r="P48" s="280">
        <f t="shared" si="22"/>
        <v>0.55046984016588552</v>
      </c>
      <c r="Q48" s="280">
        <f t="shared" si="22"/>
        <v>0.5376608921299314</v>
      </c>
      <c r="R48" s="280">
        <f t="shared" si="22"/>
        <v>0.52495965882806339</v>
      </c>
      <c r="S48" s="280">
        <f t="shared" si="22"/>
        <v>0.51239664332657398</v>
      </c>
      <c r="T48" s="280">
        <f t="shared" si="22"/>
        <v>0.5</v>
      </c>
      <c r="U48" s="280">
        <f t="shared" si="22"/>
        <v>0.48779540338504446</v>
      </c>
      <c r="V48" s="280">
        <f t="shared" si="22"/>
        <v>0.47580596574200273</v>
      </c>
      <c r="W48" s="280">
        <f t="shared" si="22"/>
        <v>0.46405220015389292</v>
      </c>
      <c r="X48" s="280">
        <f t="shared" si="22"/>
        <v>0.45255202511976356</v>
      </c>
      <c r="Y48" s="280">
        <f t="shared" si="22"/>
        <v>0.44132080598061807</v>
      </c>
      <c r="Z48" s="280">
        <f t="shared" si="22"/>
        <v>0.43037142814179352</v>
      </c>
      <c r="AA48" s="280">
        <f t="shared" si="20"/>
        <v>0.41971439690200452</v>
      </c>
      <c r="AB48" s="280">
        <f t="shared" si="20"/>
        <v>0.40935795873702419</v>
      </c>
      <c r="AC48" s="280">
        <f t="shared" si="20"/>
        <v>0.39930823908159407</v>
      </c>
      <c r="AD48" s="280">
        <f t="shared" si="20"/>
        <v>0.38956939197179108</v>
      </c>
      <c r="AE48" s="280">
        <f t="shared" si="20"/>
        <v>0.38014375731782912</v>
      </c>
      <c r="AF48" s="280">
        <f t="shared" si="20"/>
        <v>0.37103202204276808</v>
      </c>
      <c r="AG48" s="242"/>
    </row>
    <row r="49" spans="2:33">
      <c r="B49" s="232">
        <v>16.5</v>
      </c>
      <c r="C49" s="234"/>
      <c r="D49" s="280">
        <f t="shared" si="21"/>
        <v>0.71516237364330637</v>
      </c>
      <c r="E49" s="280">
        <f t="shared" si="21"/>
        <v>0.70477231080476443</v>
      </c>
      <c r="F49" s="280">
        <f t="shared" si="21"/>
        <v>0.69403025496443427</v>
      </c>
      <c r="G49" s="280">
        <f t="shared" si="21"/>
        <v>0.68296227931380504</v>
      </c>
      <c r="H49" s="280">
        <f t="shared" si="21"/>
        <v>0.67159691792439646</v>
      </c>
      <c r="I49" s="280">
        <f t="shared" si="21"/>
        <v>0.65996484742630324</v>
      </c>
      <c r="J49" s="280">
        <f t="shared" si="21"/>
        <v>0.64809853385656468</v>
      </c>
      <c r="K49" s="280">
        <f t="shared" si="21"/>
        <v>0.63603185312131638</v>
      </c>
      <c r="L49" s="280">
        <f t="shared" si="21"/>
        <v>0.62379969421352766</v>
      </c>
      <c r="M49" s="280">
        <f t="shared" si="21"/>
        <v>0.61143755465547489</v>
      </c>
      <c r="N49" s="280">
        <f t="shared" si="22"/>
        <v>0.59898113758582971</v>
      </c>
      <c r="O49" s="280">
        <f t="shared" si="22"/>
        <v>0.58646595950151525</v>
      </c>
      <c r="P49" s="280">
        <f t="shared" si="22"/>
        <v>0.57392697693084915</v>
      </c>
      <c r="Q49" s="280">
        <f t="shared" si="22"/>
        <v>0.56139823930991417</v>
      </c>
      <c r="R49" s="280">
        <f t="shared" si="22"/>
        <v>0.54891257412353223</v>
      </c>
      <c r="S49" s="280">
        <f t="shared" si="22"/>
        <v>0.53650130902705151</v>
      </c>
      <c r="T49" s="280">
        <f t="shared" si="22"/>
        <v>0.52419403425799715</v>
      </c>
      <c r="U49" s="280">
        <f t="shared" si="22"/>
        <v>0.51201840724635661</v>
      </c>
      <c r="V49" s="280">
        <f t="shared" si="22"/>
        <v>0.5</v>
      </c>
      <c r="W49" s="280">
        <f t="shared" si="22"/>
        <v>0.48816218862784833</v>
      </c>
      <c r="X49" s="280">
        <f t="shared" si="22"/>
        <v>0.47652608330583601</v>
      </c>
      <c r="Y49" s="280">
        <f t="shared" si="22"/>
        <v>0.46511049611430755</v>
      </c>
      <c r="Z49" s="280">
        <f t="shared" si="22"/>
        <v>0.45393194349239285</v>
      </c>
      <c r="AA49" s="280">
        <f t="shared" si="20"/>
        <v>0.44300467956596368</v>
      </c>
      <c r="AB49" s="280">
        <f t="shared" si="20"/>
        <v>0.43234075630216851</v>
      </c>
      <c r="AC49" s="280">
        <f t="shared" si="20"/>
        <v>0.42195010630907537</v>
      </c>
      <c r="AD49" s="280">
        <f t="shared" si="20"/>
        <v>0.41184064411221166</v>
      </c>
      <c r="AE49" s="280">
        <f t="shared" si="20"/>
        <v>0.40201838187631811</v>
      </c>
      <c r="AF49" s="280">
        <f t="shared" si="20"/>
        <v>0.39248755577481353</v>
      </c>
      <c r="AG49" s="242"/>
    </row>
    <row r="50" spans="2:33">
      <c r="B50" s="232">
        <v>17</v>
      </c>
      <c r="C50" s="234"/>
      <c r="D50" s="280">
        <f t="shared" si="21"/>
        <v>0.72918686242672603</v>
      </c>
      <c r="E50" s="280">
        <f t="shared" si="21"/>
        <v>0.71962818227566883</v>
      </c>
      <c r="F50" s="280">
        <f t="shared" si="21"/>
        <v>0.7097070907640296</v>
      </c>
      <c r="G50" s="280">
        <f t="shared" si="21"/>
        <v>0.69944371357023361</v>
      </c>
      <c r="H50" s="280">
        <f t="shared" si="21"/>
        <v>0.68886070645261221</v>
      </c>
      <c r="I50" s="280">
        <f t="shared" si="21"/>
        <v>0.67798303700717855</v>
      </c>
      <c r="J50" s="280">
        <f t="shared" si="21"/>
        <v>0.66683772840848787</v>
      </c>
      <c r="K50" s="280">
        <f t="shared" si="21"/>
        <v>0.65545357061553378</v>
      </c>
      <c r="L50" s="280">
        <f t="shared" si="21"/>
        <v>0.64386080547184998</v>
      </c>
      <c r="M50" s="280">
        <f t="shared" si="21"/>
        <v>0.63209079283349356</v>
      </c>
      <c r="N50" s="280">
        <f t="shared" si="22"/>
        <v>0.62017566529008339</v>
      </c>
      <c r="O50" s="280">
        <f t="shared" si="22"/>
        <v>0.60814797918799135</v>
      </c>
      <c r="P50" s="280">
        <f t="shared" si="22"/>
        <v>0.59604036952311212</v>
      </c>
      <c r="Q50" s="280">
        <f t="shared" si="22"/>
        <v>0.58388521586093056</v>
      </c>
      <c r="R50" s="280">
        <f t="shared" si="22"/>
        <v>0.57171432579535675</v>
      </c>
      <c r="S50" s="280">
        <f t="shared" si="22"/>
        <v>0.5595586416174102</v>
      </c>
      <c r="T50" s="280">
        <f t="shared" si="22"/>
        <v>0.54744797488023644</v>
      </c>
      <c r="U50" s="280">
        <f t="shared" si="22"/>
        <v>0.53541077247175684</v>
      </c>
      <c r="V50" s="280">
        <f t="shared" si="22"/>
        <v>0.52347391669416399</v>
      </c>
      <c r="W50" s="280">
        <f t="shared" si="22"/>
        <v>0.51166256075079186</v>
      </c>
      <c r="X50" s="280">
        <f t="shared" si="22"/>
        <v>0.5</v>
      </c>
      <c r="Y50" s="280">
        <f t="shared" si="22"/>
        <v>0.48850757838897063</v>
      </c>
      <c r="Z50" s="280">
        <f t="shared" si="22"/>
        <v>0.47720462865500179</v>
      </c>
      <c r="AA50" s="280">
        <f t="shared" si="20"/>
        <v>0.46610844419587227</v>
      </c>
      <c r="AB50" s="280">
        <f t="shared" si="20"/>
        <v>0.45523427997287991</v>
      </c>
      <c r="AC50" s="280">
        <f t="shared" si="20"/>
        <v>0.44459537942078486</v>
      </c>
      <c r="AD50" s="280">
        <f t="shared" si="20"/>
        <v>0.43420302409173939</v>
      </c>
      <c r="AE50" s="280">
        <f t="shared" si="20"/>
        <v>0.4240666026435943</v>
      </c>
      <c r="AF50" s="280">
        <f t="shared" si="20"/>
        <v>0.41419369578107379</v>
      </c>
      <c r="AG50" s="242"/>
    </row>
    <row r="51" spans="2:33">
      <c r="B51" s="232">
        <v>17.5</v>
      </c>
      <c r="C51" s="234"/>
      <c r="D51" s="280">
        <f t="shared" si="21"/>
        <v>0.74167522983005885</v>
      </c>
      <c r="E51" s="280">
        <f t="shared" si="21"/>
        <v>0.73290486310452674</v>
      </c>
      <c r="F51" s="280">
        <f t="shared" si="21"/>
        <v>0.72377021577073675</v>
      </c>
      <c r="G51" s="280">
        <f t="shared" si="21"/>
        <v>0.7142861922268946</v>
      </c>
      <c r="H51" s="280">
        <f t="shared" si="21"/>
        <v>0.70447016184500288</v>
      </c>
      <c r="I51" s="280">
        <f t="shared" si="21"/>
        <v>0.69434182392586008</v>
      </c>
      <c r="J51" s="280">
        <f t="shared" si="21"/>
        <v>0.68392303573581603</v>
      </c>
      <c r="K51" s="280">
        <f t="shared" si="21"/>
        <v>0.67323760668226607</v>
      </c>
      <c r="L51" s="280">
        <f t="shared" si="21"/>
        <v>0.66231106265537432</v>
      </c>
      <c r="M51" s="280">
        <f t="shared" si="21"/>
        <v>0.65117038540135896</v>
      </c>
      <c r="N51" s="280">
        <f t="shared" si="22"/>
        <v>0.63984373246017512</v>
      </c>
      <c r="O51" s="280">
        <f t="shared" si="22"/>
        <v>0.62836014366890636</v>
      </c>
      <c r="P51" s="280">
        <f t="shared" si="22"/>
        <v>0.61674924048392599</v>
      </c>
      <c r="Q51" s="280">
        <f t="shared" si="22"/>
        <v>0.60504092440391966</v>
      </c>
      <c r="R51" s="280">
        <f t="shared" si="22"/>
        <v>0.59326508058811622</v>
      </c>
      <c r="S51" s="280">
        <f t="shared" si="22"/>
        <v>0.58145129237654247</v>
      </c>
      <c r="T51" s="280">
        <f t="shared" si="22"/>
        <v>0.56962857185820637</v>
      </c>
      <c r="U51" s="280">
        <f t="shared" si="22"/>
        <v>0.55782511093254095</v>
      </c>
      <c r="V51" s="280">
        <f t="shared" si="22"/>
        <v>0.54606805650760715</v>
      </c>
      <c r="W51" s="280">
        <f t="shared" si="22"/>
        <v>0.53438331261589511</v>
      </c>
      <c r="X51" s="280">
        <f t="shared" si="22"/>
        <v>0.52279537134499809</v>
      </c>
      <c r="Y51" s="280">
        <f t="shared" si="22"/>
        <v>0.51132717361304736</v>
      </c>
      <c r="Z51" s="280">
        <f t="shared" si="22"/>
        <v>0.5</v>
      </c>
      <c r="AA51" s="280">
        <f t="shared" si="20"/>
        <v>0.48883339110220669</v>
      </c>
      <c r="AB51" s="280">
        <f t="shared" si="20"/>
        <v>0.47784509622894067</v>
      </c>
      <c r="AC51" s="280">
        <f t="shared" si="20"/>
        <v>0.46705104871870695</v>
      </c>
      <c r="AD51" s="280">
        <f t="shared" si="20"/>
        <v>0.45646536572651697</v>
      </c>
      <c r="AE51" s="280">
        <f t="shared" si="20"/>
        <v>0.44610037002130887</v>
      </c>
      <c r="AF51" s="280">
        <f t="shared" si="20"/>
        <v>0.43596663113065448</v>
      </c>
      <c r="AG51" s="242"/>
    </row>
    <row r="52" spans="2:33">
      <c r="B52" s="232">
        <v>18</v>
      </c>
      <c r="C52" s="234"/>
      <c r="D52" s="280">
        <f t="shared" si="21"/>
        <v>0.75278143578045476</v>
      </c>
      <c r="E52" s="280">
        <f t="shared" si="21"/>
        <v>0.74475031454760976</v>
      </c>
      <c r="F52" s="280">
        <f t="shared" si="21"/>
        <v>0.73635958427109827</v>
      </c>
      <c r="G52" s="280">
        <f t="shared" si="21"/>
        <v>0.72761969031354146</v>
      </c>
      <c r="H52" s="280">
        <f t="shared" si="21"/>
        <v>0.71854339034275072</v>
      </c>
      <c r="I52" s="280">
        <f t="shared" si="21"/>
        <v>0.70914568471812722</v>
      </c>
      <c r="J52" s="280">
        <f t="shared" si="21"/>
        <v>0.69944371357023394</v>
      </c>
      <c r="K52" s="280">
        <f t="shared" si="21"/>
        <v>0.68945662182745826</v>
      </c>
      <c r="L52" s="280">
        <f t="shared" si="21"/>
        <v>0.67920539430872962</v>
      </c>
      <c r="M52" s="280">
        <f t="shared" si="21"/>
        <v>0.66871266381456562</v>
      </c>
      <c r="N52" s="280">
        <f t="shared" si="22"/>
        <v>0.65800249587521131</v>
      </c>
      <c r="O52" s="280">
        <f t="shared" si="22"/>
        <v>0.64710015442304403</v>
      </c>
      <c r="P52" s="280">
        <f t="shared" si="22"/>
        <v>0.63603185312131649</v>
      </c>
      <c r="Q52" s="280">
        <f t="shared" si="22"/>
        <v>0.62482449738455859</v>
      </c>
      <c r="R52" s="280">
        <f t="shared" si="22"/>
        <v>0.61350542225782168</v>
      </c>
      <c r="S52" s="280">
        <f t="shared" si="22"/>
        <v>0.60210213128146894</v>
      </c>
      <c r="T52" s="280">
        <f t="shared" si="22"/>
        <v>0.5906420412629757</v>
      </c>
      <c r="U52" s="280">
        <f t="shared" si="22"/>
        <v>0.57915223752262091</v>
      </c>
      <c r="V52" s="280">
        <f t="shared" si="22"/>
        <v>0.56765924369783149</v>
      </c>
      <c r="W52" s="280">
        <f t="shared" si="22"/>
        <v>0.5561888096079699</v>
      </c>
      <c r="X52" s="280">
        <f t="shared" si="22"/>
        <v>0.54476572002711998</v>
      </c>
      <c r="Y52" s="280">
        <f t="shared" si="22"/>
        <v>0.53341362651757229</v>
      </c>
      <c r="Z52" s="280">
        <f t="shared" si="22"/>
        <v>0.52215490377105933</v>
      </c>
      <c r="AA52" s="280">
        <f t="shared" ref="AA52:AF56" si="23">$F$34+(POWER($B52,$E$34)/((POWER($B52,$E$34)+POWER(AA$2,$E$34)))*$G$34)</f>
        <v>0.51101053121590323</v>
      </c>
      <c r="AB52" s="280">
        <f t="shared" si="23"/>
        <v>0.5</v>
      </c>
      <c r="AC52" s="280">
        <f t="shared" si="23"/>
        <v>0.48914124487144517</v>
      </c>
      <c r="AD52" s="280">
        <f t="shared" si="23"/>
        <v>0.47845059996515027</v>
      </c>
      <c r="AE52" s="280">
        <f t="shared" si="23"/>
        <v>0.46794277707446374</v>
      </c>
      <c r="AF52" s="280">
        <f t="shared" si="23"/>
        <v>0.4576308646462719</v>
      </c>
      <c r="AG52" s="242"/>
    </row>
    <row r="53" spans="2:33">
      <c r="B53" s="232">
        <v>18.5</v>
      </c>
      <c r="C53" s="234"/>
      <c r="D53" s="280">
        <f t="shared" si="21"/>
        <v>0.76265134524434308</v>
      </c>
      <c r="E53" s="280">
        <f t="shared" si="21"/>
        <v>0.75530748232473943</v>
      </c>
      <c r="F53" s="280">
        <f t="shared" si="21"/>
        <v>0.74761350341286659</v>
      </c>
      <c r="G53" s="280">
        <f t="shared" si="21"/>
        <v>0.73957613385212562</v>
      </c>
      <c r="H53" s="280">
        <f t="shared" si="21"/>
        <v>0.73120420793741669</v>
      </c>
      <c r="I53" s="280">
        <f t="shared" si="21"/>
        <v>0.7225086482387989</v>
      </c>
      <c r="J53" s="280">
        <f t="shared" si="21"/>
        <v>0.7135024164125654</v>
      </c>
      <c r="K53" s="280">
        <f t="shared" si="21"/>
        <v>0.70420043552635603</v>
      </c>
      <c r="L53" s="280">
        <f t="shared" si="21"/>
        <v>0.69461948462881462</v>
      </c>
      <c r="M53" s="280">
        <f t="shared" si="21"/>
        <v>0.68477806699844102</v>
      </c>
      <c r="N53" s="280">
        <f t="shared" si="22"/>
        <v>0.6746962541827598</v>
      </c>
      <c r="O53" s="280">
        <f t="shared" si="22"/>
        <v>0.6643955085601686</v>
      </c>
      <c r="P53" s="280">
        <f t="shared" si="22"/>
        <v>0.65389848769749159</v>
      </c>
      <c r="Q53" s="280">
        <f t="shared" si="22"/>
        <v>0.64322883421448196</v>
      </c>
      <c r="R53" s="280">
        <f t="shared" si="22"/>
        <v>0.63241095518537904</v>
      </c>
      <c r="S53" s="280">
        <f t="shared" si="22"/>
        <v>0.62146979529602031</v>
      </c>
      <c r="T53" s="280">
        <f t="shared" si="22"/>
        <v>0.61043060802820881</v>
      </c>
      <c r="U53" s="280">
        <f t="shared" si="22"/>
        <v>0.59931872906285633</v>
      </c>
      <c r="V53" s="280">
        <f t="shared" si="22"/>
        <v>0.58815935588778823</v>
      </c>
      <c r="W53" s="280">
        <f t="shared" si="22"/>
        <v>0.57697733727848255</v>
      </c>
      <c r="X53" s="280">
        <f t="shared" si="22"/>
        <v>0.56579697590826061</v>
      </c>
      <c r="Y53" s="280">
        <f t="shared" si="22"/>
        <v>0.5546418468596368</v>
      </c>
      <c r="Z53" s="280">
        <f t="shared" si="22"/>
        <v>0.54353463427348292</v>
      </c>
      <c r="AA53" s="280">
        <f t="shared" si="23"/>
        <v>0.53249698781071819</v>
      </c>
      <c r="AB53" s="280">
        <f t="shared" si="23"/>
        <v>0.52154940003484973</v>
      </c>
      <c r="AC53" s="280">
        <f t="shared" si="23"/>
        <v>0.51071110527341612</v>
      </c>
      <c r="AD53" s="280">
        <f t="shared" si="23"/>
        <v>0.5</v>
      </c>
      <c r="AE53" s="280">
        <f t="shared" si="23"/>
        <v>0.48943258431041103</v>
      </c>
      <c r="AF53" s="280">
        <f t="shared" si="23"/>
        <v>0.47902392365760849</v>
      </c>
      <c r="AG53" s="242"/>
    </row>
    <row r="54" spans="2:33">
      <c r="B54" s="232">
        <v>19</v>
      </c>
      <c r="C54" s="234"/>
      <c r="D54" s="280">
        <f t="shared" si="21"/>
        <v>0.77142038468457652</v>
      </c>
      <c r="E54" s="280">
        <f t="shared" si="21"/>
        <v>0.76471114535212437</v>
      </c>
      <c r="F54" s="280">
        <f t="shared" si="21"/>
        <v>0.75766468190178171</v>
      </c>
      <c r="G54" s="280">
        <f t="shared" si="21"/>
        <v>0.75028468006977933</v>
      </c>
      <c r="H54" s="280">
        <f t="shared" si="21"/>
        <v>0.74257670783027918</v>
      </c>
      <c r="I54" s="280">
        <f t="shared" si="21"/>
        <v>0.73454822950070808</v>
      </c>
      <c r="J54" s="280">
        <f t="shared" si="21"/>
        <v>0.72620859641237934</v>
      </c>
      <c r="K54" s="280">
        <f t="shared" si="21"/>
        <v>0.71756901341609836</v>
      </c>
      <c r="L54" s="280">
        <f t="shared" si="21"/>
        <v>0.70864248102631466</v>
      </c>
      <c r="M54" s="280">
        <f t="shared" si="21"/>
        <v>0.69944371357023394</v>
      </c>
      <c r="N54" s="280">
        <f t="shared" si="22"/>
        <v>0.68998903428021219</v>
      </c>
      <c r="O54" s="280">
        <f t="shared" si="22"/>
        <v>0.68029624882743411</v>
      </c>
      <c r="P54" s="280">
        <f t="shared" si="22"/>
        <v>0.67038449932097899</v>
      </c>
      <c r="Q54" s="280">
        <f t="shared" si="22"/>
        <v>0.66027410126846142</v>
      </c>
      <c r="R54" s="280">
        <f t="shared" si="22"/>
        <v>0.64998636639426355</v>
      </c>
      <c r="S54" s="280">
        <f t="shared" si="22"/>
        <v>0.63954341452390628</v>
      </c>
      <c r="T54" s="280">
        <f t="shared" si="22"/>
        <v>0.62896797795723181</v>
      </c>
      <c r="U54" s="280">
        <f t="shared" si="22"/>
        <v>0.6182832018623643</v>
      </c>
      <c r="V54" s="280">
        <f t="shared" si="22"/>
        <v>0.60751244422518635</v>
      </c>
      <c r="W54" s="280">
        <f t="shared" si="22"/>
        <v>0.59667907878851945</v>
      </c>
      <c r="X54" s="280">
        <f t="shared" si="22"/>
        <v>0.58580630421892621</v>
      </c>
      <c r="Y54" s="280">
        <f t="shared" si="22"/>
        <v>0.57491696245857027</v>
      </c>
      <c r="Z54" s="280">
        <f t="shared" si="22"/>
        <v>0.56403336886934541</v>
      </c>
      <c r="AA54" s="280">
        <f t="shared" si="23"/>
        <v>0.55317715637318099</v>
      </c>
      <c r="AB54" s="280">
        <f t="shared" si="23"/>
        <v>0.5423691353537281</v>
      </c>
      <c r="AC54" s="280">
        <f t="shared" si="23"/>
        <v>0.53162917062833792</v>
      </c>
      <c r="AD54" s="280">
        <f t="shared" si="23"/>
        <v>0.52097607634239151</v>
      </c>
      <c r="AE54" s="280">
        <f t="shared" si="23"/>
        <v>0.51042752919608181</v>
      </c>
      <c r="AF54" s="280">
        <f t="shared" si="23"/>
        <v>0.5</v>
      </c>
      <c r="AG54" s="242"/>
    </row>
    <row r="55" spans="2:33">
      <c r="B55" s="232">
        <v>19.5</v>
      </c>
      <c r="C55" s="234"/>
      <c r="D55" s="280">
        <f t="shared" si="21"/>
        <v>0.77921240869049235</v>
      </c>
      <c r="E55" s="280">
        <f t="shared" si="21"/>
        <v>0.77308611927389637</v>
      </c>
      <c r="F55" s="280">
        <f t="shared" si="21"/>
        <v>0.76663775207579066</v>
      </c>
      <c r="G55" s="280">
        <f t="shared" si="21"/>
        <v>0.75986855714692736</v>
      </c>
      <c r="H55" s="280">
        <f t="shared" si="21"/>
        <v>0.75278143578045476</v>
      </c>
      <c r="I55" s="280">
        <f t="shared" si="21"/>
        <v>0.74538097791983882</v>
      </c>
      <c r="J55" s="280">
        <f t="shared" si="21"/>
        <v>0.73767348094802643</v>
      </c>
      <c r="K55" s="280">
        <f t="shared" si="21"/>
        <v>0.72966694872209248</v>
      </c>
      <c r="L55" s="280">
        <f t="shared" si="21"/>
        <v>0.72137107009815493</v>
      </c>
      <c r="M55" s="280">
        <f t="shared" si="21"/>
        <v>0.71279717661318065</v>
      </c>
      <c r="N55" s="280">
        <f t="shared" si="22"/>
        <v>0.70395817944060302</v>
      </c>
      <c r="O55" s="280">
        <f t="shared" si="22"/>
        <v>0.69486848620056929</v>
      </c>
      <c r="P55" s="280">
        <f t="shared" si="22"/>
        <v>0.68554389866709031</v>
      </c>
      <c r="Q55" s="280">
        <f t="shared" si="22"/>
        <v>0.6760014928567637</v>
      </c>
      <c r="R55" s="280">
        <f t="shared" si="22"/>
        <v>0.66625948339086616</v>
      </c>
      <c r="S55" s="280">
        <f t="shared" si="22"/>
        <v>0.65633707437946898</v>
      </c>
      <c r="T55" s="280">
        <f t="shared" si="22"/>
        <v>0.64625429936982215</v>
      </c>
      <c r="U55" s="280">
        <f t="shared" si="22"/>
        <v>0.63603185312131638</v>
      </c>
      <c r="V55" s="280">
        <f t="shared" si="22"/>
        <v>0.62569091810882882</v>
      </c>
      <c r="W55" s="280">
        <f t="shared" si="22"/>
        <v>0.6152529887116821</v>
      </c>
      <c r="X55" s="280">
        <f t="shared" si="22"/>
        <v>0.60473969601702215</v>
      </c>
      <c r="Y55" s="280">
        <f t="shared" si="22"/>
        <v>0.59417263605783677</v>
      </c>
      <c r="Z55" s="280">
        <f t="shared" si="22"/>
        <v>0.58357320412404001</v>
      </c>
      <c r="AA55" s="280">
        <f t="shared" si="23"/>
        <v>0.57296243753972942</v>
      </c>
      <c r="AB55" s="280">
        <f t="shared" si="23"/>
        <v>0.56236086900258342</v>
      </c>
      <c r="AC55" s="280">
        <f t="shared" si="23"/>
        <v>0.55178839224556175</v>
      </c>
      <c r="AD55" s="280">
        <f t="shared" si="23"/>
        <v>0.54126414142033541</v>
      </c>
      <c r="AE55" s="280">
        <f t="shared" si="23"/>
        <v>0.53080638522989598</v>
      </c>
      <c r="AF55" s="280">
        <f t="shared" si="23"/>
        <v>0.52043243646754977</v>
      </c>
      <c r="AG55" s="242"/>
    </row>
    <row r="56" spans="2:33" ht="13.8" thickBot="1">
      <c r="B56" s="232">
        <v>20</v>
      </c>
      <c r="C56" s="234"/>
      <c r="D56" s="281">
        <f t="shared" si="21"/>
        <v>0.78613940975150765</v>
      </c>
      <c r="E56" s="281">
        <f t="shared" si="21"/>
        <v>0.78054644211456226</v>
      </c>
      <c r="F56" s="281">
        <f t="shared" si="21"/>
        <v>0.77464789967998093</v>
      </c>
      <c r="G56" s="281">
        <f t="shared" si="21"/>
        <v>0.76844311830872958</v>
      </c>
      <c r="H56" s="281">
        <f t="shared" si="21"/>
        <v>0.76193286230392443</v>
      </c>
      <c r="I56" s="281">
        <f t="shared" si="21"/>
        <v>0.75511937622433078</v>
      </c>
      <c r="J56" s="281">
        <f t="shared" si="21"/>
        <v>0.7480064223474564</v>
      </c>
      <c r="K56" s="281">
        <f t="shared" si="21"/>
        <v>0.74059930248455819</v>
      </c>
      <c r="L56" s="281">
        <f t="shared" si="21"/>
        <v>0.73290486310452674</v>
      </c>
      <c r="M56" s="281">
        <f t="shared" si="21"/>
        <v>0.72493148302161237</v>
      </c>
      <c r="N56" s="281">
        <f t="shared" si="22"/>
        <v>0.71668904323592331</v>
      </c>
      <c r="O56" s="281">
        <f t="shared" si="22"/>
        <v>0.70818887887616333</v>
      </c>
      <c r="P56" s="281">
        <f t="shared" si="22"/>
        <v>0.69944371357023372</v>
      </c>
      <c r="Q56" s="281">
        <f t="shared" si="22"/>
        <v>0.69046757694888461</v>
      </c>
      <c r="R56" s="281">
        <f t="shared" si="22"/>
        <v>0.68127570635778611</v>
      </c>
      <c r="S56" s="281">
        <f t="shared" si="22"/>
        <v>0.67188443420136967</v>
      </c>
      <c r="T56" s="281">
        <f t="shared" si="22"/>
        <v>0.66231106265537398</v>
      </c>
      <c r="U56" s="281">
        <f t="shared" si="22"/>
        <v>0.6525737277532786</v>
      </c>
      <c r="V56" s="281">
        <f t="shared" si="22"/>
        <v>0.64269125506555924</v>
      </c>
      <c r="W56" s="281">
        <f t="shared" si="22"/>
        <v>0.63268300934305755</v>
      </c>
      <c r="X56" s="281">
        <f t="shared" si="22"/>
        <v>0.62256874058241618</v>
      </c>
      <c r="Y56" s="281">
        <f t="shared" si="22"/>
        <v>0.61236842899093102</v>
      </c>
      <c r="Z56" s="281">
        <f t="shared" si="22"/>
        <v>0.60210213128146906</v>
      </c>
      <c r="AA56" s="281">
        <f t="shared" si="23"/>
        <v>0.59178983061916768</v>
      </c>
      <c r="AB56" s="281">
        <f t="shared" si="23"/>
        <v>0.58145129237654258</v>
      </c>
      <c r="AC56" s="281">
        <f t="shared" si="23"/>
        <v>0.57110592764046886</v>
      </c>
      <c r="AD56" s="281">
        <f t="shared" si="23"/>
        <v>0.56077266616273636</v>
      </c>
      <c r="AE56" s="281">
        <f t="shared" si="23"/>
        <v>0.55046984016588552</v>
      </c>
      <c r="AF56" s="281">
        <f t="shared" si="23"/>
        <v>0.54021508011854535</v>
      </c>
      <c r="AG56" s="242"/>
    </row>
    <row r="57" spans="2:33" ht="13.8" thickBot="1">
      <c r="B57" s="245"/>
      <c r="C57" s="246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8"/>
    </row>
  </sheetData>
  <conditionalFormatting sqref="D36:AF5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AF3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1:CQ79"/>
  <sheetViews>
    <sheetView zoomScale="55" zoomScaleNormal="5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79" width="7.21875" style="236" customWidth="1"/>
    <col min="80" max="80" width="3.5546875" style="236" customWidth="1"/>
    <col min="81" max="81" width="3.44140625" style="236" customWidth="1"/>
    <col min="82" max="82" width="8.88671875" style="236"/>
    <col min="83" max="85" width="8.88671875" style="191"/>
    <col min="86" max="88" width="8.88671875" style="236"/>
    <col min="89" max="89" width="6.5546875" style="236" bestFit="1" customWidth="1"/>
    <col min="90" max="90" width="11" style="236" bestFit="1" customWidth="1"/>
    <col min="91" max="91" width="12.5546875" style="236" bestFit="1" customWidth="1"/>
    <col min="92" max="92" width="9.21875" style="236" bestFit="1" customWidth="1"/>
    <col min="93" max="93" width="12.109375" style="236" bestFit="1" customWidth="1"/>
    <col min="94" max="94" width="15" style="236" bestFit="1" customWidth="1"/>
    <col min="95" max="95" width="3.77734375" style="236" bestFit="1" customWidth="1"/>
    <col min="96" max="16384" width="8.88671875" style="236"/>
  </cols>
  <sheetData>
    <row r="1" spans="2:95" ht="13.8" thickBot="1">
      <c r="B1" s="286" t="s">
        <v>606</v>
      </c>
      <c r="D1" s="238" t="s">
        <v>603</v>
      </c>
      <c r="F1" s="269">
        <v>3</v>
      </c>
      <c r="G1" s="236">
        <v>1.35</v>
      </c>
      <c r="I1" s="236" t="s">
        <v>607</v>
      </c>
      <c r="AL1" s="236" t="s">
        <v>607</v>
      </c>
      <c r="CK1" s="238" t="s">
        <v>577</v>
      </c>
    </row>
    <row r="2" spans="2:95" ht="36" customHeight="1" thickBot="1">
      <c r="B2" s="275" t="s">
        <v>605</v>
      </c>
      <c r="C2" s="233"/>
      <c r="D2" s="270">
        <v>0.25</v>
      </c>
      <c r="E2" s="270">
        <f>D2+0.25</f>
        <v>0.5</v>
      </c>
      <c r="F2" s="270">
        <f t="shared" ref="F2:AP2" si="0">E2+0.25</f>
        <v>0.75</v>
      </c>
      <c r="G2" s="270">
        <f t="shared" si="0"/>
        <v>1</v>
      </c>
      <c r="H2" s="270">
        <f t="shared" si="0"/>
        <v>1.25</v>
      </c>
      <c r="I2" s="270">
        <f t="shared" si="0"/>
        <v>1.5</v>
      </c>
      <c r="J2" s="270">
        <f t="shared" si="0"/>
        <v>1.75</v>
      </c>
      <c r="K2" s="270">
        <f t="shared" si="0"/>
        <v>2</v>
      </c>
      <c r="L2" s="270">
        <f t="shared" si="0"/>
        <v>2.25</v>
      </c>
      <c r="M2" s="270">
        <f t="shared" si="0"/>
        <v>2.5</v>
      </c>
      <c r="N2" s="270">
        <f t="shared" si="0"/>
        <v>2.75</v>
      </c>
      <c r="O2" s="270">
        <f t="shared" si="0"/>
        <v>3</v>
      </c>
      <c r="P2" s="270">
        <f t="shared" si="0"/>
        <v>3.25</v>
      </c>
      <c r="Q2" s="270">
        <f t="shared" si="0"/>
        <v>3.5</v>
      </c>
      <c r="R2" s="270">
        <f t="shared" si="0"/>
        <v>3.75</v>
      </c>
      <c r="S2" s="270">
        <f t="shared" si="0"/>
        <v>4</v>
      </c>
      <c r="T2" s="270">
        <f t="shared" si="0"/>
        <v>4.25</v>
      </c>
      <c r="U2" s="270">
        <f t="shared" si="0"/>
        <v>4.5</v>
      </c>
      <c r="V2" s="270">
        <f t="shared" si="0"/>
        <v>4.75</v>
      </c>
      <c r="W2" s="270">
        <f t="shared" si="0"/>
        <v>5</v>
      </c>
      <c r="X2" s="270">
        <f t="shared" si="0"/>
        <v>5.25</v>
      </c>
      <c r="Y2" s="270">
        <f t="shared" si="0"/>
        <v>5.5</v>
      </c>
      <c r="Z2" s="270">
        <f t="shared" si="0"/>
        <v>5.75</v>
      </c>
      <c r="AA2" s="270">
        <f t="shared" si="0"/>
        <v>6</v>
      </c>
      <c r="AB2" s="270">
        <f t="shared" si="0"/>
        <v>6.25</v>
      </c>
      <c r="AC2" s="270">
        <f t="shared" si="0"/>
        <v>6.5</v>
      </c>
      <c r="AD2" s="270">
        <f t="shared" si="0"/>
        <v>6.75</v>
      </c>
      <c r="AE2" s="270">
        <f t="shared" si="0"/>
        <v>7</v>
      </c>
      <c r="AF2" s="270">
        <f t="shared" si="0"/>
        <v>7.25</v>
      </c>
      <c r="AG2" s="270">
        <f t="shared" si="0"/>
        <v>7.5</v>
      </c>
      <c r="AH2" s="270">
        <f t="shared" si="0"/>
        <v>7.75</v>
      </c>
      <c r="AI2" s="270">
        <f t="shared" si="0"/>
        <v>8</v>
      </c>
      <c r="AJ2" s="270">
        <f t="shared" si="0"/>
        <v>8.25</v>
      </c>
      <c r="AK2" s="270">
        <f t="shared" si="0"/>
        <v>8.5</v>
      </c>
      <c r="AL2" s="270">
        <f t="shared" si="0"/>
        <v>8.75</v>
      </c>
      <c r="AM2" s="270">
        <f t="shared" si="0"/>
        <v>9</v>
      </c>
      <c r="AN2" s="270">
        <f t="shared" si="0"/>
        <v>9.25</v>
      </c>
      <c r="AO2" s="270">
        <f t="shared" si="0"/>
        <v>9.5</v>
      </c>
      <c r="AP2" s="270">
        <f t="shared" si="0"/>
        <v>9.75</v>
      </c>
      <c r="AQ2" s="270">
        <f t="shared" ref="AQ2:BT2" si="1">AP2+0.25</f>
        <v>10</v>
      </c>
      <c r="AR2" s="270">
        <f t="shared" si="1"/>
        <v>10.25</v>
      </c>
      <c r="AS2" s="270">
        <f t="shared" si="1"/>
        <v>10.5</v>
      </c>
      <c r="AT2" s="270">
        <f t="shared" si="1"/>
        <v>10.75</v>
      </c>
      <c r="AU2" s="270">
        <f t="shared" si="1"/>
        <v>11</v>
      </c>
      <c r="AV2" s="270">
        <f t="shared" si="1"/>
        <v>11.25</v>
      </c>
      <c r="AW2" s="270">
        <f t="shared" si="1"/>
        <v>11.5</v>
      </c>
      <c r="AX2" s="270">
        <f t="shared" si="1"/>
        <v>11.75</v>
      </c>
      <c r="AY2" s="270">
        <f t="shared" si="1"/>
        <v>12</v>
      </c>
      <c r="AZ2" s="270">
        <f t="shared" si="1"/>
        <v>12.25</v>
      </c>
      <c r="BA2" s="270">
        <f t="shared" si="1"/>
        <v>12.5</v>
      </c>
      <c r="BB2" s="270">
        <f t="shared" si="1"/>
        <v>12.75</v>
      </c>
      <c r="BC2" s="270">
        <f t="shared" si="1"/>
        <v>13</v>
      </c>
      <c r="BD2" s="270">
        <f t="shared" si="1"/>
        <v>13.25</v>
      </c>
      <c r="BE2" s="270">
        <f t="shared" si="1"/>
        <v>13.5</v>
      </c>
      <c r="BF2" s="270">
        <f t="shared" si="1"/>
        <v>13.75</v>
      </c>
      <c r="BG2" s="270">
        <f t="shared" si="1"/>
        <v>14</v>
      </c>
      <c r="BH2" s="270">
        <f t="shared" si="1"/>
        <v>14.25</v>
      </c>
      <c r="BI2" s="270">
        <f t="shared" si="1"/>
        <v>14.5</v>
      </c>
      <c r="BJ2" s="270">
        <f t="shared" si="1"/>
        <v>14.75</v>
      </c>
      <c r="BK2" s="270">
        <f t="shared" si="1"/>
        <v>15</v>
      </c>
      <c r="BL2" s="270">
        <f t="shared" si="1"/>
        <v>15.25</v>
      </c>
      <c r="BM2" s="270">
        <f t="shared" si="1"/>
        <v>15.5</v>
      </c>
      <c r="BN2" s="270">
        <f t="shared" si="1"/>
        <v>15.75</v>
      </c>
      <c r="BO2" s="270">
        <f t="shared" si="1"/>
        <v>16</v>
      </c>
      <c r="BP2" s="270">
        <f t="shared" si="1"/>
        <v>16.25</v>
      </c>
      <c r="BQ2" s="270">
        <f t="shared" si="1"/>
        <v>16.5</v>
      </c>
      <c r="BR2" s="270">
        <f t="shared" si="1"/>
        <v>16.75</v>
      </c>
      <c r="BS2" s="270">
        <f t="shared" si="1"/>
        <v>17</v>
      </c>
      <c r="BT2" s="270">
        <f t="shared" si="1"/>
        <v>17.25</v>
      </c>
      <c r="BU2" s="270">
        <f t="shared" ref="BU2:CA2" si="2">BT2+0.25</f>
        <v>17.5</v>
      </c>
      <c r="BV2" s="270">
        <f t="shared" si="2"/>
        <v>17.75</v>
      </c>
      <c r="BW2" s="270">
        <f t="shared" si="2"/>
        <v>18</v>
      </c>
      <c r="BX2" s="270">
        <f t="shared" si="2"/>
        <v>18.25</v>
      </c>
      <c r="BY2" s="270">
        <f t="shared" si="2"/>
        <v>18.5</v>
      </c>
      <c r="BZ2" s="270">
        <f t="shared" si="2"/>
        <v>18.75</v>
      </c>
      <c r="CA2" s="270">
        <f t="shared" si="2"/>
        <v>19</v>
      </c>
      <c r="CB2" s="241"/>
      <c r="CE2" s="239" t="s">
        <v>180</v>
      </c>
      <c r="CF2" s="239" t="s">
        <v>582</v>
      </c>
      <c r="CG2" s="239" t="s">
        <v>583</v>
      </c>
      <c r="CH2" s="238" t="s">
        <v>598</v>
      </c>
      <c r="CI2" s="238" t="s">
        <v>599</v>
      </c>
      <c r="CK2" s="238" t="s">
        <v>576</v>
      </c>
      <c r="CL2" s="236" t="str">
        <f>CONCATENATE("[th]",CE2,"[/th]")</f>
        <v>[th]Rutin[/th]</v>
      </c>
      <c r="CM2" s="236" t="str">
        <f t="shared" ref="CM2:CP2" si="3">CONCATENATE("[th]",CF2,"[/th]")</f>
        <v>[th]Classic[/th]</v>
      </c>
      <c r="CN2" s="236" t="str">
        <f t="shared" si="3"/>
        <v>[th]HO[/th]</v>
      </c>
      <c r="CO2" s="236" t="str">
        <f t="shared" si="3"/>
        <v>[th]Additiv[/th]</v>
      </c>
      <c r="CP2" s="236" t="str">
        <f t="shared" si="3"/>
        <v>[th]Add @ 18[/th]</v>
      </c>
      <c r="CQ2" s="238" t="s">
        <v>578</v>
      </c>
    </row>
    <row r="3" spans="2:95">
      <c r="B3" s="274">
        <v>0.25</v>
      </c>
      <c r="C3" s="234"/>
      <c r="D3" s="271">
        <f t="shared" ref="D3:M12" si="4">(POWER($B3,$F$1)/(POWER($B3,$F$1)+($G$1*POWER(D$2,$F$1))))</f>
        <v>0.42553191489361702</v>
      </c>
      <c r="E3" s="287">
        <f t="shared" si="4"/>
        <v>8.4745762711864403E-2</v>
      </c>
      <c r="F3" s="287">
        <f t="shared" si="4"/>
        <v>2.6702269692923896E-2</v>
      </c>
      <c r="G3" s="287">
        <f t="shared" si="4"/>
        <v>1.1441647597254004E-2</v>
      </c>
      <c r="H3" s="287">
        <f t="shared" si="4"/>
        <v>5.8910162002945507E-3</v>
      </c>
      <c r="I3" s="287">
        <f t="shared" si="4"/>
        <v>3.4176349965823649E-3</v>
      </c>
      <c r="J3" s="287">
        <f t="shared" si="4"/>
        <v>2.1549402004094388E-3</v>
      </c>
      <c r="K3" s="287">
        <f t="shared" si="4"/>
        <v>1.4446691707598958E-3</v>
      </c>
      <c r="L3" s="287">
        <f t="shared" si="4"/>
        <v>1.0150738466223417E-3</v>
      </c>
      <c r="M3" s="287">
        <f t="shared" si="4"/>
        <v>7.4019245003700959E-4</v>
      </c>
      <c r="N3" s="287">
        <f t="shared" ref="N3:W12" si="5">(POWER($B3,$F$1)/(POWER($B3,$F$1)+($G$1*POWER(N$2,$F$1))))</f>
        <v>5.5621992936006888E-4</v>
      </c>
      <c r="O3" s="287">
        <f t="shared" si="5"/>
        <v>4.2848573142514353E-4</v>
      </c>
      <c r="P3" s="287">
        <f t="shared" si="5"/>
        <v>3.3704646185476664E-4</v>
      </c>
      <c r="Q3" s="287">
        <f t="shared" si="5"/>
        <v>2.6987639661035247E-4</v>
      </c>
      <c r="R3" s="287">
        <f t="shared" si="5"/>
        <v>2.1943057765099567E-4</v>
      </c>
      <c r="S3" s="287">
        <f t="shared" si="5"/>
        <v>1.8081220844031387E-4</v>
      </c>
      <c r="T3" s="287">
        <f t="shared" si="5"/>
        <v>1.5074884488697606E-4</v>
      </c>
      <c r="U3" s="287">
        <f t="shared" si="5"/>
        <v>1.2699702826953849E-4</v>
      </c>
      <c r="V3" s="287">
        <f t="shared" si="5"/>
        <v>1.0798378083611839E-4</v>
      </c>
      <c r="W3" s="287">
        <f t="shared" si="5"/>
        <v>9.2584019998148326E-5</v>
      </c>
      <c r="X3" s="287">
        <f t="shared" ref="X3:AG12" si="6">(POWER($B3,$F$1)/(POWER($B3,$F$1)+($G$1*POWER(X$2,$F$1))))</f>
        <v>7.99785657443805E-5</v>
      </c>
      <c r="Y3" s="287">
        <f t="shared" si="6"/>
        <v>6.9561346151170709E-5</v>
      </c>
      <c r="Z3" s="287">
        <f t="shared" si="6"/>
        <v>6.0877426345923796E-5</v>
      </c>
      <c r="AA3" s="287">
        <f t="shared" si="6"/>
        <v>5.3580805212340725E-5</v>
      </c>
      <c r="AB3" s="287">
        <f t="shared" si="6"/>
        <v>4.7405160051671627E-5</v>
      </c>
      <c r="AC3" s="287">
        <f t="shared" si="6"/>
        <v>4.2143236431985026E-5</v>
      </c>
      <c r="AD3" s="287">
        <f t="shared" si="6"/>
        <v>3.7632112234011522E-5</v>
      </c>
      <c r="AE3" s="287">
        <f t="shared" si="6"/>
        <v>3.3742517596722925E-5</v>
      </c>
      <c r="AF3" s="287">
        <f t="shared" si="6"/>
        <v>3.0370996912788163E-5</v>
      </c>
      <c r="AG3" s="287">
        <f t="shared" si="6"/>
        <v>2.7434089599736632E-5</v>
      </c>
      <c r="AH3" s="287">
        <f t="shared" ref="AH3:AQ12" si="7">(POWER($B3,$F$1)/(POWER($B3,$F$1)+($G$1*POWER(AH$2,$F$1))))</f>
        <v>2.4863963042205331E-5</v>
      </c>
      <c r="AI3" s="287">
        <f t="shared" si="7"/>
        <v>2.2605102423719081E-5</v>
      </c>
      <c r="AJ3" s="287">
        <f t="shared" si="7"/>
        <v>2.0611778188410202E-5</v>
      </c>
      <c r="AK3" s="287">
        <f t="shared" si="7"/>
        <v>1.884609150908193E-5</v>
      </c>
      <c r="AL3" s="287">
        <f t="shared" si="7"/>
        <v>1.7276453489627647E-5</v>
      </c>
      <c r="AM3" s="287">
        <f t="shared" si="7"/>
        <v>1.5876392756554566E-5</v>
      </c>
      <c r="AN3" s="287">
        <f t="shared" si="7"/>
        <v>1.4623613772811923E-5</v>
      </c>
      <c r="AO3" s="287">
        <f t="shared" si="7"/>
        <v>1.349924809188128E-5</v>
      </c>
      <c r="AP3" s="287">
        <f t="shared" si="7"/>
        <v>1.2487255195166432E-5</v>
      </c>
      <c r="AQ3" s="287">
        <f t="shared" si="7"/>
        <v>1.1573940116433837E-5</v>
      </c>
      <c r="AR3" s="287">
        <f t="shared" ref="AR3:BA12" si="8">(POWER($B3,$F$1)/(POWER($B3,$F$1)+($G$1*POWER(AR$2,$F$1))))</f>
        <v>1.0747562855777917E-5</v>
      </c>
      <c r="AS3" s="287">
        <f t="shared" si="8"/>
        <v>9.9980203919623918E-6</v>
      </c>
      <c r="AT3" s="287">
        <f t="shared" si="8"/>
        <v>9.3165864586210798E-6</v>
      </c>
      <c r="AU3" s="287">
        <f t="shared" si="8"/>
        <v>8.6956975427697871E-6</v>
      </c>
      <c r="AV3" s="287">
        <f t="shared" si="8"/>
        <v>8.1287760705090031E-6</v>
      </c>
      <c r="AW3" s="287">
        <f t="shared" si="8"/>
        <v>7.6100836652598152E-6</v>
      </c>
      <c r="AX3" s="287">
        <f t="shared" si="8"/>
        <v>7.1345988446944085E-6</v>
      </c>
      <c r="AY3" s="287">
        <f t="shared" si="8"/>
        <v>6.6979146712462539E-6</v>
      </c>
      <c r="AZ3" s="287">
        <f t="shared" si="8"/>
        <v>6.2961527673322845E-6</v>
      </c>
      <c r="BA3" s="287">
        <f t="shared" si="8"/>
        <v>5.9258908095359435E-6</v>
      </c>
      <c r="BB3" s="287">
        <f t="shared" ref="BB3:BK12" si="9">(POWER($B3,$F$1)/(POWER($B3,$F$1)+($G$1*POWER(BB$2,$F$1))))</f>
        <v>5.5841011705113668E-6</v>
      </c>
      <c r="BC3" s="287">
        <f t="shared" si="9"/>
        <v>5.2680988168903675E-6</v>
      </c>
      <c r="BD3" s="287">
        <f t="shared" si="9"/>
        <v>4.9754969215356672E-6</v>
      </c>
      <c r="BE3" s="287">
        <f t="shared" si="9"/>
        <v>4.7041689285878923E-6</v>
      </c>
      <c r="BF3" s="287">
        <f t="shared" si="9"/>
        <v>4.4522160348786602E-6</v>
      </c>
      <c r="BG3" s="287">
        <f t="shared" si="9"/>
        <v>4.2179392329930579E-6</v>
      </c>
      <c r="BH3" s="287">
        <f t="shared" si="9"/>
        <v>3.9998152085373657E-6</v>
      </c>
      <c r="BI3" s="287">
        <f t="shared" si="9"/>
        <v>3.7964755040011054E-6</v>
      </c>
      <c r="BJ3" s="287">
        <f t="shared" si="9"/>
        <v>3.6066884594805678E-6</v>
      </c>
      <c r="BK3" s="287">
        <f t="shared" si="9"/>
        <v>3.4293435207698189E-6</v>
      </c>
      <c r="BL3" s="287">
        <f t="shared" ref="BL3:BU12" si="10">(POWER($B3,$F$1)/(POWER($B3,$F$1)+($G$1*POWER(BL$2,$F$1))))</f>
        <v>3.2634375713367053E-6</v>
      </c>
      <c r="BM3" s="287">
        <f t="shared" si="10"/>
        <v>3.1080629991937682E-6</v>
      </c>
      <c r="BN3" s="287">
        <f t="shared" si="10"/>
        <v>2.9623972548057119E-6</v>
      </c>
      <c r="BO3" s="287">
        <f t="shared" si="10"/>
        <v>2.8256936936733283E-6</v>
      </c>
      <c r="BP3" s="287">
        <f t="shared" si="10"/>
        <v>2.6972735284855685E-6</v>
      </c>
      <c r="BQ3" s="287">
        <f t="shared" si="10"/>
        <v>2.5765187418549797E-6</v>
      </c>
      <c r="BR3" s="287">
        <f t="shared" si="10"/>
        <v>2.4628658325514759E-6</v>
      </c>
      <c r="BS3" s="287">
        <f t="shared" si="10"/>
        <v>2.3558002865595469E-6</v>
      </c>
      <c r="BT3" s="287">
        <f t="shared" si="10"/>
        <v>2.2548516798024929E-6</v>
      </c>
      <c r="BU3" s="287">
        <f t="shared" si="10"/>
        <v>2.159589332492533E-6</v>
      </c>
      <c r="BV3" s="287">
        <f t="shared" ref="BV3:CA12" si="11">(POWER($B3,$F$1)/(POWER($B3,$F$1)+($G$1*POWER(BV$2,$F$1))))</f>
        <v>2.0696184461780716E-6</v>
      </c>
      <c r="BW3" s="287">
        <f t="shared" si="11"/>
        <v>1.9845766639980722E-6</v>
      </c>
      <c r="BX3" s="287">
        <f t="shared" si="11"/>
        <v>1.90413100268968E-6</v>
      </c>
      <c r="BY3" s="287">
        <f t="shared" si="11"/>
        <v>1.8279751117532583E-6</v>
      </c>
      <c r="BZ3" s="287">
        <f t="shared" si="11"/>
        <v>1.7558268210448135E-6</v>
      </c>
      <c r="CA3" s="289">
        <f t="shared" si="11"/>
        <v>1.6874259430939221E-6</v>
      </c>
      <c r="CB3" s="242"/>
      <c r="CE3" s="191">
        <v>1</v>
      </c>
      <c r="CF3" s="268">
        <f>(1+SQRT((CE3-1))*9/100)</f>
        <v>1</v>
      </c>
      <c r="CG3" s="268">
        <f>(1+0.07161*SQRT((CE3-1)))</f>
        <v>1</v>
      </c>
      <c r="CH3" s="236" t="str">
        <f>CONCATENATE("+",TEXT(100*(4/3*LOG(CE3)),"0,0"),"%")</f>
        <v>+0,0%</v>
      </c>
      <c r="CI3" s="268">
        <f t="shared" ref="CI3:CI4" si="12">(18+(4/3*LOG(CE3)))/18</f>
        <v>1</v>
      </c>
      <c r="CK3" s="238" t="s">
        <v>576</v>
      </c>
      <c r="CL3" s="236" t="str">
        <f>CONCATENATE("[td]",CE3,"[/td]")</f>
        <v>[td]1[/td]</v>
      </c>
      <c r="CM3" s="236" t="str">
        <f>CONCATENATE("[td]",TEXT(CF3,"0%"),"[/td]")</f>
        <v>[td]100%[/td]</v>
      </c>
      <c r="CN3" s="236" t="str">
        <f t="shared" ref="CN3:CP4" si="13">CONCATENATE("[td]",TEXT(CG3,"0%"),"[/td]")</f>
        <v>[td]100%[/td]</v>
      </c>
      <c r="CO3" s="236" t="str">
        <f>CONCATENATE("[td]",CH3,"[/td]")</f>
        <v>[td]+0,0%[/td]</v>
      </c>
      <c r="CP3" s="236" t="str">
        <f t="shared" si="13"/>
        <v>[td]100%[/td]</v>
      </c>
      <c r="CQ3" s="238" t="s">
        <v>578</v>
      </c>
    </row>
    <row r="4" spans="2:95">
      <c r="B4" s="274">
        <f>B3+0.25</f>
        <v>0.5</v>
      </c>
      <c r="C4" s="234"/>
      <c r="D4" s="272">
        <f t="shared" si="4"/>
        <v>0.85561497326203206</v>
      </c>
      <c r="E4" s="288">
        <f t="shared" si="4"/>
        <v>0.42553191489361702</v>
      </c>
      <c r="F4" s="288">
        <f t="shared" si="4"/>
        <v>0.17997750281214847</v>
      </c>
      <c r="G4" s="288">
        <f t="shared" si="4"/>
        <v>8.4745762711864403E-2</v>
      </c>
      <c r="H4" s="288">
        <f t="shared" si="4"/>
        <v>4.5261669024045263E-2</v>
      </c>
      <c r="I4" s="288">
        <f t="shared" si="4"/>
        <v>2.6702269692923896E-2</v>
      </c>
      <c r="J4" s="288">
        <f t="shared" si="4"/>
        <v>1.698333510243074E-2</v>
      </c>
      <c r="K4" s="288">
        <f t="shared" si="4"/>
        <v>1.1441647597254004E-2</v>
      </c>
      <c r="L4" s="288">
        <f t="shared" si="4"/>
        <v>8.0632968805120185E-3</v>
      </c>
      <c r="M4" s="288">
        <f t="shared" si="4"/>
        <v>5.8910162002945507E-3</v>
      </c>
      <c r="N4" s="288">
        <f t="shared" si="5"/>
        <v>4.4325013158988281E-3</v>
      </c>
      <c r="O4" s="288">
        <f t="shared" si="5"/>
        <v>3.4176349965823649E-3</v>
      </c>
      <c r="P4" s="288">
        <f t="shared" si="5"/>
        <v>2.6900250508582859E-3</v>
      </c>
      <c r="Q4" s="288">
        <f t="shared" si="5"/>
        <v>2.1549402004094388E-3</v>
      </c>
      <c r="R4" s="288">
        <f t="shared" si="5"/>
        <v>1.7527523689543736E-3</v>
      </c>
      <c r="S4" s="288">
        <f t="shared" si="5"/>
        <v>1.4446691707598958E-3</v>
      </c>
      <c r="T4" s="288">
        <f t="shared" si="5"/>
        <v>1.204719488596577E-3</v>
      </c>
      <c r="U4" s="288">
        <f t="shared" si="5"/>
        <v>1.0150738466223417E-3</v>
      </c>
      <c r="V4" s="288">
        <f t="shared" si="5"/>
        <v>8.6321775207307124E-4</v>
      </c>
      <c r="W4" s="288">
        <f t="shared" si="5"/>
        <v>7.4019245003700959E-4</v>
      </c>
      <c r="X4" s="288">
        <f t="shared" si="6"/>
        <v>6.3947051841075589E-4</v>
      </c>
      <c r="Y4" s="288">
        <f t="shared" si="6"/>
        <v>5.5621992936006888E-4</v>
      </c>
      <c r="Z4" s="288">
        <f t="shared" si="6"/>
        <v>4.8681195975282119E-4</v>
      </c>
      <c r="AA4" s="288">
        <f t="shared" si="6"/>
        <v>4.2848573142514353E-4</v>
      </c>
      <c r="AB4" s="288">
        <f t="shared" si="6"/>
        <v>3.7911547620458018E-4</v>
      </c>
      <c r="AC4" s="288">
        <f t="shared" si="6"/>
        <v>3.3704646185476664E-4</v>
      </c>
      <c r="AD4" s="288">
        <f t="shared" si="6"/>
        <v>3.0097761290892979E-4</v>
      </c>
      <c r="AE4" s="288">
        <f t="shared" si="6"/>
        <v>2.6987639661035247E-4</v>
      </c>
      <c r="AF4" s="288">
        <f t="shared" si="6"/>
        <v>2.4291633202411551E-4</v>
      </c>
      <c r="AG4" s="288">
        <f t="shared" si="6"/>
        <v>2.1943057765099567E-4</v>
      </c>
      <c r="AH4" s="288">
        <f t="shared" si="7"/>
        <v>1.9887709022929281E-4</v>
      </c>
      <c r="AI4" s="288">
        <f t="shared" si="7"/>
        <v>1.8081220844031387E-4</v>
      </c>
      <c r="AJ4" s="288">
        <f t="shared" si="7"/>
        <v>1.6487043759705458E-4</v>
      </c>
      <c r="AK4" s="288">
        <f t="shared" si="7"/>
        <v>1.5074884488697606E-4</v>
      </c>
      <c r="AL4" s="288">
        <f t="shared" si="7"/>
        <v>1.3819491529083551E-4</v>
      </c>
      <c r="AM4" s="288">
        <f t="shared" si="7"/>
        <v>1.2699702826953849E-4</v>
      </c>
      <c r="AN4" s="288">
        <f t="shared" si="7"/>
        <v>1.1697693580378873E-4</v>
      </c>
      <c r="AO4" s="288">
        <f t="shared" si="7"/>
        <v>1.0798378083611839E-4</v>
      </c>
      <c r="AP4" s="288">
        <f t="shared" si="7"/>
        <v>9.988931015818095E-5</v>
      </c>
      <c r="AQ4" s="288">
        <f t="shared" si="7"/>
        <v>9.2584019998148326E-5</v>
      </c>
      <c r="AR4" s="288">
        <f t="shared" si="8"/>
        <v>8.5974034766824985E-5</v>
      </c>
      <c r="AS4" s="288">
        <f t="shared" si="8"/>
        <v>7.99785657443805E-5</v>
      </c>
      <c r="AT4" s="288">
        <f t="shared" si="8"/>
        <v>7.4527831254084473E-5</v>
      </c>
      <c r="AU4" s="288">
        <f t="shared" si="8"/>
        <v>6.9561346151170709E-5</v>
      </c>
      <c r="AV4" s="288">
        <f t="shared" si="8"/>
        <v>6.5026508462590442E-5</v>
      </c>
      <c r="AW4" s="288">
        <f t="shared" si="8"/>
        <v>6.0877426345923796E-5</v>
      </c>
      <c r="AX4" s="288">
        <f t="shared" si="8"/>
        <v>5.7073940359872592E-5</v>
      </c>
      <c r="AY4" s="288">
        <f t="shared" si="8"/>
        <v>5.3580805212340725E-5</v>
      </c>
      <c r="AZ4" s="288">
        <f t="shared" si="8"/>
        <v>5.0367002310271427E-5</v>
      </c>
      <c r="BA4" s="288">
        <f t="shared" si="8"/>
        <v>4.7405160051671627E-5</v>
      </c>
      <c r="BB4" s="288">
        <f t="shared" si="9"/>
        <v>4.4671063229935644E-5</v>
      </c>
      <c r="BC4" s="288">
        <f t="shared" si="9"/>
        <v>4.2143236431985026E-5</v>
      </c>
      <c r="BD4" s="288">
        <f t="shared" si="9"/>
        <v>3.9802589108668283E-5</v>
      </c>
      <c r="BE4" s="288">
        <f t="shared" si="9"/>
        <v>3.7632112234011522E-5</v>
      </c>
      <c r="BF4" s="288">
        <f t="shared" si="9"/>
        <v>3.5616618268876524E-5</v>
      </c>
      <c r="BG4" s="288">
        <f t="shared" si="9"/>
        <v>3.3742517596722925E-5</v>
      </c>
      <c r="BH4" s="288">
        <f t="shared" si="9"/>
        <v>3.1997625776167408E-5</v>
      </c>
      <c r="BI4" s="288">
        <f t="shared" si="9"/>
        <v>3.0370996912788163E-5</v>
      </c>
      <c r="BJ4" s="288">
        <f t="shared" si="9"/>
        <v>2.8852779234943309E-5</v>
      </c>
      <c r="BK4" s="288">
        <f t="shared" si="9"/>
        <v>2.7434089599736632E-5</v>
      </c>
      <c r="BL4" s="288">
        <f t="shared" si="10"/>
        <v>2.6106904182929769E-5</v>
      </c>
      <c r="BM4" s="288">
        <f t="shared" si="10"/>
        <v>2.4863963042205331E-5</v>
      </c>
      <c r="BN4" s="288">
        <f t="shared" si="10"/>
        <v>2.3698686603976727E-5</v>
      </c>
      <c r="BO4" s="288">
        <f t="shared" si="10"/>
        <v>2.2605102423719081E-5</v>
      </c>
      <c r="BP4" s="288">
        <f t="shared" si="10"/>
        <v>2.1577780819645489E-5</v>
      </c>
      <c r="BQ4" s="288">
        <f t="shared" si="10"/>
        <v>2.0611778188410202E-5</v>
      </c>
      <c r="BR4" s="288">
        <f t="shared" si="10"/>
        <v>1.9702586986613692E-5</v>
      </c>
      <c r="BS4" s="288">
        <f t="shared" si="10"/>
        <v>1.884609150908193E-5</v>
      </c>
      <c r="BT4" s="288">
        <f t="shared" si="10"/>
        <v>1.8038528718972462E-5</v>
      </c>
      <c r="BU4" s="288">
        <f t="shared" si="10"/>
        <v>1.7276453489627647E-5</v>
      </c>
      <c r="BV4" s="288">
        <f t="shared" si="11"/>
        <v>1.6556707706950824E-5</v>
      </c>
      <c r="BW4" s="288">
        <f t="shared" si="11"/>
        <v>1.5876392756554566E-5</v>
      </c>
      <c r="BX4" s="288">
        <f t="shared" si="11"/>
        <v>1.5232844984190685E-5</v>
      </c>
      <c r="BY4" s="288">
        <f t="shared" si="11"/>
        <v>1.4623613772811923E-5</v>
      </c>
      <c r="BZ4" s="288">
        <f t="shared" si="11"/>
        <v>1.4046441926522184E-5</v>
      </c>
      <c r="CA4" s="290">
        <f t="shared" si="11"/>
        <v>1.349924809188128E-5</v>
      </c>
      <c r="CB4" s="242"/>
      <c r="CE4" s="191">
        <v>2</v>
      </c>
      <c r="CF4" s="268">
        <f t="shared" ref="CF4" si="14">(1+SQRT((CE4-1))*9/100)</f>
        <v>1.0900000000000001</v>
      </c>
      <c r="CG4" s="268">
        <f t="shared" ref="CG4" si="15">(1+0.07161*SQRT((CE4-1)))</f>
        <v>1.07161</v>
      </c>
      <c r="CH4" s="236" t="str">
        <f>CONCATENATE("+",TEXT(100*(4/3*LOG(CE4)),"0,0"),"%")</f>
        <v>+40,1%</v>
      </c>
      <c r="CI4" s="268">
        <f t="shared" si="12"/>
        <v>1.0222985181973321</v>
      </c>
      <c r="CK4" s="238" t="s">
        <v>576</v>
      </c>
      <c r="CL4" s="236" t="str">
        <f t="shared" ref="CL4" si="16">CONCATENATE("[td]",CE4,"[/td]")</f>
        <v>[td]2[/td]</v>
      </c>
      <c r="CM4" s="236" t="str">
        <f t="shared" ref="CM4" si="17">CONCATENATE("[td]",TEXT(CF4,"0%"),"[/td]")</f>
        <v>[td]109%[/td]</v>
      </c>
      <c r="CN4" s="236" t="str">
        <f t="shared" si="13"/>
        <v>[td]107%[/td]</v>
      </c>
      <c r="CO4" s="236" t="str">
        <f t="shared" ref="CO4" si="18">CONCATENATE("[td]",CH4,"[/td]")</f>
        <v>[td]+40,1%[/td]</v>
      </c>
      <c r="CP4" s="236" t="str">
        <f t="shared" si="13"/>
        <v>[td]102%[/td]</v>
      </c>
      <c r="CQ4" s="238" t="s">
        <v>578</v>
      </c>
    </row>
    <row r="5" spans="2:95">
      <c r="B5" s="274">
        <f t="shared" ref="B5:B68" si="19">B4+0.25</f>
        <v>0.75</v>
      </c>
      <c r="C5" s="234"/>
      <c r="D5" s="272">
        <f t="shared" si="4"/>
        <v>0.95238095238095233</v>
      </c>
      <c r="E5" s="288">
        <f t="shared" si="4"/>
        <v>0.7142857142857143</v>
      </c>
      <c r="F5" s="288">
        <f t="shared" si="4"/>
        <v>0.42553191489361702</v>
      </c>
      <c r="G5" s="288">
        <f t="shared" si="4"/>
        <v>0.23809523809523808</v>
      </c>
      <c r="H5" s="288">
        <f t="shared" si="4"/>
        <v>0.13793103448275862</v>
      </c>
      <c r="I5" s="288">
        <f t="shared" si="4"/>
        <v>8.4745762711864403E-2</v>
      </c>
      <c r="J5" s="288">
        <f t="shared" si="4"/>
        <v>5.5096418732782371E-2</v>
      </c>
      <c r="K5" s="288">
        <f t="shared" si="4"/>
        <v>3.7593984962406013E-2</v>
      </c>
      <c r="L5" s="288">
        <f t="shared" si="4"/>
        <v>2.6702269692923896E-2</v>
      </c>
      <c r="M5" s="288">
        <f t="shared" si="4"/>
        <v>1.9607843137254902E-2</v>
      </c>
      <c r="N5" s="288">
        <f t="shared" si="5"/>
        <v>1.4803849000740192E-2</v>
      </c>
      <c r="O5" s="288">
        <f t="shared" si="5"/>
        <v>1.1441647597254004E-2</v>
      </c>
      <c r="P5" s="288">
        <f t="shared" si="5"/>
        <v>9.0211998195760031E-3</v>
      </c>
      <c r="Q5" s="288">
        <f t="shared" si="5"/>
        <v>7.2358900144717797E-3</v>
      </c>
      <c r="R5" s="288">
        <f t="shared" si="5"/>
        <v>5.8910162002945507E-3</v>
      </c>
      <c r="S5" s="288">
        <f t="shared" si="5"/>
        <v>4.859086491739553E-3</v>
      </c>
      <c r="T5" s="288">
        <f t="shared" si="5"/>
        <v>4.0543279951348061E-3</v>
      </c>
      <c r="U5" s="288">
        <f t="shared" si="5"/>
        <v>3.4176349965823645E-3</v>
      </c>
      <c r="V5" s="288">
        <f t="shared" si="5"/>
        <v>2.9073993312981532E-3</v>
      </c>
      <c r="W5" s="288">
        <f t="shared" si="5"/>
        <v>2.4937655860349127E-3</v>
      </c>
      <c r="X5" s="288">
        <f t="shared" si="6"/>
        <v>2.1549402004094388E-3</v>
      </c>
      <c r="Y5" s="288">
        <f t="shared" si="6"/>
        <v>1.8747656542932132E-3</v>
      </c>
      <c r="Z5" s="288">
        <f t="shared" si="6"/>
        <v>1.6410929679166325E-3</v>
      </c>
      <c r="AA5" s="288">
        <f t="shared" si="6"/>
        <v>1.4446691707598958E-3</v>
      </c>
      <c r="AB5" s="288">
        <f t="shared" si="6"/>
        <v>1.278363694471077E-3</v>
      </c>
      <c r="AC5" s="288">
        <f t="shared" si="6"/>
        <v>1.1366219595362582E-3</v>
      </c>
      <c r="AD5" s="288">
        <f t="shared" si="6"/>
        <v>1.0150738466223417E-3</v>
      </c>
      <c r="AE5" s="288">
        <f t="shared" si="6"/>
        <v>9.1024940833788457E-4</v>
      </c>
      <c r="AF5" s="288">
        <f t="shared" si="6"/>
        <v>8.1936990454340613E-4</v>
      </c>
      <c r="AG5" s="288">
        <f t="shared" si="6"/>
        <v>7.4019245003700959E-4</v>
      </c>
      <c r="AH5" s="288">
        <f t="shared" si="7"/>
        <v>6.708932944215222E-4</v>
      </c>
      <c r="AI5" s="288">
        <f t="shared" si="7"/>
        <v>6.0997926070513594E-4</v>
      </c>
      <c r="AJ5" s="288">
        <f t="shared" si="7"/>
        <v>5.5621992936006888E-4</v>
      </c>
      <c r="AK5" s="288">
        <f t="shared" si="7"/>
        <v>5.085952598921778E-4</v>
      </c>
      <c r="AL5" s="288">
        <f t="shared" si="7"/>
        <v>4.6625480825271003E-4</v>
      </c>
      <c r="AM5" s="288">
        <f t="shared" si="7"/>
        <v>4.2848573142514353E-4</v>
      </c>
      <c r="AN5" s="288">
        <f t="shared" si="7"/>
        <v>3.9468750616699228E-4</v>
      </c>
      <c r="AO5" s="288">
        <f t="shared" si="7"/>
        <v>3.6435181811557237E-4</v>
      </c>
      <c r="AP5" s="288">
        <f t="shared" si="7"/>
        <v>3.3704646185476664E-4</v>
      </c>
      <c r="AQ5" s="288">
        <f t="shared" si="7"/>
        <v>3.1240237425804435E-4</v>
      </c>
      <c r="AR5" s="288">
        <f t="shared" si="8"/>
        <v>2.9010313166330629E-4</v>
      </c>
      <c r="AS5" s="288">
        <f t="shared" si="8"/>
        <v>2.6987639661035247E-4</v>
      </c>
      <c r="AT5" s="288">
        <f t="shared" si="8"/>
        <v>2.514869163931746E-4</v>
      </c>
      <c r="AU5" s="288">
        <f t="shared" si="8"/>
        <v>2.3473076381390543E-4</v>
      </c>
      <c r="AV5" s="288">
        <f t="shared" si="8"/>
        <v>2.1943057765099565E-4</v>
      </c>
      <c r="AW5" s="288">
        <f t="shared" si="8"/>
        <v>2.054316118164263E-4</v>
      </c>
      <c r="AX5" s="288">
        <f t="shared" si="8"/>
        <v>1.9259844187860517E-4</v>
      </c>
      <c r="AY5" s="288">
        <f t="shared" si="8"/>
        <v>1.8081220844031387E-4</v>
      </c>
      <c r="AZ5" s="288">
        <f t="shared" si="8"/>
        <v>1.6996830091187991E-4</v>
      </c>
      <c r="BA5" s="288">
        <f t="shared" si="8"/>
        <v>1.5997440409534473E-4</v>
      </c>
      <c r="BB5" s="288">
        <f t="shared" si="9"/>
        <v>1.5074884488697606E-4</v>
      </c>
      <c r="BC5" s="288">
        <f t="shared" si="9"/>
        <v>1.4221918821287366E-4</v>
      </c>
      <c r="BD5" s="288">
        <f t="shared" si="9"/>
        <v>1.3432104071942348E-4</v>
      </c>
      <c r="BE5" s="288">
        <f t="shared" si="9"/>
        <v>1.2699702826953849E-4</v>
      </c>
      <c r="BF5" s="288">
        <f t="shared" si="9"/>
        <v>1.201959193485381E-4</v>
      </c>
      <c r="BG5" s="288">
        <f t="shared" si="9"/>
        <v>1.1387187137033409E-4</v>
      </c>
      <c r="BH5" s="288">
        <f t="shared" si="9"/>
        <v>1.0798378083611841E-4</v>
      </c>
      <c r="BI5" s="288">
        <f t="shared" si="9"/>
        <v>1.0249472152184162E-4</v>
      </c>
      <c r="BJ5" s="288">
        <f t="shared" si="9"/>
        <v>9.7371457504661651E-5</v>
      </c>
      <c r="BK5" s="288">
        <f t="shared" si="9"/>
        <v>9.2584019998148326E-5</v>
      </c>
      <c r="BL5" s="288">
        <f t="shared" si="10"/>
        <v>8.8105338743001122E-5</v>
      </c>
      <c r="BM5" s="288">
        <f t="shared" si="10"/>
        <v>8.3910920167150539E-5</v>
      </c>
      <c r="BN5" s="288">
        <f t="shared" si="10"/>
        <v>7.99785657443805E-5</v>
      </c>
      <c r="BO5" s="288">
        <f t="shared" si="10"/>
        <v>7.6288124990463982E-5</v>
      </c>
      <c r="BP5" s="288">
        <f t="shared" si="10"/>
        <v>7.2821278377541924E-5</v>
      </c>
      <c r="BQ5" s="288">
        <f t="shared" si="10"/>
        <v>6.9561346151170709E-5</v>
      </c>
      <c r="BR5" s="288">
        <f t="shared" si="10"/>
        <v>6.6493119624446852E-5</v>
      </c>
      <c r="BS5" s="288">
        <f t="shared" si="10"/>
        <v>6.3602712019640518E-5</v>
      </c>
      <c r="BT5" s="288">
        <f t="shared" si="10"/>
        <v>6.0877426345923796E-5</v>
      </c>
      <c r="BU5" s="288">
        <f t="shared" si="10"/>
        <v>5.8305638155209603E-5</v>
      </c>
      <c r="BV5" s="288">
        <f t="shared" si="11"/>
        <v>5.5876691317600318E-5</v>
      </c>
      <c r="BW5" s="288">
        <f t="shared" si="11"/>
        <v>5.3580805212340725E-5</v>
      </c>
      <c r="BX5" s="288">
        <f t="shared" si="11"/>
        <v>5.1408991946781408E-5</v>
      </c>
      <c r="BY5" s="288">
        <f t="shared" si="11"/>
        <v>4.9352982400726474E-5</v>
      </c>
      <c r="BZ5" s="288">
        <f t="shared" si="11"/>
        <v>4.7405160051671627E-5</v>
      </c>
      <c r="CA5" s="290">
        <f t="shared" si="11"/>
        <v>4.5558501671997001E-5</v>
      </c>
      <c r="CB5" s="242"/>
      <c r="CE5" s="191">
        <v>3</v>
      </c>
      <c r="CF5" s="268">
        <f t="shared" ref="CF5:CF21" si="20">(1+SQRT((CE5-1))*9/100)</f>
        <v>1.1272792206135787</v>
      </c>
      <c r="CG5" s="268">
        <f t="shared" ref="CG5:CG21" si="21">(1+0.07161*SQRT((CE5-1)))</f>
        <v>1.1012718332015374</v>
      </c>
      <c r="CH5" s="236" t="str">
        <f t="shared" ref="CH5:CH21" si="22">CONCATENATE("+",TEXT(100*(4/3*LOG(CE5)),"0,0"),"%")</f>
        <v>+63,6%</v>
      </c>
      <c r="CI5" s="268">
        <f t="shared" ref="CI5:CI21" si="23">(18+(4/3*LOG(CE5)))/18</f>
        <v>1.0353423151644194</v>
      </c>
      <c r="CK5" s="238" t="s">
        <v>576</v>
      </c>
      <c r="CL5" s="236" t="str">
        <f t="shared" ref="CL5:CL21" si="24">CONCATENATE("[td]",CE5,"[/td]")</f>
        <v>[td]3[/td]</v>
      </c>
      <c r="CM5" s="236" t="str">
        <f t="shared" ref="CM5:CM21" si="25">CONCATENATE("[td]",TEXT(CF5,"0%"),"[/td]")</f>
        <v>[td]113%[/td]</v>
      </c>
      <c r="CN5" s="236" t="str">
        <f t="shared" ref="CN5:CN21" si="26">CONCATENATE("[td]",TEXT(CG5,"0%"),"[/td]")</f>
        <v>[td]110%[/td]</v>
      </c>
      <c r="CO5" s="236" t="str">
        <f t="shared" ref="CO5:CO21" si="27">CONCATENATE("[td]",CH5,"[/td]")</f>
        <v>[td]+63,6%[/td]</v>
      </c>
      <c r="CP5" s="236" t="str">
        <f t="shared" ref="CP5:CP18" si="28">CONCATENATE("[td]",TEXT(CI5,"0%"),"[/td]")</f>
        <v>[td]104%[/td]</v>
      </c>
      <c r="CQ5" s="238" t="s">
        <v>578</v>
      </c>
    </row>
    <row r="6" spans="2:95">
      <c r="B6" s="274">
        <f t="shared" si="19"/>
        <v>1</v>
      </c>
      <c r="C6" s="234"/>
      <c r="D6" s="272">
        <f t="shared" si="4"/>
        <v>0.97934200459066578</v>
      </c>
      <c r="E6" s="288">
        <f t="shared" si="4"/>
        <v>0.85561497326203206</v>
      </c>
      <c r="F6" s="288">
        <f t="shared" si="4"/>
        <v>0.63713290194126426</v>
      </c>
      <c r="G6" s="288">
        <f t="shared" si="4"/>
        <v>0.42553191489361702</v>
      </c>
      <c r="H6" s="288">
        <f t="shared" si="4"/>
        <v>0.27497314715359827</v>
      </c>
      <c r="I6" s="288">
        <f t="shared" si="4"/>
        <v>0.17997750281214847</v>
      </c>
      <c r="J6" s="288">
        <f t="shared" si="4"/>
        <v>0.12143060430699176</v>
      </c>
      <c r="K6" s="288">
        <f t="shared" si="4"/>
        <v>8.4745762711864403E-2</v>
      </c>
      <c r="L6" s="288">
        <f t="shared" si="4"/>
        <v>6.1059962791585168E-2</v>
      </c>
      <c r="M6" s="288">
        <f t="shared" si="4"/>
        <v>4.5261669024045263E-2</v>
      </c>
      <c r="N6" s="288">
        <f t="shared" si="5"/>
        <v>3.4392884971921431E-2</v>
      </c>
      <c r="O6" s="288">
        <f t="shared" si="5"/>
        <v>2.6702269692923896E-2</v>
      </c>
      <c r="P6" s="288">
        <f t="shared" si="5"/>
        <v>2.1122460766679316E-2</v>
      </c>
      <c r="Q6" s="288">
        <f t="shared" si="5"/>
        <v>1.698333510243074E-2</v>
      </c>
      <c r="R6" s="288">
        <f t="shared" si="5"/>
        <v>1.385206428223581E-2</v>
      </c>
      <c r="S6" s="288">
        <f t="shared" si="5"/>
        <v>1.1441647597254004E-2</v>
      </c>
      <c r="T6" s="288">
        <f t="shared" si="5"/>
        <v>9.5571600301647859E-3</v>
      </c>
      <c r="U6" s="288">
        <f t="shared" si="5"/>
        <v>8.0632968805120185E-3</v>
      </c>
      <c r="V6" s="288">
        <f t="shared" si="5"/>
        <v>6.864264531594385E-3</v>
      </c>
      <c r="W6" s="288">
        <f t="shared" si="5"/>
        <v>5.8910162002945507E-3</v>
      </c>
      <c r="X6" s="288">
        <f t="shared" si="6"/>
        <v>5.0929665336394416E-3</v>
      </c>
      <c r="Y6" s="288">
        <f t="shared" si="6"/>
        <v>4.4325013158988281E-3</v>
      </c>
      <c r="Z6" s="288">
        <f t="shared" si="6"/>
        <v>3.8812695390082748E-3</v>
      </c>
      <c r="AA6" s="288">
        <f t="shared" si="6"/>
        <v>3.4176349965823649E-3</v>
      </c>
      <c r="AB6" s="288">
        <f t="shared" si="6"/>
        <v>3.0248963145892167E-3</v>
      </c>
      <c r="AC6" s="288">
        <f t="shared" si="6"/>
        <v>2.6900250508582859E-3</v>
      </c>
      <c r="AD6" s="288">
        <f t="shared" si="6"/>
        <v>2.4027586672948878E-3</v>
      </c>
      <c r="AE6" s="288">
        <f t="shared" si="6"/>
        <v>2.1549402004094388E-3</v>
      </c>
      <c r="AF6" s="288">
        <f t="shared" si="6"/>
        <v>1.9400317983336946E-3</v>
      </c>
      <c r="AG6" s="288">
        <f t="shared" si="6"/>
        <v>1.7527523689543736E-3</v>
      </c>
      <c r="AH6" s="288">
        <f t="shared" si="7"/>
        <v>1.5888048835890106E-3</v>
      </c>
      <c r="AI6" s="288">
        <f t="shared" si="7"/>
        <v>1.4446691707598958E-3</v>
      </c>
      <c r="AJ6" s="288">
        <f t="shared" si="7"/>
        <v>1.3174430488925757E-3</v>
      </c>
      <c r="AK6" s="288">
        <f t="shared" si="7"/>
        <v>1.204719488596577E-3</v>
      </c>
      <c r="AL6" s="288">
        <f t="shared" si="7"/>
        <v>1.1044908771642196E-3</v>
      </c>
      <c r="AM6" s="288">
        <f t="shared" si="7"/>
        <v>1.0150738466223417E-3</v>
      </c>
      <c r="AN6" s="288">
        <f t="shared" si="7"/>
        <v>9.3504983158145417E-4</v>
      </c>
      <c r="AO6" s="288">
        <f t="shared" si="7"/>
        <v>8.6321775207307124E-4</v>
      </c>
      <c r="AP6" s="288">
        <f t="shared" si="7"/>
        <v>7.9855611073228214E-4</v>
      </c>
      <c r="AQ6" s="288">
        <f t="shared" si="7"/>
        <v>7.4019245003700959E-4</v>
      </c>
      <c r="AR6" s="288">
        <f t="shared" si="8"/>
        <v>6.8737860115232572E-4</v>
      </c>
      <c r="AS6" s="288">
        <f t="shared" si="8"/>
        <v>6.3947051841075589E-4</v>
      </c>
      <c r="AT6" s="288">
        <f t="shared" si="8"/>
        <v>5.9591176595192945E-4</v>
      </c>
      <c r="AU6" s="288">
        <f t="shared" si="8"/>
        <v>5.5621992936006888E-4</v>
      </c>
      <c r="AV6" s="288">
        <f t="shared" si="8"/>
        <v>5.199753824154887E-4</v>
      </c>
      <c r="AW6" s="288">
        <f t="shared" si="8"/>
        <v>4.8681195975282119E-4</v>
      </c>
      <c r="AX6" s="288">
        <f t="shared" si="8"/>
        <v>4.5640917938699247E-4</v>
      </c>
      <c r="AY6" s="288">
        <f t="shared" si="8"/>
        <v>4.2848573142514353E-4</v>
      </c>
      <c r="AZ6" s="288">
        <f t="shared" si="8"/>
        <v>4.0279400579582806E-4</v>
      </c>
      <c r="BA6" s="288">
        <f t="shared" si="8"/>
        <v>3.7911547620458018E-4</v>
      </c>
      <c r="BB6" s="288">
        <f t="shared" si="9"/>
        <v>3.572567925540986E-4</v>
      </c>
      <c r="BC6" s="288">
        <f t="shared" si="9"/>
        <v>3.3704646185476664E-4</v>
      </c>
      <c r="BD6" s="288">
        <f t="shared" si="9"/>
        <v>3.183320197992568E-4</v>
      </c>
      <c r="BE6" s="288">
        <f t="shared" si="9"/>
        <v>3.0097761290892979E-4</v>
      </c>
      <c r="BF6" s="288">
        <f t="shared" si="9"/>
        <v>2.8486192542181261E-4</v>
      </c>
      <c r="BG6" s="288">
        <f t="shared" si="9"/>
        <v>2.6987639661035247E-4</v>
      </c>
      <c r="BH6" s="288">
        <f t="shared" si="9"/>
        <v>2.5592368355756311E-4</v>
      </c>
      <c r="BI6" s="288">
        <f t="shared" si="9"/>
        <v>2.4291633202411551E-4</v>
      </c>
      <c r="BJ6" s="288">
        <f t="shared" si="9"/>
        <v>2.3077562425257093E-4</v>
      </c>
      <c r="BK6" s="288">
        <f t="shared" si="9"/>
        <v>2.1943057765099567E-4</v>
      </c>
      <c r="BL6" s="288">
        <f t="shared" si="10"/>
        <v>2.0881707249231494E-4</v>
      </c>
      <c r="BM6" s="288">
        <f t="shared" si="10"/>
        <v>1.9887709022929281E-4</v>
      </c>
      <c r="BN6" s="288">
        <f t="shared" si="10"/>
        <v>1.8955804689458751E-4</v>
      </c>
      <c r="BO6" s="288">
        <f t="shared" si="10"/>
        <v>1.8081220844031387E-4</v>
      </c>
      <c r="BP6" s="288">
        <f t="shared" si="10"/>
        <v>1.7259617685984178E-4</v>
      </c>
      <c r="BQ6" s="288">
        <f t="shared" si="10"/>
        <v>1.6487043759705458E-4</v>
      </c>
      <c r="BR6" s="288">
        <f t="shared" si="10"/>
        <v>1.575989601423611E-4</v>
      </c>
      <c r="BS6" s="288">
        <f t="shared" si="10"/>
        <v>1.5074884488697606E-4</v>
      </c>
      <c r="BT6" s="288">
        <f t="shared" si="10"/>
        <v>1.4429001029531767E-4</v>
      </c>
      <c r="BU6" s="288">
        <f t="shared" si="10"/>
        <v>1.3819491529083551E-4</v>
      </c>
      <c r="BV6" s="288">
        <f t="shared" si="11"/>
        <v>1.3243831245860656E-4</v>
      </c>
      <c r="BW6" s="288">
        <f t="shared" si="11"/>
        <v>1.2699702826953849E-4</v>
      </c>
      <c r="BX6" s="288">
        <f t="shared" si="11"/>
        <v>1.2184976704323637E-4</v>
      </c>
      <c r="BY6" s="288">
        <f t="shared" si="11"/>
        <v>1.1697693580378873E-4</v>
      </c>
      <c r="BZ6" s="288">
        <f t="shared" si="11"/>
        <v>1.1236048755673437E-4</v>
      </c>
      <c r="CA6" s="290">
        <f t="shared" si="11"/>
        <v>1.0798378083611839E-4</v>
      </c>
      <c r="CB6" s="242"/>
      <c r="CE6" s="191">
        <v>4</v>
      </c>
      <c r="CF6" s="268">
        <f t="shared" si="20"/>
        <v>1.1558845726811988</v>
      </c>
      <c r="CG6" s="268">
        <f t="shared" si="21"/>
        <v>1.1240321583300072</v>
      </c>
      <c r="CH6" s="236" t="str">
        <f t="shared" si="22"/>
        <v>+80,3%</v>
      </c>
      <c r="CI6" s="268">
        <f t="shared" si="23"/>
        <v>1.0445970363946637</v>
      </c>
      <c r="CK6" s="238" t="s">
        <v>576</v>
      </c>
      <c r="CL6" s="236" t="str">
        <f t="shared" si="24"/>
        <v>[td]4[/td]</v>
      </c>
      <c r="CM6" s="236" t="str">
        <f t="shared" si="25"/>
        <v>[td]116%[/td]</v>
      </c>
      <c r="CN6" s="236" t="str">
        <f t="shared" si="26"/>
        <v>[td]112%[/td]</v>
      </c>
      <c r="CO6" s="236" t="str">
        <f t="shared" si="27"/>
        <v>[td]+80,3%[/td]</v>
      </c>
      <c r="CP6" s="236" t="str">
        <f t="shared" si="28"/>
        <v>[td]104%[/td]</v>
      </c>
      <c r="CQ6" s="238" t="s">
        <v>578</v>
      </c>
    </row>
    <row r="7" spans="2:95">
      <c r="B7" s="274">
        <f t="shared" si="19"/>
        <v>1.25</v>
      </c>
      <c r="C7" s="234"/>
      <c r="D7" s="272">
        <f t="shared" si="4"/>
        <v>0.98931539374752675</v>
      </c>
      <c r="E7" s="288">
        <f t="shared" si="4"/>
        <v>0.92047128129602351</v>
      </c>
      <c r="F7" s="288">
        <f t="shared" si="4"/>
        <v>0.77423350882626207</v>
      </c>
      <c r="G7" s="288">
        <f t="shared" si="4"/>
        <v>0.59129612109744556</v>
      </c>
      <c r="H7" s="288">
        <f t="shared" si="4"/>
        <v>0.42553191489361702</v>
      </c>
      <c r="I7" s="288">
        <f t="shared" si="4"/>
        <v>0.30004800768122897</v>
      </c>
      <c r="J7" s="288">
        <f t="shared" si="4"/>
        <v>0.21256695859195648</v>
      </c>
      <c r="K7" s="288">
        <f t="shared" si="4"/>
        <v>0.15314873805439844</v>
      </c>
      <c r="L7" s="288">
        <f t="shared" si="4"/>
        <v>0.11269891358247305</v>
      </c>
      <c r="M7" s="288">
        <f t="shared" si="4"/>
        <v>8.4745762711864403E-2</v>
      </c>
      <c r="N7" s="288">
        <f t="shared" si="5"/>
        <v>6.5041496474750882E-2</v>
      </c>
      <c r="O7" s="288">
        <f t="shared" si="5"/>
        <v>5.085849133371307E-2</v>
      </c>
      <c r="P7" s="288">
        <f t="shared" si="5"/>
        <v>4.0440641226807288E-2</v>
      </c>
      <c r="Q7" s="288">
        <f t="shared" si="5"/>
        <v>3.2642189376925888E-2</v>
      </c>
      <c r="R7" s="288">
        <f t="shared" si="5"/>
        <v>2.67022696929239E-2</v>
      </c>
      <c r="S7" s="288">
        <f t="shared" si="5"/>
        <v>2.2105896084603685E-2</v>
      </c>
      <c r="T7" s="288">
        <f t="shared" si="5"/>
        <v>1.8497828354951128E-2</v>
      </c>
      <c r="U7" s="288">
        <f t="shared" si="5"/>
        <v>1.5628516416193641E-2</v>
      </c>
      <c r="V7" s="288">
        <f t="shared" si="5"/>
        <v>1.3319623001390567E-2</v>
      </c>
      <c r="W7" s="288">
        <f t="shared" si="5"/>
        <v>1.1441647597254004E-2</v>
      </c>
      <c r="X7" s="288">
        <f t="shared" si="6"/>
        <v>9.8991474854185548E-3</v>
      </c>
      <c r="Y7" s="288">
        <f t="shared" si="6"/>
        <v>8.6208085628767285E-3</v>
      </c>
      <c r="Z7" s="288">
        <f t="shared" si="6"/>
        <v>7.5526647311704512E-3</v>
      </c>
      <c r="AA7" s="288">
        <f t="shared" si="6"/>
        <v>6.6533953607204824E-3</v>
      </c>
      <c r="AB7" s="288">
        <f t="shared" si="6"/>
        <v>5.8910162002945507E-3</v>
      </c>
      <c r="AC7" s="288">
        <f t="shared" si="6"/>
        <v>5.2405188532906261E-3</v>
      </c>
      <c r="AD7" s="288">
        <f t="shared" si="6"/>
        <v>4.6821652579592124E-3</v>
      </c>
      <c r="AE7" s="288">
        <f t="shared" si="6"/>
        <v>4.2002405897809828E-3</v>
      </c>
      <c r="AF7" s="288">
        <f t="shared" si="6"/>
        <v>3.7821310947151526E-3</v>
      </c>
      <c r="AG7" s="288">
        <f t="shared" si="6"/>
        <v>3.4176349965823649E-3</v>
      </c>
      <c r="AH7" s="288">
        <f t="shared" si="7"/>
        <v>3.0984424749366983E-3</v>
      </c>
      <c r="AI7" s="288">
        <f t="shared" si="7"/>
        <v>2.817739586761583E-3</v>
      </c>
      <c r="AJ7" s="288">
        <f t="shared" si="7"/>
        <v>2.5699039575492982E-3</v>
      </c>
      <c r="AK7" s="288">
        <f t="shared" si="7"/>
        <v>2.3502690588018517E-3</v>
      </c>
      <c r="AL7" s="288">
        <f t="shared" si="7"/>
        <v>2.1549402004094383E-3</v>
      </c>
      <c r="AM7" s="288">
        <f t="shared" si="7"/>
        <v>1.980649843290984E-3</v>
      </c>
      <c r="AN7" s="288">
        <f t="shared" si="7"/>
        <v>1.8246430450810907E-3</v>
      </c>
      <c r="AO7" s="288">
        <f t="shared" si="7"/>
        <v>1.6845861712995031E-3</v>
      </c>
      <c r="AP7" s="288">
        <f t="shared" si="7"/>
        <v>1.5584936971397899E-3</v>
      </c>
      <c r="AQ7" s="288">
        <f t="shared" si="7"/>
        <v>1.444669170759896E-3</v>
      </c>
      <c r="AR7" s="288">
        <f t="shared" si="8"/>
        <v>1.3416573332038185E-3</v>
      </c>
      <c r="AS7" s="288">
        <f t="shared" si="8"/>
        <v>1.2482050810933877E-3</v>
      </c>
      <c r="AT7" s="288">
        <f t="shared" si="8"/>
        <v>1.1632294786545062E-3</v>
      </c>
      <c r="AU7" s="288">
        <f t="shared" si="8"/>
        <v>1.0857914203367864E-3</v>
      </c>
      <c r="AV7" s="288">
        <f t="shared" si="8"/>
        <v>1.0150738466223417E-3</v>
      </c>
      <c r="AW7" s="288">
        <f t="shared" si="8"/>
        <v>9.503636471459439E-4</v>
      </c>
      <c r="AX7" s="288">
        <f t="shared" si="8"/>
        <v>8.9103656422003462E-4</v>
      </c>
      <c r="AY7" s="288">
        <f t="shared" si="8"/>
        <v>8.3654454900879507E-4</v>
      </c>
      <c r="AZ7" s="288">
        <f t="shared" si="8"/>
        <v>7.864051313878508E-4</v>
      </c>
      <c r="BA7" s="288">
        <f t="shared" si="8"/>
        <v>7.4019245003700959E-4</v>
      </c>
      <c r="BB7" s="288">
        <f t="shared" si="9"/>
        <v>6.975296568684211E-4</v>
      </c>
      <c r="BC7" s="288">
        <f t="shared" si="9"/>
        <v>6.5808246352380511E-4</v>
      </c>
      <c r="BD7" s="288">
        <f t="shared" si="9"/>
        <v>6.2155364045210319E-4</v>
      </c>
      <c r="BE7" s="288">
        <f t="shared" si="9"/>
        <v>5.8767831335383778E-4</v>
      </c>
      <c r="BF7" s="288">
        <f t="shared" si="9"/>
        <v>5.5621992936006888E-4</v>
      </c>
      <c r="BG7" s="288">
        <f t="shared" si="9"/>
        <v>5.2696678760203125E-4</v>
      </c>
      <c r="BH7" s="288">
        <f t="shared" si="9"/>
        <v>4.9972904691076496E-4</v>
      </c>
      <c r="BI7" s="288">
        <f t="shared" si="9"/>
        <v>4.7433613811454037E-4</v>
      </c>
      <c r="BJ7" s="288">
        <f t="shared" si="9"/>
        <v>4.5063452044285471E-4</v>
      </c>
      <c r="BK7" s="288">
        <f t="shared" si="9"/>
        <v>4.2848573142514353E-4</v>
      </c>
      <c r="BL7" s="288">
        <f t="shared" si="10"/>
        <v>4.0776468780638413E-4</v>
      </c>
      <c r="BM7" s="288">
        <f t="shared" si="10"/>
        <v>3.8835820172132779E-4</v>
      </c>
      <c r="BN7" s="288">
        <f t="shared" si="10"/>
        <v>3.7016368193818887E-4</v>
      </c>
      <c r="BO7" s="288">
        <f t="shared" si="10"/>
        <v>3.5308799461272457E-4</v>
      </c>
      <c r="BP7" s="288">
        <f t="shared" si="10"/>
        <v>3.370464618547667E-4</v>
      </c>
      <c r="BQ7" s="288">
        <f t="shared" si="10"/>
        <v>3.2196197963860922E-4</v>
      </c>
      <c r="BR7" s="288">
        <f t="shared" si="10"/>
        <v>3.0776423929728308E-4</v>
      </c>
      <c r="BS7" s="288">
        <f t="shared" si="10"/>
        <v>2.9438903911888656E-4</v>
      </c>
      <c r="BT7" s="288">
        <f t="shared" si="10"/>
        <v>2.8177767448434401E-4</v>
      </c>
      <c r="BU7" s="288">
        <f t="shared" si="10"/>
        <v>2.6987639661035242E-4</v>
      </c>
      <c r="BV7" s="288">
        <f t="shared" si="11"/>
        <v>2.5863593133816057E-4</v>
      </c>
      <c r="BW7" s="288">
        <f t="shared" si="11"/>
        <v>2.4801105057877838E-4</v>
      </c>
      <c r="BX7" s="288">
        <f t="shared" si="11"/>
        <v>2.3796019002168196E-4</v>
      </c>
      <c r="BY7" s="288">
        <f t="shared" si="11"/>
        <v>2.2844510756474956E-4</v>
      </c>
      <c r="BZ7" s="288">
        <f t="shared" si="11"/>
        <v>2.1943057765099567E-4</v>
      </c>
      <c r="CA7" s="290">
        <f t="shared" si="11"/>
        <v>2.1088411732175143E-4</v>
      </c>
      <c r="CB7" s="242"/>
      <c r="CE7" s="191">
        <v>5</v>
      </c>
      <c r="CF7" s="268">
        <f t="shared" si="20"/>
        <v>1.18</v>
      </c>
      <c r="CG7" s="268">
        <f t="shared" si="21"/>
        <v>1.1432199999999999</v>
      </c>
      <c r="CH7" s="236" t="str">
        <f t="shared" si="22"/>
        <v>+93,2%</v>
      </c>
      <c r="CI7" s="268">
        <f t="shared" si="23"/>
        <v>1.0517755558767421</v>
      </c>
      <c r="CK7" s="238" t="s">
        <v>576</v>
      </c>
      <c r="CL7" s="236" t="str">
        <f t="shared" si="24"/>
        <v>[td]5[/td]</v>
      </c>
      <c r="CM7" s="236" t="str">
        <f t="shared" si="25"/>
        <v>[td]118%[/td]</v>
      </c>
      <c r="CN7" s="236" t="str">
        <f t="shared" si="26"/>
        <v>[td]114%[/td]</v>
      </c>
      <c r="CO7" s="236" t="str">
        <f t="shared" si="27"/>
        <v>[td]+93,2%[/td]</v>
      </c>
      <c r="CP7" s="236" t="str">
        <f t="shared" si="28"/>
        <v>[td]105%[/td]</v>
      </c>
      <c r="CQ7" s="238" t="s">
        <v>578</v>
      </c>
    </row>
    <row r="8" spans="2:95">
      <c r="B8" s="274">
        <f t="shared" si="19"/>
        <v>1.5</v>
      </c>
      <c r="C8" s="234"/>
      <c r="D8" s="272">
        <f t="shared" si="4"/>
        <v>0.99378881987577639</v>
      </c>
      <c r="E8" s="288">
        <f t="shared" si="4"/>
        <v>0.95238095238095233</v>
      </c>
      <c r="F8" s="288">
        <f t="shared" si="4"/>
        <v>0.85561497326203217</v>
      </c>
      <c r="G8" s="288">
        <f t="shared" si="4"/>
        <v>0.7142857142857143</v>
      </c>
      <c r="H8" s="288">
        <f t="shared" si="4"/>
        <v>0.56140350877192979</v>
      </c>
      <c r="I8" s="288">
        <f t="shared" si="4"/>
        <v>0.42553191489361702</v>
      </c>
      <c r="J8" s="288">
        <f t="shared" si="4"/>
        <v>0.31809145129224653</v>
      </c>
      <c r="K8" s="288">
        <f t="shared" si="4"/>
        <v>0.23809523809523808</v>
      </c>
      <c r="L8" s="288">
        <f t="shared" si="4"/>
        <v>0.17997750281214847</v>
      </c>
      <c r="M8" s="288">
        <f t="shared" si="4"/>
        <v>0.13793103448275862</v>
      </c>
      <c r="N8" s="288">
        <f t="shared" si="5"/>
        <v>0.1073105298457411</v>
      </c>
      <c r="O8" s="288">
        <f t="shared" si="5"/>
        <v>8.4745762711864403E-2</v>
      </c>
      <c r="P8" s="288">
        <f t="shared" si="5"/>
        <v>6.7882901994060246E-2</v>
      </c>
      <c r="Q8" s="288">
        <f t="shared" si="5"/>
        <v>5.5096418732782371E-2</v>
      </c>
      <c r="R8" s="288">
        <f t="shared" si="5"/>
        <v>4.5261669024045263E-2</v>
      </c>
      <c r="S8" s="288">
        <f t="shared" si="5"/>
        <v>3.7593984962406013E-2</v>
      </c>
      <c r="T8" s="288">
        <f t="shared" si="5"/>
        <v>3.1539522964715155E-2</v>
      </c>
      <c r="U8" s="288">
        <f t="shared" si="5"/>
        <v>2.6702269692923896E-2</v>
      </c>
      <c r="V8" s="288">
        <f t="shared" si="5"/>
        <v>2.2795269981478839E-2</v>
      </c>
      <c r="W8" s="288">
        <f t="shared" si="5"/>
        <v>1.9607843137254902E-2</v>
      </c>
      <c r="X8" s="288">
        <f t="shared" si="6"/>
        <v>1.698333510243074E-2</v>
      </c>
      <c r="Y8" s="288">
        <f t="shared" si="6"/>
        <v>1.4803849000740192E-2</v>
      </c>
      <c r="Z8" s="288">
        <f t="shared" si="6"/>
        <v>1.2979638192585382E-2</v>
      </c>
      <c r="AA8" s="288">
        <f t="shared" si="6"/>
        <v>1.1441647597254004E-2</v>
      </c>
      <c r="AB8" s="288">
        <f t="shared" si="6"/>
        <v>1.0136205258156478E-2</v>
      </c>
      <c r="AC8" s="288">
        <f t="shared" si="6"/>
        <v>9.0211998195760031E-3</v>
      </c>
      <c r="AD8" s="288">
        <f t="shared" si="6"/>
        <v>8.0632968805120185E-3</v>
      </c>
      <c r="AE8" s="288">
        <f t="shared" si="6"/>
        <v>7.2358900144717797E-3</v>
      </c>
      <c r="AF8" s="288">
        <f t="shared" si="6"/>
        <v>6.5175770907165255E-3</v>
      </c>
      <c r="AG8" s="288">
        <f t="shared" si="6"/>
        <v>5.8910162002945507E-3</v>
      </c>
      <c r="AH8" s="288">
        <f t="shared" si="7"/>
        <v>5.3420586958699201E-3</v>
      </c>
      <c r="AI8" s="288">
        <f t="shared" si="7"/>
        <v>4.859086491739553E-3</v>
      </c>
      <c r="AJ8" s="288">
        <f t="shared" si="7"/>
        <v>4.4325013158988281E-3</v>
      </c>
      <c r="AK8" s="288">
        <f t="shared" si="7"/>
        <v>4.0543279951348061E-3</v>
      </c>
      <c r="AL8" s="288">
        <f t="shared" si="7"/>
        <v>3.7179040316021837E-3</v>
      </c>
      <c r="AM8" s="288">
        <f t="shared" si="7"/>
        <v>3.4176349965823645E-3</v>
      </c>
      <c r="AN8" s="288">
        <f t="shared" si="7"/>
        <v>3.1488005038080805E-3</v>
      </c>
      <c r="AO8" s="288">
        <f t="shared" si="7"/>
        <v>2.9073993312981532E-3</v>
      </c>
      <c r="AP8" s="288">
        <f t="shared" si="7"/>
        <v>2.6900250508582859E-3</v>
      </c>
      <c r="AQ8" s="288">
        <f t="shared" si="7"/>
        <v>2.4937655860349127E-3</v>
      </c>
      <c r="AR8" s="288">
        <f t="shared" si="8"/>
        <v>2.3161216542898913E-3</v>
      </c>
      <c r="AS8" s="288">
        <f t="shared" si="8"/>
        <v>2.1549402004094388E-3</v>
      </c>
      <c r="AT8" s="288">
        <f t="shared" si="8"/>
        <v>2.0083597976577501E-3</v>
      </c>
      <c r="AU8" s="288">
        <f t="shared" si="8"/>
        <v>1.8747656542932132E-3</v>
      </c>
      <c r="AV8" s="288">
        <f t="shared" si="8"/>
        <v>1.7527523689543736E-3</v>
      </c>
      <c r="AW8" s="288">
        <f t="shared" si="8"/>
        <v>1.6410929679166325E-3</v>
      </c>
      <c r="AX8" s="288">
        <f t="shared" si="8"/>
        <v>1.5387130588653912E-3</v>
      </c>
      <c r="AY8" s="288">
        <f t="shared" si="8"/>
        <v>1.4446691707598958E-3</v>
      </c>
      <c r="AZ8" s="288">
        <f t="shared" si="8"/>
        <v>1.3581305333208837E-3</v>
      </c>
      <c r="BA8" s="288">
        <f t="shared" si="8"/>
        <v>1.278363694471077E-3</v>
      </c>
      <c r="BB8" s="288">
        <f t="shared" si="9"/>
        <v>1.204719488596577E-3</v>
      </c>
      <c r="BC8" s="288">
        <f t="shared" si="9"/>
        <v>1.1366219595362582E-3</v>
      </c>
      <c r="BD8" s="288">
        <f t="shared" si="9"/>
        <v>1.0735589149003268E-3</v>
      </c>
      <c r="BE8" s="288">
        <f t="shared" si="9"/>
        <v>1.0150738466223417E-3</v>
      </c>
      <c r="BF8" s="288">
        <f t="shared" si="9"/>
        <v>9.607589996096915E-4</v>
      </c>
      <c r="BG8" s="288">
        <f t="shared" si="9"/>
        <v>9.1024940833788457E-4</v>
      </c>
      <c r="BH8" s="288">
        <f t="shared" si="9"/>
        <v>8.6321775207307135E-4</v>
      </c>
      <c r="BI8" s="288">
        <f t="shared" si="9"/>
        <v>8.1936990454340613E-4</v>
      </c>
      <c r="BJ8" s="288">
        <f t="shared" si="9"/>
        <v>7.7844107444329294E-4</v>
      </c>
      <c r="BK8" s="288">
        <f t="shared" si="9"/>
        <v>7.4019245003700959E-4</v>
      </c>
      <c r="BL8" s="288">
        <f t="shared" si="10"/>
        <v>7.0440827503621094E-4</v>
      </c>
      <c r="BM8" s="288">
        <f t="shared" si="10"/>
        <v>6.708932944215222E-4</v>
      </c>
      <c r="BN8" s="288">
        <f t="shared" si="10"/>
        <v>6.3947051841075589E-4</v>
      </c>
      <c r="BO8" s="288">
        <f t="shared" si="10"/>
        <v>6.0997926070513594E-4</v>
      </c>
      <c r="BP8" s="288">
        <f t="shared" si="10"/>
        <v>5.8227341375984866E-4</v>
      </c>
      <c r="BQ8" s="288">
        <f t="shared" si="10"/>
        <v>5.5621992936006888E-4</v>
      </c>
      <c r="BR8" s="288">
        <f t="shared" si="10"/>
        <v>5.316974774277805E-4</v>
      </c>
      <c r="BS8" s="288">
        <f t="shared" si="10"/>
        <v>5.085952598921778E-4</v>
      </c>
      <c r="BT8" s="288">
        <f t="shared" si="10"/>
        <v>4.8681195975282119E-4</v>
      </c>
      <c r="BU8" s="288">
        <f t="shared" si="10"/>
        <v>4.6625480825271003E-4</v>
      </c>
      <c r="BV8" s="288">
        <f t="shared" si="11"/>
        <v>4.4683875544235637E-4</v>
      </c>
      <c r="BW8" s="288">
        <f t="shared" si="11"/>
        <v>4.2848573142514353E-4</v>
      </c>
      <c r="BX8" s="288">
        <f t="shared" si="11"/>
        <v>4.1112398728599065E-4</v>
      </c>
      <c r="BY8" s="288">
        <f t="shared" si="11"/>
        <v>3.9468750616699228E-4</v>
      </c>
      <c r="BZ8" s="288">
        <f t="shared" si="11"/>
        <v>3.7911547620458018E-4</v>
      </c>
      <c r="CA8" s="290">
        <f t="shared" si="11"/>
        <v>3.6435181811557237E-4</v>
      </c>
      <c r="CB8" s="242"/>
      <c r="CE8" s="191">
        <v>6</v>
      </c>
      <c r="CF8" s="268">
        <f t="shared" si="20"/>
        <v>1.2012461179749812</v>
      </c>
      <c r="CG8" s="268">
        <f t="shared" si="21"/>
        <v>1.1601248278687599</v>
      </c>
      <c r="CH8" s="236" t="str">
        <f t="shared" si="22"/>
        <v>+103,8%</v>
      </c>
      <c r="CI8" s="268">
        <f t="shared" si="23"/>
        <v>1.0576408333617513</v>
      </c>
      <c r="CK8" s="238" t="s">
        <v>576</v>
      </c>
      <c r="CL8" s="236" t="str">
        <f t="shared" si="24"/>
        <v>[td]6[/td]</v>
      </c>
      <c r="CM8" s="236" t="str">
        <f t="shared" si="25"/>
        <v>[td]120%[/td]</v>
      </c>
      <c r="CN8" s="236" t="str">
        <f t="shared" si="26"/>
        <v>[td]116%[/td]</v>
      </c>
      <c r="CO8" s="236" t="str">
        <f t="shared" si="27"/>
        <v>[td]+103,8%[/td]</v>
      </c>
      <c r="CP8" s="236" t="str">
        <f t="shared" si="28"/>
        <v>[td]106%[/td]</v>
      </c>
      <c r="CQ8" s="238" t="s">
        <v>578</v>
      </c>
    </row>
    <row r="9" spans="2:95">
      <c r="B9" s="274">
        <f t="shared" si="19"/>
        <v>1.75</v>
      </c>
      <c r="C9" s="234"/>
      <c r="D9" s="272">
        <f t="shared" si="4"/>
        <v>0.99607957020473348</v>
      </c>
      <c r="E9" s="288">
        <f t="shared" si="4"/>
        <v>0.96947427925381569</v>
      </c>
      <c r="F9" s="288">
        <f t="shared" si="4"/>
        <v>0.90393991303202004</v>
      </c>
      <c r="G9" s="288">
        <f t="shared" si="4"/>
        <v>0.79878900791802521</v>
      </c>
      <c r="H9" s="288">
        <f t="shared" si="4"/>
        <v>0.67024914509037614</v>
      </c>
      <c r="I9" s="288">
        <f t="shared" si="4"/>
        <v>0.54049795146549007</v>
      </c>
      <c r="J9" s="288">
        <f t="shared" si="4"/>
        <v>0.42553191489361702</v>
      </c>
      <c r="K9" s="288">
        <f t="shared" si="4"/>
        <v>0.33165731966737572</v>
      </c>
      <c r="L9" s="288">
        <f t="shared" si="4"/>
        <v>0.25844855517462229</v>
      </c>
      <c r="M9" s="288">
        <f t="shared" si="4"/>
        <v>0.2025989367985824</v>
      </c>
      <c r="N9" s="288">
        <f t="shared" si="5"/>
        <v>0.16029160922494565</v>
      </c>
      <c r="O9" s="288">
        <f t="shared" si="5"/>
        <v>0.1281859630764631</v>
      </c>
      <c r="P9" s="288">
        <f t="shared" si="5"/>
        <v>0.10365826017316671</v>
      </c>
      <c r="Q9" s="288">
        <f t="shared" si="5"/>
        <v>8.4745762711864403E-2</v>
      </c>
      <c r="R9" s="288">
        <f t="shared" si="5"/>
        <v>7.0010715925907033E-2</v>
      </c>
      <c r="S9" s="288">
        <f t="shared" si="5"/>
        <v>5.8406838538296493E-2</v>
      </c>
      <c r="T9" s="288">
        <f t="shared" si="5"/>
        <v>4.9171749897857518E-2</v>
      </c>
      <c r="U9" s="288">
        <f t="shared" si="5"/>
        <v>4.1746792921301817E-2</v>
      </c>
      <c r="V9" s="288">
        <f t="shared" si="5"/>
        <v>3.571930664972689E-2</v>
      </c>
      <c r="W9" s="288">
        <f t="shared" si="5"/>
        <v>3.0781656645427622E-2</v>
      </c>
      <c r="X9" s="288">
        <f t="shared" si="6"/>
        <v>2.6702269692923896E-2</v>
      </c>
      <c r="Y9" s="288">
        <f t="shared" si="6"/>
        <v>2.3305113535990431E-2</v>
      </c>
      <c r="Z9" s="288">
        <f t="shared" si="6"/>
        <v>2.0455080821423565E-2</v>
      </c>
      <c r="AA9" s="288">
        <f t="shared" si="6"/>
        <v>1.8047502288823174E-2</v>
      </c>
      <c r="AB9" s="288">
        <f t="shared" si="6"/>
        <v>1.600055978634821E-2</v>
      </c>
      <c r="AC9" s="288">
        <f t="shared" si="6"/>
        <v>1.4249748656036823E-2</v>
      </c>
      <c r="AD9" s="288">
        <f t="shared" si="6"/>
        <v>1.274379947278567E-2</v>
      </c>
      <c r="AE9" s="288">
        <f t="shared" si="6"/>
        <v>1.1441647597254004E-2</v>
      </c>
      <c r="AF9" s="288">
        <f t="shared" si="6"/>
        <v>1.031016152085403E-2</v>
      </c>
      <c r="AG9" s="288">
        <f t="shared" si="6"/>
        <v>9.3224254613649329E-3</v>
      </c>
      <c r="AH9" s="288">
        <f t="shared" si="7"/>
        <v>8.4564302769789077E-3</v>
      </c>
      <c r="AI9" s="288">
        <f t="shared" si="7"/>
        <v>7.6940677167685809E-3</v>
      </c>
      <c r="AJ9" s="288">
        <f t="shared" si="7"/>
        <v>7.0203518567602602E-3</v>
      </c>
      <c r="AK9" s="288">
        <f t="shared" si="7"/>
        <v>6.4228120306946751E-3</v>
      </c>
      <c r="AL9" s="288">
        <f t="shared" si="7"/>
        <v>5.8910162002945498E-3</v>
      </c>
      <c r="AM9" s="288">
        <f t="shared" si="7"/>
        <v>5.416194262939651E-3</v>
      </c>
      <c r="AN9" s="288">
        <f t="shared" si="7"/>
        <v>4.9909384637658594E-3</v>
      </c>
      <c r="AO9" s="288">
        <f t="shared" si="7"/>
        <v>4.6089636953407804E-3</v>
      </c>
      <c r="AP9" s="288">
        <f t="shared" si="7"/>
        <v>4.2649146115601565E-3</v>
      </c>
      <c r="AQ9" s="288">
        <f t="shared" si="7"/>
        <v>3.9542095615784558E-3</v>
      </c>
      <c r="AR9" s="288">
        <f t="shared" si="8"/>
        <v>3.6729136538691145E-3</v>
      </c>
      <c r="AS9" s="288">
        <f t="shared" si="8"/>
        <v>3.4176349965823649E-3</v>
      </c>
      <c r="AT9" s="288">
        <f t="shared" si="8"/>
        <v>3.1854394768821136E-3</v>
      </c>
      <c r="AU9" s="288">
        <f t="shared" si="8"/>
        <v>2.9737804465699218E-3</v>
      </c>
      <c r="AV9" s="288">
        <f t="shared" si="8"/>
        <v>2.7804404525714004E-3</v>
      </c>
      <c r="AW9" s="288">
        <f t="shared" si="8"/>
        <v>2.6034827464238167E-3</v>
      </c>
      <c r="AX9" s="288">
        <f t="shared" si="8"/>
        <v>2.441210769369281E-3</v>
      </c>
      <c r="AY9" s="288">
        <f t="shared" si="8"/>
        <v>2.2921341707085297E-3</v>
      </c>
      <c r="AZ9" s="288">
        <f t="shared" si="8"/>
        <v>2.1549402004094383E-3</v>
      </c>
      <c r="BA9" s="288">
        <f t="shared" si="8"/>
        <v>2.0284695404304142E-3</v>
      </c>
      <c r="BB9" s="288">
        <f t="shared" si="9"/>
        <v>1.9116958163122272E-3</v>
      </c>
      <c r="BC9" s="288">
        <f t="shared" si="9"/>
        <v>1.8037081715868107E-3</v>
      </c>
      <c r="BD9" s="288">
        <f t="shared" si="9"/>
        <v>1.703696400308056E-3</v>
      </c>
      <c r="BE9" s="288">
        <f t="shared" si="9"/>
        <v>1.6109382235719241E-3</v>
      </c>
      <c r="BF9" s="288">
        <f t="shared" si="9"/>
        <v>1.5247883689321034E-3</v>
      </c>
      <c r="BG9" s="288">
        <f t="shared" si="9"/>
        <v>1.444669170759896E-3</v>
      </c>
      <c r="BH9" s="288">
        <f t="shared" si="9"/>
        <v>1.3700624576723597E-3</v>
      </c>
      <c r="BI9" s="288">
        <f t="shared" si="9"/>
        <v>1.3005025323779631E-3</v>
      </c>
      <c r="BJ9" s="288">
        <f t="shared" si="9"/>
        <v>1.2355700814089389E-3</v>
      </c>
      <c r="BK9" s="288">
        <f t="shared" si="9"/>
        <v>1.174886878603015E-3</v>
      </c>
      <c r="BL9" s="288">
        <f t="shared" si="10"/>
        <v>1.1181111679583891E-3</v>
      </c>
      <c r="BM9" s="288">
        <f t="shared" si="10"/>
        <v>1.0649336294863043E-3</v>
      </c>
      <c r="BN9" s="288">
        <f t="shared" si="10"/>
        <v>1.0150738466223417E-3</v>
      </c>
      <c r="BO9" s="288">
        <f t="shared" si="10"/>
        <v>9.6827720618997311E-4</v>
      </c>
      <c r="BP9" s="288">
        <f t="shared" si="10"/>
        <v>9.2431217228855522E-4</v>
      </c>
      <c r="BQ9" s="288">
        <f t="shared" si="10"/>
        <v>8.8296788416696991E-4</v>
      </c>
      <c r="BR9" s="288">
        <f t="shared" si="10"/>
        <v>8.4405203543886579E-4</v>
      </c>
      <c r="BS9" s="288">
        <f t="shared" si="10"/>
        <v>8.0738899813617899E-4</v>
      </c>
      <c r="BT9" s="288">
        <f t="shared" si="10"/>
        <v>7.728181602804586E-4</v>
      </c>
      <c r="BU9" s="288">
        <f t="shared" si="10"/>
        <v>7.4019245003700948E-4</v>
      </c>
      <c r="BV9" s="288">
        <f t="shared" si="11"/>
        <v>7.0937702323685425E-4</v>
      </c>
      <c r="BW9" s="288">
        <f t="shared" si="11"/>
        <v>6.8024809421455927E-4</v>
      </c>
      <c r="BX9" s="288">
        <f t="shared" si="11"/>
        <v>6.5269189260573342E-4</v>
      </c>
      <c r="BY9" s="288">
        <f t="shared" si="11"/>
        <v>6.2660373105071757E-4</v>
      </c>
      <c r="BZ9" s="288">
        <f t="shared" si="11"/>
        <v>6.0188717072231287E-4</v>
      </c>
      <c r="CA9" s="290">
        <f t="shared" si="11"/>
        <v>5.7845327328662297E-4</v>
      </c>
      <c r="CB9" s="242"/>
      <c r="CE9" s="191">
        <v>7</v>
      </c>
      <c r="CF9" s="268">
        <f t="shared" si="20"/>
        <v>1.2204540768504861</v>
      </c>
      <c r="CG9" s="268">
        <f t="shared" si="21"/>
        <v>1.1754079604807033</v>
      </c>
      <c r="CH9" s="236" t="str">
        <f t="shared" si="22"/>
        <v>+112,7%</v>
      </c>
      <c r="CI9" s="268">
        <f t="shared" si="23"/>
        <v>1.062599854815871</v>
      </c>
      <c r="CK9" s="238" t="s">
        <v>576</v>
      </c>
      <c r="CL9" s="236" t="str">
        <f t="shared" si="24"/>
        <v>[td]7[/td]</v>
      </c>
      <c r="CM9" s="236" t="str">
        <f t="shared" si="25"/>
        <v>[td]122%[/td]</v>
      </c>
      <c r="CN9" s="236" t="str">
        <f t="shared" si="26"/>
        <v>[td]118%[/td]</v>
      </c>
      <c r="CO9" s="236" t="str">
        <f t="shared" si="27"/>
        <v>[td]+112,7%[/td]</v>
      </c>
      <c r="CP9" s="236" t="str">
        <f t="shared" si="28"/>
        <v>[td]106%[/td]</v>
      </c>
      <c r="CQ9" s="238" t="s">
        <v>578</v>
      </c>
    </row>
    <row r="10" spans="2:95">
      <c r="B10" s="274">
        <f t="shared" si="19"/>
        <v>2</v>
      </c>
      <c r="C10" s="234"/>
      <c r="D10" s="272">
        <f t="shared" si="4"/>
        <v>0.99737021525275149</v>
      </c>
      <c r="E10" s="288">
        <f t="shared" si="4"/>
        <v>0.97934200459066578</v>
      </c>
      <c r="F10" s="288">
        <f t="shared" si="4"/>
        <v>0.93353997629683649</v>
      </c>
      <c r="G10" s="288">
        <f t="shared" si="4"/>
        <v>0.85561497326203206</v>
      </c>
      <c r="H10" s="288">
        <f t="shared" si="4"/>
        <v>0.75211164157179577</v>
      </c>
      <c r="I10" s="288">
        <f t="shared" si="4"/>
        <v>0.63713290194126426</v>
      </c>
      <c r="J10" s="288">
        <f t="shared" si="4"/>
        <v>0.52510127685759711</v>
      </c>
      <c r="K10" s="288">
        <f t="shared" si="4"/>
        <v>0.42553191489361702</v>
      </c>
      <c r="L10" s="288">
        <f t="shared" si="4"/>
        <v>0.34221167663670082</v>
      </c>
      <c r="M10" s="288">
        <f t="shared" si="4"/>
        <v>0.27497314715359827</v>
      </c>
      <c r="N10" s="288">
        <f t="shared" si="5"/>
        <v>0.22175541936461871</v>
      </c>
      <c r="O10" s="288">
        <f t="shared" si="5"/>
        <v>0.17997750281214847</v>
      </c>
      <c r="P10" s="288">
        <f t="shared" si="5"/>
        <v>0.14721315717592259</v>
      </c>
      <c r="Q10" s="288">
        <f t="shared" si="5"/>
        <v>0.12143060430699176</v>
      </c>
      <c r="R10" s="288">
        <f t="shared" si="5"/>
        <v>0.10102106249691709</v>
      </c>
      <c r="S10" s="288">
        <f t="shared" si="5"/>
        <v>8.4745762711864403E-2</v>
      </c>
      <c r="T10" s="288">
        <f t="shared" si="5"/>
        <v>7.1663015865239932E-2</v>
      </c>
      <c r="U10" s="288">
        <f t="shared" si="5"/>
        <v>6.1059962791585168E-2</v>
      </c>
      <c r="V10" s="288">
        <f t="shared" si="5"/>
        <v>5.2396473471726879E-2</v>
      </c>
      <c r="W10" s="288">
        <f t="shared" si="5"/>
        <v>4.5261669024045263E-2</v>
      </c>
      <c r="X10" s="288">
        <f t="shared" si="6"/>
        <v>3.9341188764709725E-2</v>
      </c>
      <c r="Y10" s="288">
        <f t="shared" si="6"/>
        <v>3.4392884971921431E-2</v>
      </c>
      <c r="Z10" s="288">
        <f t="shared" si="6"/>
        <v>3.0228871524343982E-2</v>
      </c>
      <c r="AA10" s="288">
        <f t="shared" si="6"/>
        <v>2.6702269692923896E-2</v>
      </c>
      <c r="AB10" s="288">
        <f t="shared" si="6"/>
        <v>2.369739536928827E-2</v>
      </c>
      <c r="AC10" s="288">
        <f t="shared" si="6"/>
        <v>2.1122460766679316E-2</v>
      </c>
      <c r="AD10" s="288">
        <f t="shared" si="6"/>
        <v>1.8904115152645191E-2</v>
      </c>
      <c r="AE10" s="288">
        <f t="shared" si="6"/>
        <v>1.698333510243074E-2</v>
      </c>
      <c r="AF10" s="288">
        <f t="shared" si="6"/>
        <v>1.5312309811093348E-2</v>
      </c>
      <c r="AG10" s="288">
        <f t="shared" si="6"/>
        <v>1.385206428223581E-2</v>
      </c>
      <c r="AH10" s="288">
        <f t="shared" si="7"/>
        <v>1.2570633086053593E-2</v>
      </c>
      <c r="AI10" s="288">
        <f t="shared" si="7"/>
        <v>1.1441647597254004E-2</v>
      </c>
      <c r="AJ10" s="288">
        <f t="shared" si="7"/>
        <v>1.0443235812140057E-2</v>
      </c>
      <c r="AK10" s="288">
        <f t="shared" si="7"/>
        <v>9.5571600301647859E-3</v>
      </c>
      <c r="AL10" s="288">
        <f t="shared" si="7"/>
        <v>8.7681367281321025E-3</v>
      </c>
      <c r="AM10" s="288">
        <f t="shared" si="7"/>
        <v>8.0632968805120185E-3</v>
      </c>
      <c r="AN10" s="288">
        <f t="shared" si="7"/>
        <v>7.4317552223684214E-3</v>
      </c>
      <c r="AO10" s="288">
        <f t="shared" si="7"/>
        <v>6.864264531594385E-3</v>
      </c>
      <c r="AP10" s="288">
        <f t="shared" si="7"/>
        <v>6.3529366511710424E-3</v>
      </c>
      <c r="AQ10" s="288">
        <f t="shared" si="7"/>
        <v>5.8910162002945507E-3</v>
      </c>
      <c r="AR10" s="288">
        <f t="shared" si="8"/>
        <v>5.4726961098429967E-3</v>
      </c>
      <c r="AS10" s="288">
        <f t="shared" si="8"/>
        <v>5.0929665336394416E-3</v>
      </c>
      <c r="AT10" s="288">
        <f t="shared" si="8"/>
        <v>4.7474905293591026E-3</v>
      </c>
      <c r="AU10" s="288">
        <f t="shared" si="8"/>
        <v>4.4325013158988281E-3</v>
      </c>
      <c r="AV10" s="288">
        <f t="shared" si="8"/>
        <v>4.1447170036610316E-3</v>
      </c>
      <c r="AW10" s="288">
        <f t="shared" si="8"/>
        <v>3.8812695390082748E-3</v>
      </c>
      <c r="AX10" s="288">
        <f t="shared" si="8"/>
        <v>3.6396452625431803E-3</v>
      </c>
      <c r="AY10" s="288">
        <f t="shared" si="8"/>
        <v>3.4176349965823649E-3</v>
      </c>
      <c r="AZ10" s="288">
        <f t="shared" si="8"/>
        <v>3.2132919831189201E-3</v>
      </c>
      <c r="BA10" s="288">
        <f t="shared" si="8"/>
        <v>3.0248963145892167E-3</v>
      </c>
      <c r="BB10" s="288">
        <f t="shared" si="9"/>
        <v>2.8509247547968061E-3</v>
      </c>
      <c r="BC10" s="288">
        <f t="shared" si="9"/>
        <v>2.6900250508582859E-3</v>
      </c>
      <c r="BD10" s="288">
        <f t="shared" si="9"/>
        <v>2.540994000127546E-3</v>
      </c>
      <c r="BE10" s="288">
        <f t="shared" si="9"/>
        <v>2.4027586672948878E-3</v>
      </c>
      <c r="BF10" s="288">
        <f t="shared" si="9"/>
        <v>2.2743602528893145E-3</v>
      </c>
      <c r="BG10" s="288">
        <f t="shared" si="9"/>
        <v>2.1549402004094388E-3</v>
      </c>
      <c r="BH10" s="288">
        <f t="shared" si="9"/>
        <v>2.0437281993177857E-3</v>
      </c>
      <c r="BI10" s="288">
        <f t="shared" si="9"/>
        <v>1.9400317983336946E-3</v>
      </c>
      <c r="BJ10" s="288">
        <f t="shared" si="9"/>
        <v>1.8432273903590205E-3</v>
      </c>
      <c r="BK10" s="288">
        <f t="shared" si="9"/>
        <v>1.7527523689543736E-3</v>
      </c>
      <c r="BL10" s="288">
        <f t="shared" si="10"/>
        <v>1.6680982881304217E-3</v>
      </c>
      <c r="BM10" s="288">
        <f t="shared" si="10"/>
        <v>1.5888048835890106E-3</v>
      </c>
      <c r="BN10" s="288">
        <f t="shared" si="10"/>
        <v>1.514454835451672E-3</v>
      </c>
      <c r="BO10" s="288">
        <f t="shared" si="10"/>
        <v>1.4446691707598958E-3</v>
      </c>
      <c r="BP10" s="288">
        <f t="shared" si="10"/>
        <v>1.3791032192767385E-3</v>
      </c>
      <c r="BQ10" s="288">
        <f t="shared" si="10"/>
        <v>1.3174430488925757E-3</v>
      </c>
      <c r="BR10" s="288">
        <f t="shared" si="10"/>
        <v>1.2594023176692299E-3</v>
      </c>
      <c r="BS10" s="288">
        <f t="shared" si="10"/>
        <v>1.204719488596577E-3</v>
      </c>
      <c r="BT10" s="288">
        <f t="shared" si="10"/>
        <v>1.1531553607703978E-3</v>
      </c>
      <c r="BU10" s="288">
        <f t="shared" si="10"/>
        <v>1.1044908771642196E-3</v>
      </c>
      <c r="BV10" s="288">
        <f t="shared" si="11"/>
        <v>1.0585251746540695E-3</v>
      </c>
      <c r="BW10" s="288">
        <f t="shared" si="11"/>
        <v>1.0150738466223417E-3</v>
      </c>
      <c r="BX10" s="288">
        <f t="shared" si="11"/>
        <v>9.7396739244674953E-4</v>
      </c>
      <c r="BY10" s="288">
        <f t="shared" si="11"/>
        <v>9.3504983158145417E-4</v>
      </c>
      <c r="BZ10" s="288">
        <f t="shared" si="11"/>
        <v>8.9817746285040655E-4</v>
      </c>
      <c r="CA10" s="290">
        <f t="shared" si="11"/>
        <v>8.6321775207307124E-4</v>
      </c>
      <c r="CB10" s="242"/>
      <c r="CE10" s="191">
        <v>8</v>
      </c>
      <c r="CF10" s="268">
        <f t="shared" si="20"/>
        <v>1.2381176179958131</v>
      </c>
      <c r="CG10" s="268">
        <f t="shared" si="21"/>
        <v>1.1894622513853352</v>
      </c>
      <c r="CH10" s="236" t="str">
        <f t="shared" si="22"/>
        <v>+120,4%</v>
      </c>
      <c r="CI10" s="268">
        <f t="shared" si="23"/>
        <v>1.0668955545919958</v>
      </c>
      <c r="CK10" s="238" t="s">
        <v>576</v>
      </c>
      <c r="CL10" s="236" t="str">
        <f t="shared" si="24"/>
        <v>[td]8[/td]</v>
      </c>
      <c r="CM10" s="236" t="str">
        <f t="shared" si="25"/>
        <v>[td]124%[/td]</v>
      </c>
      <c r="CN10" s="236" t="str">
        <f t="shared" si="26"/>
        <v>[td]119%[/td]</v>
      </c>
      <c r="CO10" s="236" t="str">
        <f t="shared" si="27"/>
        <v>[td]+120,4%[/td]</v>
      </c>
      <c r="CP10" s="236" t="str">
        <f t="shared" si="28"/>
        <v>[td]107%[/td]</v>
      </c>
      <c r="CQ10" s="238" t="s">
        <v>578</v>
      </c>
    </row>
    <row r="11" spans="2:95">
      <c r="B11" s="274">
        <f t="shared" si="19"/>
        <v>2.25</v>
      </c>
      <c r="C11" s="234"/>
      <c r="D11" s="272">
        <f t="shared" si="4"/>
        <v>0.99815157116451014</v>
      </c>
      <c r="E11" s="288">
        <f t="shared" si="4"/>
        <v>0.98540145985401462</v>
      </c>
      <c r="F11" s="288">
        <f t="shared" si="4"/>
        <v>0.95238095238095233</v>
      </c>
      <c r="G11" s="288">
        <f t="shared" si="4"/>
        <v>0.89403973509933776</v>
      </c>
      <c r="H11" s="288">
        <f t="shared" si="4"/>
        <v>0.81203007518796988</v>
      </c>
      <c r="I11" s="288">
        <f t="shared" si="4"/>
        <v>0.7142857142857143</v>
      </c>
      <c r="J11" s="288">
        <f t="shared" si="4"/>
        <v>0.61155152887882225</v>
      </c>
      <c r="K11" s="288">
        <f t="shared" si="4"/>
        <v>0.51330798479087447</v>
      </c>
      <c r="L11" s="288">
        <f t="shared" si="4"/>
        <v>0.42553191489361702</v>
      </c>
      <c r="M11" s="288">
        <f t="shared" si="4"/>
        <v>0.35064935064935066</v>
      </c>
      <c r="N11" s="288">
        <f t="shared" si="5"/>
        <v>0.28861571352218063</v>
      </c>
      <c r="O11" s="288">
        <f t="shared" si="5"/>
        <v>0.23809523809523808</v>
      </c>
      <c r="P11" s="288">
        <f t="shared" si="5"/>
        <v>0.19729630982827912</v>
      </c>
      <c r="Q11" s="288">
        <f t="shared" si="5"/>
        <v>0.16443361753958588</v>
      </c>
      <c r="R11" s="288">
        <f t="shared" si="5"/>
        <v>0.13793103448275862</v>
      </c>
      <c r="S11" s="288">
        <f t="shared" si="5"/>
        <v>0.11647972389991371</v>
      </c>
      <c r="T11" s="288">
        <f t="shared" si="5"/>
        <v>9.9028057949752432E-2</v>
      </c>
      <c r="U11" s="288">
        <f t="shared" si="5"/>
        <v>8.4745762711864403E-2</v>
      </c>
      <c r="V11" s="288">
        <f t="shared" si="5"/>
        <v>7.2982835518313277E-2</v>
      </c>
      <c r="W11" s="288">
        <f t="shared" si="5"/>
        <v>6.323185011709602E-2</v>
      </c>
      <c r="X11" s="288">
        <f t="shared" si="6"/>
        <v>5.5096418732782371E-2</v>
      </c>
      <c r="Y11" s="288">
        <f t="shared" si="6"/>
        <v>4.8265999284948152E-2</v>
      </c>
      <c r="Z11" s="288">
        <f t="shared" si="6"/>
        <v>4.2496261902888167E-2</v>
      </c>
      <c r="AA11" s="288">
        <f t="shared" si="6"/>
        <v>3.7593984962406013E-2</v>
      </c>
      <c r="AB11" s="288">
        <f t="shared" si="6"/>
        <v>3.3405505722239409E-2</v>
      </c>
      <c r="AC11" s="288">
        <f t="shared" si="6"/>
        <v>2.9807904614705231E-2</v>
      </c>
      <c r="AD11" s="288">
        <f t="shared" si="6"/>
        <v>2.6702269692923896E-2</v>
      </c>
      <c r="AE11" s="288">
        <f t="shared" si="6"/>
        <v>2.4008536368486572E-2</v>
      </c>
      <c r="AF11" s="288">
        <f t="shared" si="6"/>
        <v>2.1661518713145332E-2</v>
      </c>
      <c r="AG11" s="288">
        <f t="shared" si="6"/>
        <v>1.9607843137254902E-2</v>
      </c>
      <c r="AH11" s="288">
        <f t="shared" si="7"/>
        <v>1.7803567307375291E-2</v>
      </c>
      <c r="AI11" s="288">
        <f t="shared" si="7"/>
        <v>1.621232136423682E-2</v>
      </c>
      <c r="AJ11" s="288">
        <f t="shared" si="7"/>
        <v>1.4803849000740192E-2</v>
      </c>
      <c r="AK11" s="288">
        <f t="shared" si="7"/>
        <v>1.3552856138941872E-2</v>
      </c>
      <c r="AL11" s="288">
        <f t="shared" si="7"/>
        <v>1.2438097431763214E-2</v>
      </c>
      <c r="AM11" s="288">
        <f t="shared" si="7"/>
        <v>1.1441647597254004E-2</v>
      </c>
      <c r="AN11" s="288">
        <f t="shared" si="7"/>
        <v>1.0548317152735725E-2</v>
      </c>
      <c r="AO11" s="288">
        <f t="shared" si="7"/>
        <v>9.7451815491229315E-3</v>
      </c>
      <c r="AP11" s="288">
        <f t="shared" si="7"/>
        <v>9.0211998195760031E-3</v>
      </c>
      <c r="AQ11" s="288">
        <f t="shared" si="7"/>
        <v>8.3669042454291905E-3</v>
      </c>
      <c r="AR11" s="288">
        <f t="shared" si="8"/>
        <v>7.774146643440203E-3</v>
      </c>
      <c r="AS11" s="288">
        <f t="shared" si="8"/>
        <v>7.2358900144717797E-3</v>
      </c>
      <c r="AT11" s="288">
        <f t="shared" si="8"/>
        <v>6.7460367034367303E-3</v>
      </c>
      <c r="AU11" s="288">
        <f t="shared" si="8"/>
        <v>6.2992860809108295E-3</v>
      </c>
      <c r="AV11" s="288">
        <f t="shared" si="8"/>
        <v>5.8910162002945498E-3</v>
      </c>
      <c r="AW11" s="288">
        <f t="shared" si="8"/>
        <v>5.5171850096039886E-3</v>
      </c>
      <c r="AX11" s="288">
        <f t="shared" si="8"/>
        <v>5.1742475781646749E-3</v>
      </c>
      <c r="AY11" s="288">
        <f t="shared" si="8"/>
        <v>4.8590864917395522E-3</v>
      </c>
      <c r="AZ11" s="288">
        <f t="shared" si="8"/>
        <v>4.5689531174643999E-3</v>
      </c>
      <c r="BA11" s="288">
        <f t="shared" si="8"/>
        <v>4.3014178747809466E-3</v>
      </c>
      <c r="BB11" s="288">
        <f t="shared" si="9"/>
        <v>4.0543279951348061E-3</v>
      </c>
      <c r="BC11" s="288">
        <f t="shared" si="9"/>
        <v>3.8257715305920026E-3</v>
      </c>
      <c r="BD11" s="288">
        <f t="shared" si="9"/>
        <v>3.6140465944303523E-3</v>
      </c>
      <c r="BE11" s="288">
        <f t="shared" si="9"/>
        <v>3.4176349965823645E-3</v>
      </c>
      <c r="BF11" s="288">
        <f t="shared" si="9"/>
        <v>3.2351795824221907E-3</v>
      </c>
      <c r="BG11" s="288">
        <f t="shared" si="9"/>
        <v>3.0654647017416378E-3</v>
      </c>
      <c r="BH11" s="288">
        <f t="shared" si="9"/>
        <v>2.9073993312981536E-3</v>
      </c>
      <c r="BI11" s="288">
        <f t="shared" si="9"/>
        <v>2.7600024533355138E-3</v>
      </c>
      <c r="BJ11" s="288">
        <f t="shared" si="9"/>
        <v>2.6223903573735301E-3</v>
      </c>
      <c r="BK11" s="288">
        <f t="shared" si="9"/>
        <v>2.4937655860349127E-3</v>
      </c>
      <c r="BL11" s="288">
        <f t="shared" si="10"/>
        <v>2.3734072898765387E-3</v>
      </c>
      <c r="BM11" s="288">
        <f t="shared" si="10"/>
        <v>2.2606627928395597E-3</v>
      </c>
      <c r="BN11" s="288">
        <f t="shared" si="10"/>
        <v>2.1549402004094388E-3</v>
      </c>
      <c r="BO11" s="288">
        <f t="shared" si="10"/>
        <v>2.055701907995919E-3</v>
      </c>
      <c r="BP11" s="288">
        <f t="shared" si="10"/>
        <v>1.9624588883033816E-3</v>
      </c>
      <c r="BQ11" s="288">
        <f t="shared" si="10"/>
        <v>1.8747656542932132E-3</v>
      </c>
      <c r="BR11" s="288">
        <f t="shared" si="10"/>
        <v>1.7922158093347891E-3</v>
      </c>
      <c r="BS11" s="288">
        <f t="shared" si="10"/>
        <v>1.7144381087842728E-3</v>
      </c>
      <c r="BT11" s="288">
        <f t="shared" si="10"/>
        <v>1.6410929679166323E-3</v>
      </c>
      <c r="BU11" s="288">
        <f t="shared" si="10"/>
        <v>1.5718693601909528E-3</v>
      </c>
      <c r="BV11" s="288">
        <f t="shared" si="11"/>
        <v>1.5064820575197166E-3</v>
      </c>
      <c r="BW11" s="288">
        <f t="shared" si="11"/>
        <v>1.4446691707598958E-3</v>
      </c>
      <c r="BX11" s="288">
        <f t="shared" si="11"/>
        <v>1.3861899542300612E-3</v>
      </c>
      <c r="BY11" s="288">
        <f t="shared" si="11"/>
        <v>1.3308228428347512E-3</v>
      </c>
      <c r="BZ11" s="288">
        <f t="shared" si="11"/>
        <v>1.278363694471077E-3</v>
      </c>
      <c r="CA11" s="290">
        <f t="shared" si="11"/>
        <v>1.2286242139080258E-3</v>
      </c>
      <c r="CB11" s="242"/>
      <c r="CE11" s="191">
        <v>9</v>
      </c>
      <c r="CF11" s="268">
        <f t="shared" si="20"/>
        <v>1.2545584412271571</v>
      </c>
      <c r="CG11" s="268">
        <f t="shared" si="21"/>
        <v>1.2025436664030746</v>
      </c>
      <c r="CH11" s="236" t="str">
        <f t="shared" si="22"/>
        <v>+127,2%</v>
      </c>
      <c r="CI11" s="268">
        <f t="shared" si="23"/>
        <v>1.0706846303288389</v>
      </c>
      <c r="CK11" s="238" t="s">
        <v>576</v>
      </c>
      <c r="CL11" s="236" t="str">
        <f t="shared" si="24"/>
        <v>[td]9[/td]</v>
      </c>
      <c r="CM11" s="236" t="str">
        <f t="shared" si="25"/>
        <v>[td]125%[/td]</v>
      </c>
      <c r="CN11" s="236" t="str">
        <f t="shared" si="26"/>
        <v>[td]120%[/td]</v>
      </c>
      <c r="CO11" s="236" t="str">
        <f t="shared" si="27"/>
        <v>[td]+127,2%[/td]</v>
      </c>
      <c r="CP11" s="236" t="str">
        <f t="shared" si="28"/>
        <v>[td]107%[/td]</v>
      </c>
      <c r="CQ11" s="238" t="s">
        <v>578</v>
      </c>
    </row>
    <row r="12" spans="2:95">
      <c r="B12" s="274">
        <f t="shared" si="19"/>
        <v>2.5</v>
      </c>
      <c r="C12" s="234"/>
      <c r="D12" s="272">
        <f t="shared" si="4"/>
        <v>0.99865182004294195</v>
      </c>
      <c r="E12" s="288">
        <f t="shared" si="4"/>
        <v>0.98931539374752675</v>
      </c>
      <c r="F12" s="288">
        <f t="shared" si="4"/>
        <v>0.96483187804525061</v>
      </c>
      <c r="G12" s="288">
        <f t="shared" si="4"/>
        <v>0.92047128129602351</v>
      </c>
      <c r="H12" s="288">
        <f t="shared" si="4"/>
        <v>0.85561497326203206</v>
      </c>
      <c r="I12" s="288">
        <f t="shared" si="4"/>
        <v>0.77423350882626207</v>
      </c>
      <c r="J12" s="288">
        <f t="shared" si="4"/>
        <v>0.68350363965688121</v>
      </c>
      <c r="K12" s="288">
        <f t="shared" si="4"/>
        <v>0.59129612109744556</v>
      </c>
      <c r="L12" s="288">
        <f t="shared" si="4"/>
        <v>0.50399415366781741</v>
      </c>
      <c r="M12" s="288">
        <f t="shared" si="4"/>
        <v>0.42553191489361702</v>
      </c>
      <c r="N12" s="288">
        <f t="shared" si="5"/>
        <v>0.35754509537515416</v>
      </c>
      <c r="O12" s="288">
        <f t="shared" si="5"/>
        <v>0.30004800768122897</v>
      </c>
      <c r="P12" s="288">
        <f t="shared" si="5"/>
        <v>0.25214639619763235</v>
      </c>
      <c r="Q12" s="288">
        <f t="shared" si="5"/>
        <v>0.21256695859195648</v>
      </c>
      <c r="R12" s="288">
        <f t="shared" si="5"/>
        <v>0.17997750281214847</v>
      </c>
      <c r="S12" s="288">
        <f t="shared" si="5"/>
        <v>0.15314873805439844</v>
      </c>
      <c r="T12" s="288">
        <f t="shared" si="5"/>
        <v>0.13101781187152392</v>
      </c>
      <c r="U12" s="288">
        <f t="shared" si="5"/>
        <v>0.11269891358247305</v>
      </c>
      <c r="V12" s="288">
        <f t="shared" si="5"/>
        <v>9.7469211912687065E-2</v>
      </c>
      <c r="W12" s="288">
        <f t="shared" si="5"/>
        <v>8.4745762711864403E-2</v>
      </c>
      <c r="X12" s="288">
        <f t="shared" si="6"/>
        <v>7.4061181942402618E-2</v>
      </c>
      <c r="Y12" s="288">
        <f t="shared" si="6"/>
        <v>6.5041496474750882E-2</v>
      </c>
      <c r="Z12" s="288">
        <f t="shared" si="6"/>
        <v>5.7387327156544016E-2</v>
      </c>
      <c r="AA12" s="288">
        <f t="shared" si="6"/>
        <v>5.085849133371307E-2</v>
      </c>
      <c r="AB12" s="288">
        <f t="shared" si="6"/>
        <v>4.5261669024045263E-2</v>
      </c>
      <c r="AC12" s="288">
        <f t="shared" si="6"/>
        <v>4.0440641226807288E-2</v>
      </c>
      <c r="AD12" s="288">
        <f t="shared" si="6"/>
        <v>3.6268612598627951E-2</v>
      </c>
      <c r="AE12" s="288">
        <f t="shared" si="6"/>
        <v>3.2642189376925888E-2</v>
      </c>
      <c r="AF12" s="288">
        <f t="shared" si="6"/>
        <v>2.9476656698643924E-2</v>
      </c>
      <c r="AG12" s="288">
        <f t="shared" si="6"/>
        <v>2.67022696929239E-2</v>
      </c>
      <c r="AH12" s="288">
        <f t="shared" si="7"/>
        <v>2.4261333378621151E-2</v>
      </c>
      <c r="AI12" s="288">
        <f t="shared" si="7"/>
        <v>2.2105896084603685E-2</v>
      </c>
      <c r="AJ12" s="288">
        <f t="shared" si="7"/>
        <v>2.0195920625992753E-2</v>
      </c>
      <c r="AK12" s="288">
        <f t="shared" si="7"/>
        <v>1.8497828354951128E-2</v>
      </c>
      <c r="AL12" s="288">
        <f t="shared" si="7"/>
        <v>1.6983335102430736E-2</v>
      </c>
      <c r="AM12" s="288">
        <f t="shared" si="7"/>
        <v>1.5628516416193641E-2</v>
      </c>
      <c r="AN12" s="288">
        <f t="shared" si="7"/>
        <v>1.4413053614397486E-2</v>
      </c>
      <c r="AO12" s="288">
        <f t="shared" si="7"/>
        <v>1.3319623001390567E-2</v>
      </c>
      <c r="AP12" s="288">
        <f t="shared" si="7"/>
        <v>1.2333398905904182E-2</v>
      </c>
      <c r="AQ12" s="288">
        <f t="shared" si="7"/>
        <v>1.1441647597254004E-2</v>
      </c>
      <c r="AR12" s="288">
        <f t="shared" si="8"/>
        <v>1.0633394067735783E-2</v>
      </c>
      <c r="AS12" s="288">
        <f t="shared" si="8"/>
        <v>9.8991474854185548E-3</v>
      </c>
      <c r="AT12" s="288">
        <f t="shared" si="8"/>
        <v>9.2306740838209809E-3</v>
      </c>
      <c r="AU12" s="288">
        <f t="shared" si="8"/>
        <v>8.6208085628767285E-3</v>
      </c>
      <c r="AV12" s="288">
        <f t="shared" si="8"/>
        <v>8.0632968805120185E-3</v>
      </c>
      <c r="AW12" s="288">
        <f t="shared" si="8"/>
        <v>7.5526647311704512E-3</v>
      </c>
      <c r="AX12" s="288">
        <f t="shared" si="8"/>
        <v>7.0841071244511136E-3</v>
      </c>
      <c r="AY12" s="288">
        <f t="shared" si="8"/>
        <v>6.6533953607204824E-3</v>
      </c>
      <c r="AZ12" s="288">
        <f t="shared" si="8"/>
        <v>6.2567984025142312E-3</v>
      </c>
      <c r="BA12" s="288">
        <f t="shared" si="8"/>
        <v>5.8910162002945507E-3</v>
      </c>
      <c r="BB12" s="288">
        <f t="shared" si="9"/>
        <v>5.5531229791838405E-3</v>
      </c>
      <c r="BC12" s="288">
        <f t="shared" si="9"/>
        <v>5.2405188532906261E-3</v>
      </c>
      <c r="BD12" s="288">
        <f t="shared" si="9"/>
        <v>4.9508884245505645E-3</v>
      </c>
      <c r="BE12" s="288">
        <f t="shared" si="9"/>
        <v>4.6821652579592124E-3</v>
      </c>
      <c r="BF12" s="288">
        <f t="shared" si="9"/>
        <v>4.4325013158988272E-3</v>
      </c>
      <c r="BG12" s="288">
        <f t="shared" si="9"/>
        <v>4.2002405897809828E-3</v>
      </c>
      <c r="BH12" s="288">
        <f t="shared" si="9"/>
        <v>3.9838962943987812E-3</v>
      </c>
      <c r="BI12" s="288">
        <f t="shared" si="9"/>
        <v>3.7821310947151526E-3</v>
      </c>
      <c r="BJ12" s="288">
        <f t="shared" si="9"/>
        <v>3.5937399206825661E-3</v>
      </c>
      <c r="BK12" s="288">
        <f t="shared" si="9"/>
        <v>3.4176349965823649E-3</v>
      </c>
      <c r="BL12" s="288">
        <f t="shared" si="10"/>
        <v>3.2528327700782319E-3</v>
      </c>
      <c r="BM12" s="288">
        <f t="shared" si="10"/>
        <v>3.0984424749366983E-3</v>
      </c>
      <c r="BN12" s="288">
        <f t="shared" si="10"/>
        <v>2.9536561019802934E-3</v>
      </c>
      <c r="BO12" s="288">
        <f t="shared" si="10"/>
        <v>2.817739586761583E-3</v>
      </c>
      <c r="BP12" s="288">
        <f t="shared" si="10"/>
        <v>2.6900250508582863E-3</v>
      </c>
      <c r="BQ12" s="288">
        <f t="shared" si="10"/>
        <v>2.5699039575492982E-3</v>
      </c>
      <c r="BR12" s="288">
        <f t="shared" si="10"/>
        <v>2.4568210627200619E-3</v>
      </c>
      <c r="BS12" s="288">
        <f t="shared" si="10"/>
        <v>2.3502690588018517E-3</v>
      </c>
      <c r="BT12" s="288">
        <f t="shared" si="10"/>
        <v>2.249783823896821E-3</v>
      </c>
      <c r="BU12" s="288">
        <f t="shared" si="10"/>
        <v>2.1549402004094383E-3</v>
      </c>
      <c r="BV12" s="288">
        <f t="shared" si="11"/>
        <v>2.0653482378500468E-3</v>
      </c>
      <c r="BW12" s="288">
        <f t="shared" si="11"/>
        <v>1.980649843290984E-3</v>
      </c>
      <c r="BX12" s="288">
        <f t="shared" si="11"/>
        <v>1.9005157904829579E-3</v>
      </c>
      <c r="BY12" s="288">
        <f t="shared" si="11"/>
        <v>1.8246430450810907E-3</v>
      </c>
      <c r="BZ12" s="288">
        <f t="shared" si="11"/>
        <v>1.7527523689543736E-3</v>
      </c>
      <c r="CA12" s="290">
        <f t="shared" si="11"/>
        <v>1.6845861712995031E-3</v>
      </c>
      <c r="CB12" s="242"/>
      <c r="CE12" s="191">
        <v>10</v>
      </c>
      <c r="CF12" s="268">
        <f t="shared" si="20"/>
        <v>1.27</v>
      </c>
      <c r="CG12" s="268">
        <f t="shared" si="21"/>
        <v>1.2148300000000001</v>
      </c>
      <c r="CH12" s="236" t="str">
        <f t="shared" si="22"/>
        <v>+133,3%</v>
      </c>
      <c r="CI12" s="268">
        <f t="shared" si="23"/>
        <v>1.074074074074074</v>
      </c>
      <c r="CK12" s="238" t="s">
        <v>576</v>
      </c>
      <c r="CL12" s="236" t="str">
        <f t="shared" si="24"/>
        <v>[td]10[/td]</v>
      </c>
      <c r="CM12" s="236" t="str">
        <f t="shared" si="25"/>
        <v>[td]127%[/td]</v>
      </c>
      <c r="CN12" s="236" t="str">
        <f t="shared" si="26"/>
        <v>[td]121%[/td]</v>
      </c>
      <c r="CO12" s="236" t="str">
        <f t="shared" si="27"/>
        <v>[td]+133,3%[/td]</v>
      </c>
      <c r="CP12" s="236" t="str">
        <f t="shared" si="28"/>
        <v>[td]107%[/td]</v>
      </c>
      <c r="CQ12" s="238" t="s">
        <v>578</v>
      </c>
    </row>
    <row r="13" spans="2:95">
      <c r="B13" s="274">
        <f t="shared" si="19"/>
        <v>2.75</v>
      </c>
      <c r="C13" s="234"/>
      <c r="D13" s="272">
        <f t="shared" ref="D13:M22" si="29">(POWER($B13,$F$1)/(POWER($B13,$F$1)+($G$1*POWER(D$2,$F$1))))</f>
        <v>0.99898675273013859</v>
      </c>
      <c r="E13" s="288">
        <f t="shared" si="29"/>
        <v>0.99195111044865114</v>
      </c>
      <c r="F13" s="288">
        <f t="shared" si="29"/>
        <v>0.9733445464185162</v>
      </c>
      <c r="G13" s="288">
        <f t="shared" si="29"/>
        <v>0.93904331875264568</v>
      </c>
      <c r="H13" s="288">
        <f t="shared" si="29"/>
        <v>0.88748124687447905</v>
      </c>
      <c r="I13" s="288">
        <f t="shared" si="29"/>
        <v>0.82028842598299034</v>
      </c>
      <c r="J13" s="288">
        <f t="shared" si="29"/>
        <v>0.74189682561801518</v>
      </c>
      <c r="K13" s="288">
        <f t="shared" si="29"/>
        <v>0.65819404608841858</v>
      </c>
      <c r="L13" s="288">
        <f t="shared" si="29"/>
        <v>0.57490875321253476</v>
      </c>
      <c r="M13" s="288">
        <f t="shared" si="29"/>
        <v>0.49645654606490114</v>
      </c>
      <c r="N13" s="288">
        <f t="shared" ref="N13:W22" si="30">(POWER($B13,$F$1)/(POWER($B13,$F$1)+($G$1*POWER(N$2,$F$1))))</f>
        <v>0.42553191489361697</v>
      </c>
      <c r="O13" s="288">
        <f t="shared" si="30"/>
        <v>0.36328402205360555</v>
      </c>
      <c r="P13" s="288">
        <f t="shared" si="30"/>
        <v>0.30975459337437011</v>
      </c>
      <c r="Q13" s="288">
        <f t="shared" si="30"/>
        <v>0.26432855383882115</v>
      </c>
      <c r="R13" s="288">
        <f t="shared" si="30"/>
        <v>0.22608178691239544</v>
      </c>
      <c r="S13" s="288">
        <f t="shared" si="30"/>
        <v>0.19400635512928896</v>
      </c>
      <c r="T13" s="288">
        <f t="shared" si="30"/>
        <v>0.16713651574988542</v>
      </c>
      <c r="U13" s="288">
        <f t="shared" si="30"/>
        <v>0.14460789639512395</v>
      </c>
      <c r="V13" s="288">
        <f t="shared" si="30"/>
        <v>0.12567689424161876</v>
      </c>
      <c r="W13" s="288">
        <f t="shared" si="30"/>
        <v>0.10971890198664579</v>
      </c>
      <c r="X13" s="288">
        <f t="shared" ref="X13:AG22" si="31">(POWER($B13,$F$1)/(POWER($B13,$F$1)+($G$1*POWER(X$2,$F$1))))</f>
        <v>9.6216751546082474E-2</v>
      </c>
      <c r="Y13" s="288">
        <f t="shared" si="31"/>
        <v>8.4745762711864403E-2</v>
      </c>
      <c r="Z13" s="288">
        <f t="shared" si="31"/>
        <v>7.4958676987798803E-2</v>
      </c>
      <c r="AA13" s="288">
        <f t="shared" si="31"/>
        <v>6.6571968749687391E-2</v>
      </c>
      <c r="AB13" s="288">
        <f t="shared" si="31"/>
        <v>5.935406191819307E-2</v>
      </c>
      <c r="AC13" s="288">
        <f t="shared" si="31"/>
        <v>5.3115497274388829E-2</v>
      </c>
      <c r="AD13" s="288">
        <f t="shared" si="31"/>
        <v>4.7700878577789881E-2</v>
      </c>
      <c r="AE13" s="288">
        <f t="shared" si="31"/>
        <v>4.2982348496102198E-2</v>
      </c>
      <c r="AF13" s="288">
        <f t="shared" si="31"/>
        <v>3.885433710443234E-2</v>
      </c>
      <c r="AG13" s="288">
        <f t="shared" si="31"/>
        <v>3.5229348085016279E-2</v>
      </c>
      <c r="AH13" s="288">
        <f t="shared" ref="AH13:AQ22" si="32">(POWER($B13,$F$1)/(POWER($B13,$F$1)+($G$1*POWER(AH$2,$F$1))))</f>
        <v>3.2034580981182385E-2</v>
      </c>
      <c r="AI13" s="288">
        <f t="shared" si="32"/>
        <v>2.920922230171305E-2</v>
      </c>
      <c r="AJ13" s="288">
        <f t="shared" si="32"/>
        <v>2.6702269692923896E-2</v>
      </c>
      <c r="AK13" s="288">
        <f t="shared" si="32"/>
        <v>2.4470780307180914E-2</v>
      </c>
      <c r="AL13" s="288">
        <f t="shared" si="32"/>
        <v>2.2478456738259395E-2</v>
      </c>
      <c r="AM13" s="288">
        <f t="shared" si="32"/>
        <v>2.0694501885982777E-2</v>
      </c>
      <c r="AN13" s="288">
        <f t="shared" si="32"/>
        <v>1.909268847574791E-2</v>
      </c>
      <c r="AO13" s="288">
        <f t="shared" si="32"/>
        <v>1.7650600332589823E-2</v>
      </c>
      <c r="AP13" s="288">
        <f t="shared" si="32"/>
        <v>1.6349011474402004E-2</v>
      </c>
      <c r="AQ13" s="288">
        <f t="shared" si="32"/>
        <v>1.5171376138423134E-2</v>
      </c>
      <c r="AR13" s="288">
        <f t="shared" ref="AR13:BA22" si="33">(POWER($B13,$F$1)/(POWER($B13,$F$1)+($G$1*POWER(AR$2,$F$1))))</f>
        <v>1.4103408394335959E-2</v>
      </c>
      <c r="AS13" s="288">
        <f t="shared" si="33"/>
        <v>1.3132734351720477E-2</v>
      </c>
      <c r="AT13" s="288">
        <f t="shared" si="33"/>
        <v>1.2248603396939872E-2</v>
      </c>
      <c r="AU13" s="288">
        <f t="shared" si="33"/>
        <v>1.1441647597254004E-2</v>
      </c>
      <c r="AV13" s="288">
        <f t="shared" si="33"/>
        <v>1.0703680546201338E-2</v>
      </c>
      <c r="AW13" s="288">
        <f t="shared" si="33"/>
        <v>1.0027528617255787E-2</v>
      </c>
      <c r="AX13" s="288">
        <f t="shared" si="33"/>
        <v>9.4068889382831044E-3</v>
      </c>
      <c r="AY13" s="288">
        <f t="shared" si="33"/>
        <v>8.8362094719385623E-3</v>
      </c>
      <c r="AZ13" s="288">
        <f t="shared" si="33"/>
        <v>8.3105874448939666E-3</v>
      </c>
      <c r="BA13" s="288">
        <f t="shared" si="33"/>
        <v>7.8256830568964198E-3</v>
      </c>
      <c r="BB13" s="288">
        <f t="shared" ref="BB13:BK22" si="34">(POWER($B13,$F$1)/(POWER($B13,$F$1)+($G$1*POWER(BB$2,$F$1))))</f>
        <v>7.3776459544753238E-3</v>
      </c>
      <c r="BC13" s="288">
        <f t="shared" si="34"/>
        <v>6.9630524012852602E-3</v>
      </c>
      <c r="BD13" s="288">
        <f t="shared" si="34"/>
        <v>6.5788514393029284E-3</v>
      </c>
      <c r="BE13" s="288">
        <f t="shared" si="34"/>
        <v>6.2223186294630287E-3</v>
      </c>
      <c r="BF13" s="288">
        <f t="shared" si="34"/>
        <v>5.8910162002945498E-3</v>
      </c>
      <c r="BG13" s="288">
        <f t="shared" si="34"/>
        <v>5.582758629367743E-3</v>
      </c>
      <c r="BH13" s="288">
        <f t="shared" si="34"/>
        <v>5.2955828433460363E-3</v>
      </c>
      <c r="BI13" s="288">
        <f t="shared" si="34"/>
        <v>5.0277223548929823E-3</v>
      </c>
      <c r="BJ13" s="288">
        <f t="shared" si="34"/>
        <v>4.7775847639914401E-3</v>
      </c>
      <c r="BK13" s="288">
        <f t="shared" si="34"/>
        <v>4.5437321416988983E-3</v>
      </c>
      <c r="BL13" s="288">
        <f t="shared" ref="BL13:BU22" si="35">(POWER($B13,$F$1)/(POWER($B13,$F$1)+($G$1*POWER(BL$2,$F$1))))</f>
        <v>4.3248638894498497E-3</v>
      </c>
      <c r="BM13" s="288">
        <f t="shared" si="35"/>
        <v>4.1198017295119562E-3</v>
      </c>
      <c r="BN13" s="288">
        <f t="shared" si="35"/>
        <v>3.9274765343604769E-3</v>
      </c>
      <c r="BO13" s="288">
        <f t="shared" si="35"/>
        <v>3.7469167463813117E-3</v>
      </c>
      <c r="BP13" s="288">
        <f t="shared" si="35"/>
        <v>3.5772381759310462E-3</v>
      </c>
      <c r="BQ13" s="288">
        <f t="shared" si="35"/>
        <v>3.4176349965823645E-3</v>
      </c>
      <c r="BR13" s="288">
        <f t="shared" si="35"/>
        <v>3.2673717823537619E-3</v>
      </c>
      <c r="BS13" s="288">
        <f t="shared" si="35"/>
        <v>3.1257764536739264E-3</v>
      </c>
      <c r="BT13" s="288">
        <f t="shared" si="35"/>
        <v>2.9922340174293694E-3</v>
      </c>
      <c r="BU13" s="288">
        <f t="shared" si="35"/>
        <v>2.8661810022373867E-3</v>
      </c>
      <c r="BV13" s="288">
        <f t="shared" ref="BV13:CA22" si="36">(POWER($B13,$F$1)/(POWER($B13,$F$1)+($G$1*POWER(BV$2,$F$1))))</f>
        <v>2.7471005035284552E-3</v>
      </c>
      <c r="BW13" s="288">
        <f t="shared" si="36"/>
        <v>2.6345177644879671E-3</v>
      </c>
      <c r="BX13" s="288">
        <f t="shared" si="36"/>
        <v>2.5279962287082553E-3</v>
      </c>
      <c r="BY13" s="288">
        <f t="shared" si="36"/>
        <v>2.4271340087974945E-3</v>
      </c>
      <c r="BZ13" s="288">
        <f t="shared" si="36"/>
        <v>2.3315607223984422E-3</v>
      </c>
      <c r="CA13" s="290">
        <f t="shared" si="36"/>
        <v>2.2409346532679762E-3</v>
      </c>
      <c r="CB13" s="242"/>
      <c r="CE13" s="191">
        <v>11</v>
      </c>
      <c r="CF13" s="268">
        <f t="shared" si="20"/>
        <v>1.2846049894151541</v>
      </c>
      <c r="CG13" s="268">
        <f t="shared" si="21"/>
        <v>1.2264507032446577</v>
      </c>
      <c r="CH13" s="236" t="str">
        <f t="shared" si="22"/>
        <v>+138,9%</v>
      </c>
      <c r="CI13" s="268">
        <f t="shared" si="23"/>
        <v>1.0771401989006093</v>
      </c>
      <c r="CK13" s="238" t="s">
        <v>576</v>
      </c>
      <c r="CL13" s="236" t="str">
        <f t="shared" si="24"/>
        <v>[td]11[/td]</v>
      </c>
      <c r="CM13" s="236" t="str">
        <f t="shared" si="25"/>
        <v>[td]128%[/td]</v>
      </c>
      <c r="CN13" s="236" t="str">
        <f t="shared" si="26"/>
        <v>[td]123%[/td]</v>
      </c>
      <c r="CO13" s="236" t="str">
        <f t="shared" si="27"/>
        <v>[td]+138,9%[/td]</v>
      </c>
      <c r="CP13" s="236" t="str">
        <f t="shared" si="28"/>
        <v>[td]108%[/td]</v>
      </c>
      <c r="CQ13" s="238" t="s">
        <v>578</v>
      </c>
    </row>
    <row r="14" spans="2:95">
      <c r="B14" s="274">
        <f t="shared" si="19"/>
        <v>3</v>
      </c>
      <c r="C14" s="234"/>
      <c r="D14" s="272">
        <f t="shared" si="29"/>
        <v>0.99921935987509758</v>
      </c>
      <c r="E14" s="288">
        <f t="shared" si="29"/>
        <v>0.99378881987577639</v>
      </c>
      <c r="F14" s="288">
        <f t="shared" si="29"/>
        <v>0.97934200459066567</v>
      </c>
      <c r="G14" s="288">
        <f t="shared" si="29"/>
        <v>0.95238095238095233</v>
      </c>
      <c r="H14" s="288">
        <f t="shared" si="29"/>
        <v>0.91103202846975084</v>
      </c>
      <c r="I14" s="288">
        <f t="shared" si="29"/>
        <v>0.85561497326203217</v>
      </c>
      <c r="J14" s="288">
        <f t="shared" si="29"/>
        <v>0.78866296980899564</v>
      </c>
      <c r="K14" s="288">
        <f t="shared" si="29"/>
        <v>0.7142857142857143</v>
      </c>
      <c r="L14" s="288">
        <f t="shared" si="29"/>
        <v>0.63713290194126426</v>
      </c>
      <c r="M14" s="288">
        <f t="shared" si="29"/>
        <v>0.56140350877192979</v>
      </c>
      <c r="N14" s="288">
        <f t="shared" si="30"/>
        <v>0.49023362696284944</v>
      </c>
      <c r="O14" s="288">
        <f t="shared" si="30"/>
        <v>0.42553191489361702</v>
      </c>
      <c r="P14" s="288">
        <f t="shared" si="30"/>
        <v>0.36813344837503592</v>
      </c>
      <c r="Q14" s="288">
        <f t="shared" si="30"/>
        <v>0.31809145129224653</v>
      </c>
      <c r="R14" s="288">
        <f t="shared" si="30"/>
        <v>0.27497314715359827</v>
      </c>
      <c r="S14" s="288">
        <f t="shared" si="30"/>
        <v>0.23809523809523808</v>
      </c>
      <c r="T14" s="288">
        <f t="shared" si="30"/>
        <v>0.20668496689811078</v>
      </c>
      <c r="U14" s="288">
        <f t="shared" si="30"/>
        <v>0.17997750281214847</v>
      </c>
      <c r="V14" s="288">
        <f t="shared" si="30"/>
        <v>0.15726747757709791</v>
      </c>
      <c r="W14" s="288">
        <f t="shared" si="30"/>
        <v>0.13793103448275862</v>
      </c>
      <c r="X14" s="288">
        <f t="shared" si="31"/>
        <v>0.12143060430699175</v>
      </c>
      <c r="Y14" s="288">
        <f t="shared" si="31"/>
        <v>0.1073105298457411</v>
      </c>
      <c r="Z14" s="288">
        <f t="shared" si="31"/>
        <v>9.5188517885030119E-2</v>
      </c>
      <c r="AA14" s="288">
        <f t="shared" si="31"/>
        <v>8.4745762711864403E-2</v>
      </c>
      <c r="AB14" s="288">
        <f t="shared" si="31"/>
        <v>7.5717243419106767E-2</v>
      </c>
      <c r="AC14" s="288">
        <f t="shared" si="31"/>
        <v>6.7882901994060246E-2</v>
      </c>
      <c r="AD14" s="288">
        <f t="shared" si="31"/>
        <v>6.1059962791585168E-2</v>
      </c>
      <c r="AE14" s="288">
        <f t="shared" si="31"/>
        <v>5.5096418732782371E-2</v>
      </c>
      <c r="AF14" s="288">
        <f t="shared" si="31"/>
        <v>4.9865596634072223E-2</v>
      </c>
      <c r="AG14" s="288">
        <f t="shared" si="31"/>
        <v>4.5261669024045263E-2</v>
      </c>
      <c r="AH14" s="288">
        <f t="shared" si="32"/>
        <v>4.1195970519133589E-2</v>
      </c>
      <c r="AI14" s="288">
        <f t="shared" si="32"/>
        <v>3.7593984962406013E-2</v>
      </c>
      <c r="AJ14" s="288">
        <f t="shared" si="32"/>
        <v>3.4392884971921431E-2</v>
      </c>
      <c r="AK14" s="288">
        <f t="shared" si="32"/>
        <v>3.1539522964715155E-2</v>
      </c>
      <c r="AL14" s="288">
        <f t="shared" si="32"/>
        <v>2.8988789491563804E-2</v>
      </c>
      <c r="AM14" s="288">
        <f t="shared" si="32"/>
        <v>2.6702269692923896E-2</v>
      </c>
      <c r="AN14" s="288">
        <f t="shared" si="32"/>
        <v>2.4647141509252304E-2</v>
      </c>
      <c r="AO14" s="288">
        <f t="shared" si="32"/>
        <v>2.2795269981478839E-2</v>
      </c>
      <c r="AP14" s="288">
        <f t="shared" si="32"/>
        <v>2.1122460766679316E-2</v>
      </c>
      <c r="AQ14" s="288">
        <f t="shared" si="32"/>
        <v>1.9607843137254902E-2</v>
      </c>
      <c r="AR14" s="288">
        <f t="shared" si="33"/>
        <v>1.8233358499166678E-2</v>
      </c>
      <c r="AS14" s="288">
        <f t="shared" si="33"/>
        <v>1.698333510243074E-2</v>
      </c>
      <c r="AT14" s="288">
        <f t="shared" si="33"/>
        <v>1.5844133338284622E-2</v>
      </c>
      <c r="AU14" s="288">
        <f t="shared" si="33"/>
        <v>1.4803849000740192E-2</v>
      </c>
      <c r="AV14" s="288">
        <f t="shared" si="33"/>
        <v>1.3852064282235808E-2</v>
      </c>
      <c r="AW14" s="288">
        <f t="shared" si="33"/>
        <v>1.2979638192585382E-2</v>
      </c>
      <c r="AX14" s="288">
        <f t="shared" si="33"/>
        <v>1.2178529632836358E-2</v>
      </c>
      <c r="AY14" s="288">
        <f t="shared" si="33"/>
        <v>1.1441647597254004E-2</v>
      </c>
      <c r="AZ14" s="288">
        <f t="shared" si="33"/>
        <v>1.0762723978171849E-2</v>
      </c>
      <c r="BA14" s="288">
        <f t="shared" si="33"/>
        <v>1.0136205258156478E-2</v>
      </c>
      <c r="BB14" s="288">
        <f t="shared" si="34"/>
        <v>9.5571600301647859E-3</v>
      </c>
      <c r="BC14" s="288">
        <f t="shared" si="34"/>
        <v>9.0211998195760031E-3</v>
      </c>
      <c r="BD14" s="288">
        <f t="shared" si="34"/>
        <v>8.5244111163648717E-3</v>
      </c>
      <c r="BE14" s="288">
        <f t="shared" si="34"/>
        <v>8.0632968805120185E-3</v>
      </c>
      <c r="BF14" s="288">
        <f t="shared" si="34"/>
        <v>7.6347260743789324E-3</v>
      </c>
      <c r="BG14" s="288">
        <f t="shared" si="34"/>
        <v>7.2358900144717797E-3</v>
      </c>
      <c r="BH14" s="288">
        <f t="shared" si="34"/>
        <v>6.8642645315943858E-3</v>
      </c>
      <c r="BI14" s="288">
        <f t="shared" si="34"/>
        <v>6.5175770907165255E-3</v>
      </c>
      <c r="BJ14" s="288">
        <f t="shared" si="34"/>
        <v>6.1937781562864426E-3</v>
      </c>
      <c r="BK14" s="288">
        <f t="shared" si="34"/>
        <v>5.8910162002945507E-3</v>
      </c>
      <c r="BL14" s="288">
        <f t="shared" si="35"/>
        <v>5.6076158432671365E-3</v>
      </c>
      <c r="BM14" s="288">
        <f t="shared" si="35"/>
        <v>5.3420586958699201E-3</v>
      </c>
      <c r="BN14" s="288">
        <f t="shared" si="35"/>
        <v>5.0929665336394416E-3</v>
      </c>
      <c r="BO14" s="288">
        <f t="shared" si="35"/>
        <v>4.859086491739553E-3</v>
      </c>
      <c r="BP14" s="288">
        <f t="shared" si="35"/>
        <v>4.6392780123593264E-3</v>
      </c>
      <c r="BQ14" s="288">
        <f t="shared" si="35"/>
        <v>4.4325013158988281E-3</v>
      </c>
      <c r="BR14" s="288">
        <f t="shared" si="35"/>
        <v>4.2378071996371372E-3</v>
      </c>
      <c r="BS14" s="288">
        <f t="shared" si="35"/>
        <v>4.0543279951348061E-3</v>
      </c>
      <c r="BT14" s="288">
        <f t="shared" si="35"/>
        <v>3.8812695390082748E-3</v>
      </c>
      <c r="BU14" s="288">
        <f t="shared" si="35"/>
        <v>3.7179040316021837E-3</v>
      </c>
      <c r="BV14" s="288">
        <f t="shared" si="36"/>
        <v>3.563563675036401E-3</v>
      </c>
      <c r="BW14" s="288">
        <f t="shared" si="36"/>
        <v>3.4176349965823645E-3</v>
      </c>
      <c r="BX14" s="288">
        <f t="shared" si="36"/>
        <v>3.2795537757143913E-3</v>
      </c>
      <c r="BY14" s="288">
        <f t="shared" si="36"/>
        <v>3.1488005038080805E-3</v>
      </c>
      <c r="BZ14" s="288">
        <f t="shared" si="36"/>
        <v>3.0248963145892167E-3</v>
      </c>
      <c r="CA14" s="290">
        <f t="shared" si="36"/>
        <v>2.9073993312981532E-3</v>
      </c>
      <c r="CB14" s="242"/>
      <c r="CE14" s="191">
        <v>12</v>
      </c>
      <c r="CF14" s="268">
        <f t="shared" si="20"/>
        <v>1.2984962311319861</v>
      </c>
      <c r="CG14" s="268">
        <f t="shared" si="21"/>
        <v>1.2375035012373501</v>
      </c>
      <c r="CH14" s="236" t="str">
        <f t="shared" si="22"/>
        <v>+143,9%</v>
      </c>
      <c r="CI14" s="268">
        <f t="shared" si="23"/>
        <v>1.0799393515590834</v>
      </c>
      <c r="CK14" s="238" t="s">
        <v>576</v>
      </c>
      <c r="CL14" s="236" t="str">
        <f t="shared" si="24"/>
        <v>[td]12[/td]</v>
      </c>
      <c r="CM14" s="236" t="str">
        <f t="shared" si="25"/>
        <v>[td]130%[/td]</v>
      </c>
      <c r="CN14" s="236" t="str">
        <f t="shared" si="26"/>
        <v>[td]124%[/td]</v>
      </c>
      <c r="CO14" s="236" t="str">
        <f t="shared" si="27"/>
        <v>[td]+143,9%[/td]</v>
      </c>
      <c r="CP14" s="236" t="str">
        <f t="shared" si="28"/>
        <v>[td]108%[/td]</v>
      </c>
      <c r="CQ14" s="238" t="s">
        <v>578</v>
      </c>
    </row>
    <row r="15" spans="2:95">
      <c r="B15" s="274">
        <f t="shared" si="19"/>
        <v>3.25</v>
      </c>
      <c r="C15" s="234"/>
      <c r="D15" s="272">
        <f t="shared" si="29"/>
        <v>0.99938590306366137</v>
      </c>
      <c r="E15" s="288">
        <f t="shared" si="29"/>
        <v>0.99510825255910851</v>
      </c>
      <c r="F15" s="288">
        <f t="shared" si="29"/>
        <v>0.98367995701717081</v>
      </c>
      <c r="G15" s="288">
        <f t="shared" si="29"/>
        <v>0.96216168870981866</v>
      </c>
      <c r="H15" s="288">
        <f t="shared" si="29"/>
        <v>0.92866955510937332</v>
      </c>
      <c r="I15" s="288">
        <f t="shared" si="29"/>
        <v>0.88282568512416626</v>
      </c>
      <c r="J15" s="288">
        <f t="shared" si="29"/>
        <v>0.82592432473073807</v>
      </c>
      <c r="K15" s="288">
        <f t="shared" si="29"/>
        <v>0.76068139325531481</v>
      </c>
      <c r="L15" s="288">
        <f t="shared" si="29"/>
        <v>0.69063074674253022</v>
      </c>
      <c r="M15" s="288">
        <f t="shared" si="29"/>
        <v>0.61939667324499581</v>
      </c>
      <c r="N15" s="288">
        <f t="shared" si="30"/>
        <v>0.55009577224983408</v>
      </c>
      <c r="O15" s="288">
        <f t="shared" si="30"/>
        <v>0.485010375734028</v>
      </c>
      <c r="P15" s="288">
        <f t="shared" si="30"/>
        <v>0.42553191489361697</v>
      </c>
      <c r="Q15" s="288">
        <f t="shared" si="30"/>
        <v>0.37228454265089644</v>
      </c>
      <c r="R15" s="288">
        <f t="shared" si="30"/>
        <v>0.32532484359382519</v>
      </c>
      <c r="S15" s="288">
        <f t="shared" si="30"/>
        <v>0.28434240157378404</v>
      </c>
      <c r="T15" s="288">
        <f t="shared" si="30"/>
        <v>0.2488235527291878</v>
      </c>
      <c r="U15" s="288">
        <f t="shared" si="30"/>
        <v>0.21816845742884947</v>
      </c>
      <c r="V15" s="288">
        <f t="shared" si="30"/>
        <v>0.19176635403892059</v>
      </c>
      <c r="W15" s="288">
        <f t="shared" si="30"/>
        <v>0.16903900900207741</v>
      </c>
      <c r="X15" s="288">
        <f t="shared" si="31"/>
        <v>0.14946239119416846</v>
      </c>
      <c r="Y15" s="288">
        <f t="shared" si="31"/>
        <v>0.13257461470691173</v>
      </c>
      <c r="Z15" s="288">
        <f t="shared" si="31"/>
        <v>0.1179758839465269</v>
      </c>
      <c r="AA15" s="288">
        <f t="shared" si="31"/>
        <v>0.10532421833801547</v>
      </c>
      <c r="AB15" s="288">
        <f t="shared" si="31"/>
        <v>9.4329293818361373E-2</v>
      </c>
      <c r="AC15" s="288">
        <f t="shared" si="31"/>
        <v>8.4745762711864403E-2</v>
      </c>
      <c r="AD15" s="288">
        <f t="shared" si="31"/>
        <v>7.6366790005231305E-2</v>
      </c>
      <c r="AE15" s="288">
        <f t="shared" si="31"/>
        <v>6.901816399746169E-2</v>
      </c>
      <c r="AF15" s="288">
        <f t="shared" si="31"/>
        <v>6.2553118188949139E-2</v>
      </c>
      <c r="AG15" s="288">
        <f t="shared" si="31"/>
        <v>5.6847879524930783E-2</v>
      </c>
      <c r="AH15" s="288">
        <f t="shared" si="32"/>
        <v>5.1797896255674596E-2</v>
      </c>
      <c r="AI15" s="288">
        <f t="shared" si="32"/>
        <v>4.7314671640055303E-2</v>
      </c>
      <c r="AJ15" s="288">
        <f t="shared" si="32"/>
        <v>4.3323122064917632E-2</v>
      </c>
      <c r="AK15" s="288">
        <f t="shared" si="32"/>
        <v>3.9759380644040436E-2</v>
      </c>
      <c r="AL15" s="288">
        <f t="shared" si="32"/>
        <v>3.6568974628921447E-2</v>
      </c>
      <c r="AM15" s="288">
        <f t="shared" si="32"/>
        <v>3.3705313994839108E-2</v>
      </c>
      <c r="AN15" s="288">
        <f t="shared" si="32"/>
        <v>3.11284377477293E-2</v>
      </c>
      <c r="AO15" s="288">
        <f t="shared" si="32"/>
        <v>2.8803973034132114E-2</v>
      </c>
      <c r="AP15" s="288">
        <f t="shared" si="32"/>
        <v>2.6702269692923896E-2</v>
      </c>
      <c r="AQ15" s="288">
        <f t="shared" si="32"/>
        <v>2.4797679379662967E-2</v>
      </c>
      <c r="AR15" s="288">
        <f t="shared" si="33"/>
        <v>2.3067953866192217E-2</v>
      </c>
      <c r="AS15" s="288">
        <f t="shared" si="33"/>
        <v>2.1493741672031132E-2</v>
      </c>
      <c r="AT15" s="288">
        <f t="shared" si="33"/>
        <v>2.0058165942293284E-2</v>
      </c>
      <c r="AU15" s="288">
        <f t="shared" si="33"/>
        <v>1.8746469571331296E-2</v>
      </c>
      <c r="AV15" s="288">
        <f t="shared" si="33"/>
        <v>1.7545716094021717E-2</v>
      </c>
      <c r="AW15" s="288">
        <f t="shared" si="33"/>
        <v>1.6444536925732368E-2</v>
      </c>
      <c r="AX15" s="288">
        <f t="shared" si="33"/>
        <v>1.543291721121496E-2</v>
      </c>
      <c r="AY15" s="288">
        <f t="shared" si="33"/>
        <v>1.45020139119001E-2</v>
      </c>
      <c r="AZ15" s="288">
        <f t="shared" si="33"/>
        <v>1.3644000878134601E-2</v>
      </c>
      <c r="BA15" s="288">
        <f t="shared" si="33"/>
        <v>1.2851936565134224E-2</v>
      </c>
      <c r="BB15" s="288">
        <f t="shared" si="34"/>
        <v>1.2119650797389723E-2</v>
      </c>
      <c r="BC15" s="288">
        <f t="shared" si="34"/>
        <v>1.1441647597254004E-2</v>
      </c>
      <c r="BD15" s="288">
        <f t="shared" si="34"/>
        <v>1.0813021594790259E-2</v>
      </c>
      <c r="BE15" s="288">
        <f t="shared" si="34"/>
        <v>1.0229385948166764E-2</v>
      </c>
      <c r="BF15" s="288">
        <f t="shared" si="34"/>
        <v>9.6868100435068705E-3</v>
      </c>
      <c r="BG15" s="288">
        <f t="shared" si="34"/>
        <v>9.1817655235361621E-3</v>
      </c>
      <c r="BH15" s="288">
        <f t="shared" si="34"/>
        <v>8.7110794264485727E-3</v>
      </c>
      <c r="BI15" s="288">
        <f t="shared" si="34"/>
        <v>8.2718934089161741E-3</v>
      </c>
      <c r="BJ15" s="288">
        <f t="shared" si="34"/>
        <v>7.8616281872112385E-3</v>
      </c>
      <c r="BK15" s="288">
        <f t="shared" si="34"/>
        <v>7.4779524637760084E-3</v>
      </c>
      <c r="BL15" s="288">
        <f t="shared" si="35"/>
        <v>7.1187557179696083E-3</v>
      </c>
      <c r="BM15" s="288">
        <f t="shared" si="35"/>
        <v>6.7821243329779166E-3</v>
      </c>
      <c r="BN15" s="288">
        <f t="shared" si="35"/>
        <v>6.4663206091232807E-3</v>
      </c>
      <c r="BO15" s="288">
        <f t="shared" si="35"/>
        <v>6.1697642796203446E-3</v>
      </c>
      <c r="BP15" s="288">
        <f t="shared" si="35"/>
        <v>5.8910162002945507E-3</v>
      </c>
      <c r="BQ15" s="288">
        <f t="shared" si="35"/>
        <v>5.6287639316390846E-3</v>
      </c>
      <c r="BR15" s="288">
        <f t="shared" si="35"/>
        <v>5.3818089712575389E-3</v>
      </c>
      <c r="BS15" s="288">
        <f t="shared" si="35"/>
        <v>5.1490554283981299E-3</v>
      </c>
      <c r="BT15" s="288">
        <f t="shared" si="35"/>
        <v>4.9294999609028048E-3</v>
      </c>
      <c r="BU15" s="288">
        <f t="shared" si="35"/>
        <v>4.7222228192766421E-3</v>
      </c>
      <c r="BV15" s="288">
        <f t="shared" si="36"/>
        <v>4.526379863398924E-3</v>
      </c>
      <c r="BW15" s="288">
        <f t="shared" si="36"/>
        <v>4.3411954352043482E-3</v>
      </c>
      <c r="BX15" s="288">
        <f t="shared" si="36"/>
        <v>4.1659559859260082E-3</v>
      </c>
      <c r="BY15" s="288">
        <f t="shared" si="36"/>
        <v>4.0000043695996752E-3</v>
      </c>
      <c r="BZ15" s="288">
        <f t="shared" si="36"/>
        <v>3.8427347258072346E-3</v>
      </c>
      <c r="CA15" s="290">
        <f t="shared" si="36"/>
        <v>3.6935878843592602E-3</v>
      </c>
      <c r="CB15" s="242"/>
      <c r="CE15" s="191">
        <v>13</v>
      </c>
      <c r="CF15" s="268">
        <f t="shared" si="20"/>
        <v>1.3117691453623979</v>
      </c>
      <c r="CG15" s="268">
        <f t="shared" si="21"/>
        <v>1.2480643166600145</v>
      </c>
      <c r="CH15" s="236" t="str">
        <f t="shared" si="22"/>
        <v>+148,5%</v>
      </c>
      <c r="CI15" s="268">
        <f t="shared" si="23"/>
        <v>1.0825143223930991</v>
      </c>
      <c r="CK15" s="238" t="s">
        <v>576</v>
      </c>
      <c r="CL15" s="236" t="str">
        <f t="shared" si="24"/>
        <v>[td]13[/td]</v>
      </c>
      <c r="CM15" s="236" t="str">
        <f t="shared" si="25"/>
        <v>[td]131%[/td]</v>
      </c>
      <c r="CN15" s="236" t="str">
        <f t="shared" si="26"/>
        <v>[td]125%[/td]</v>
      </c>
      <c r="CO15" s="236" t="str">
        <f t="shared" si="27"/>
        <v>[td]+148,5%[/td]</v>
      </c>
      <c r="CP15" s="236" t="str">
        <f t="shared" si="28"/>
        <v>[td]108%[/td]</v>
      </c>
      <c r="CQ15" s="238" t="s">
        <v>578</v>
      </c>
    </row>
    <row r="16" spans="2:95">
      <c r="B16" s="274">
        <f t="shared" si="19"/>
        <v>3.5</v>
      </c>
      <c r="C16" s="234"/>
      <c r="D16" s="272">
        <f t="shared" si="29"/>
        <v>0.99950825942047461</v>
      </c>
      <c r="E16" s="288">
        <f t="shared" si="29"/>
        <v>0.99607957020473348</v>
      </c>
      <c r="F16" s="288">
        <f t="shared" si="29"/>
        <v>0.98689061123199484</v>
      </c>
      <c r="G16" s="288">
        <f t="shared" si="29"/>
        <v>0.96947427925381569</v>
      </c>
      <c r="H16" s="288">
        <f t="shared" si="29"/>
        <v>0.94206505879323665</v>
      </c>
      <c r="I16" s="288">
        <f t="shared" si="29"/>
        <v>0.90393991303202004</v>
      </c>
      <c r="J16" s="288">
        <f t="shared" si="29"/>
        <v>0.85561497326203206</v>
      </c>
      <c r="K16" s="288">
        <f t="shared" si="29"/>
        <v>0.79878900791802521</v>
      </c>
      <c r="L16" s="288">
        <f t="shared" si="29"/>
        <v>0.73602188753134934</v>
      </c>
      <c r="M16" s="288">
        <f t="shared" si="29"/>
        <v>0.67024914509037614</v>
      </c>
      <c r="N16" s="288">
        <f t="shared" si="30"/>
        <v>0.60429214794586916</v>
      </c>
      <c r="O16" s="288">
        <f t="shared" si="30"/>
        <v>0.54049795146549007</v>
      </c>
      <c r="P16" s="288">
        <f t="shared" si="30"/>
        <v>0.48056462841180742</v>
      </c>
      <c r="Q16" s="288">
        <f t="shared" si="30"/>
        <v>0.42553191489361702</v>
      </c>
      <c r="R16" s="288">
        <f t="shared" si="30"/>
        <v>0.37587753844046434</v>
      </c>
      <c r="S16" s="288">
        <f t="shared" si="30"/>
        <v>0.33165731966737572</v>
      </c>
      <c r="T16" s="288">
        <f t="shared" si="30"/>
        <v>0.2926449493683711</v>
      </c>
      <c r="U16" s="288">
        <f t="shared" si="30"/>
        <v>0.25844855517462229</v>
      </c>
      <c r="V16" s="288">
        <f t="shared" si="30"/>
        <v>0.22859713503809256</v>
      </c>
      <c r="W16" s="288">
        <f t="shared" si="30"/>
        <v>0.2025989367985824</v>
      </c>
      <c r="X16" s="288">
        <f t="shared" si="31"/>
        <v>0.17997750281214847</v>
      </c>
      <c r="Y16" s="288">
        <f t="shared" si="31"/>
        <v>0.16029160922494565</v>
      </c>
      <c r="Z16" s="288">
        <f t="shared" si="31"/>
        <v>0.14314443033055199</v>
      </c>
      <c r="AA16" s="288">
        <f t="shared" si="31"/>
        <v>0.1281859630764631</v>
      </c>
      <c r="AB16" s="288">
        <f t="shared" si="31"/>
        <v>0.11511153527493156</v>
      </c>
      <c r="AC16" s="288">
        <f t="shared" si="31"/>
        <v>0.10365826017316671</v>
      </c>
      <c r="AD16" s="288">
        <f t="shared" si="31"/>
        <v>9.3600604447052038E-2</v>
      </c>
      <c r="AE16" s="288">
        <f t="shared" si="31"/>
        <v>8.4745762711864403E-2</v>
      </c>
      <c r="AF16" s="288">
        <f t="shared" si="31"/>
        <v>7.6929223152219769E-2</v>
      </c>
      <c r="AG16" s="288">
        <f t="shared" si="31"/>
        <v>7.0010715925907033E-2</v>
      </c>
      <c r="AH16" s="288">
        <f t="shared" si="32"/>
        <v>6.3870620096667149E-2</v>
      </c>
      <c r="AI16" s="288">
        <f t="shared" si="32"/>
        <v>5.8406838538296493E-2</v>
      </c>
      <c r="AJ16" s="288">
        <f t="shared" si="32"/>
        <v>5.3532114879450317E-2</v>
      </c>
      <c r="AK16" s="288">
        <f t="shared" si="32"/>
        <v>4.9171749897857518E-2</v>
      </c>
      <c r="AL16" s="288">
        <f t="shared" si="32"/>
        <v>4.5261669024045256E-2</v>
      </c>
      <c r="AM16" s="288">
        <f t="shared" si="32"/>
        <v>4.1746792921301817E-2</v>
      </c>
      <c r="AN16" s="288">
        <f t="shared" si="32"/>
        <v>3.8579666519274719E-2</v>
      </c>
      <c r="AO16" s="288">
        <f t="shared" si="32"/>
        <v>3.571930664972689E-2</v>
      </c>
      <c r="AP16" s="288">
        <f t="shared" si="32"/>
        <v>3.3130233571768787E-2</v>
      </c>
      <c r="AQ16" s="288">
        <f t="shared" si="32"/>
        <v>3.0781656645427622E-2</v>
      </c>
      <c r="AR16" s="288">
        <f t="shared" si="33"/>
        <v>2.8646788954908971E-2</v>
      </c>
      <c r="AS16" s="288">
        <f t="shared" si="33"/>
        <v>2.6702269692923896E-2</v>
      </c>
      <c r="AT16" s="288">
        <f t="shared" si="33"/>
        <v>2.4927676579748349E-2</v>
      </c>
      <c r="AU16" s="288">
        <f t="shared" si="33"/>
        <v>2.3305113535990431E-2</v>
      </c>
      <c r="AV16" s="288">
        <f t="shared" si="33"/>
        <v>2.1818861308296772E-2</v>
      </c>
      <c r="AW16" s="288">
        <f t="shared" si="33"/>
        <v>2.0455080821423565E-2</v>
      </c>
      <c r="AX16" s="288">
        <f t="shared" si="33"/>
        <v>1.9201560756600271E-2</v>
      </c>
      <c r="AY16" s="288">
        <f t="shared" si="33"/>
        <v>1.8047502288823174E-2</v>
      </c>
      <c r="AZ16" s="288">
        <f t="shared" si="33"/>
        <v>1.6983335102430736E-2</v>
      </c>
      <c r="BA16" s="288">
        <f t="shared" si="33"/>
        <v>1.600055978634821E-2</v>
      </c>
      <c r="BB16" s="288">
        <f t="shared" si="34"/>
        <v>1.5091612522848475E-2</v>
      </c>
      <c r="BC16" s="288">
        <f t="shared" si="34"/>
        <v>1.4249748656036823E-2</v>
      </c>
      <c r="BD16" s="288">
        <f t="shared" si="34"/>
        <v>1.3468942283078978E-2</v>
      </c>
      <c r="BE16" s="288">
        <f t="shared" si="34"/>
        <v>1.274379947278567E-2</v>
      </c>
      <c r="BF16" s="288">
        <f t="shared" si="34"/>
        <v>1.2069483099314823E-2</v>
      </c>
      <c r="BG16" s="288">
        <f t="shared" si="34"/>
        <v>1.1441647597254004E-2</v>
      </c>
      <c r="BH16" s="288">
        <f t="shared" si="34"/>
        <v>1.0856382209538858E-2</v>
      </c>
      <c r="BI16" s="288">
        <f t="shared" si="34"/>
        <v>1.031016152085403E-2</v>
      </c>
      <c r="BJ16" s="288">
        <f t="shared" si="34"/>
        <v>9.7998022539902314E-3</v>
      </c>
      <c r="BK16" s="288">
        <f t="shared" si="34"/>
        <v>9.3224254613649329E-3</v>
      </c>
      <c r="BL16" s="288">
        <f t="shared" si="35"/>
        <v>8.8754233737056189E-3</v>
      </c>
      <c r="BM16" s="288">
        <f t="shared" si="35"/>
        <v>8.4564302769789077E-3</v>
      </c>
      <c r="BN16" s="288">
        <f t="shared" si="35"/>
        <v>8.0632968805120185E-3</v>
      </c>
      <c r="BO16" s="288">
        <f t="shared" si="35"/>
        <v>7.6940677167685809E-3</v>
      </c>
      <c r="BP16" s="288">
        <f t="shared" si="35"/>
        <v>7.3469611787802943E-3</v>
      </c>
      <c r="BQ16" s="288">
        <f t="shared" si="35"/>
        <v>7.0203518567602602E-3</v>
      </c>
      <c r="BR16" s="288">
        <f t="shared" si="35"/>
        <v>6.7127548825567564E-3</v>
      </c>
      <c r="BS16" s="288">
        <f t="shared" si="35"/>
        <v>6.4228120306946751E-3</v>
      </c>
      <c r="BT16" s="288">
        <f t="shared" si="35"/>
        <v>6.1492793589152167E-3</v>
      </c>
      <c r="BU16" s="288">
        <f t="shared" si="35"/>
        <v>5.8910162002945498E-3</v>
      </c>
      <c r="BV16" s="288">
        <f t="shared" si="36"/>
        <v>5.646975343976221E-3</v>
      </c>
      <c r="BW16" s="288">
        <f t="shared" si="36"/>
        <v>5.416194262939651E-3</v>
      </c>
      <c r="BX16" s="288">
        <f t="shared" si="36"/>
        <v>5.1977872655916803E-3</v>
      </c>
      <c r="BY16" s="288">
        <f t="shared" si="36"/>
        <v>4.9909384637658594E-3</v>
      </c>
      <c r="BZ16" s="288">
        <f t="shared" si="36"/>
        <v>4.79489546332818E-3</v>
      </c>
      <c r="CA16" s="290">
        <f t="shared" si="36"/>
        <v>4.6089636953407804E-3</v>
      </c>
      <c r="CB16" s="242"/>
      <c r="CE16" s="191">
        <v>14</v>
      </c>
      <c r="CF16" s="268">
        <f t="shared" si="20"/>
        <v>1.3244996147917592</v>
      </c>
      <c r="CG16" s="268">
        <f t="shared" si="21"/>
        <v>1.2581935268359763</v>
      </c>
      <c r="CH16" s="236" t="str">
        <f t="shared" si="22"/>
        <v>+152,8%</v>
      </c>
      <c r="CI16" s="268">
        <f t="shared" si="23"/>
        <v>1.0848983730132027</v>
      </c>
      <c r="CK16" s="238" t="s">
        <v>576</v>
      </c>
      <c r="CL16" s="236" t="str">
        <f t="shared" si="24"/>
        <v>[td]14[/td]</v>
      </c>
      <c r="CM16" s="236" t="str">
        <f t="shared" si="25"/>
        <v>[td]132%[/td]</v>
      </c>
      <c r="CN16" s="236" t="str">
        <f t="shared" si="26"/>
        <v>[td]126%[/td]</v>
      </c>
      <c r="CO16" s="236" t="str">
        <f t="shared" si="27"/>
        <v>[td]+152,8%[/td]</v>
      </c>
      <c r="CP16" s="236" t="str">
        <f t="shared" si="28"/>
        <v>[td]108%[/td]</v>
      </c>
      <c r="CQ16" s="238" t="s">
        <v>578</v>
      </c>
    </row>
    <row r="17" spans="2:95">
      <c r="B17" s="274">
        <f t="shared" si="19"/>
        <v>3.75</v>
      </c>
      <c r="C17" s="234"/>
      <c r="D17" s="272">
        <f t="shared" si="29"/>
        <v>0.99960015993602558</v>
      </c>
      <c r="E17" s="288">
        <f t="shared" si="29"/>
        <v>0.99681020733652304</v>
      </c>
      <c r="F17" s="288">
        <f t="shared" si="29"/>
        <v>0.98931539374752675</v>
      </c>
      <c r="G17" s="288">
        <f t="shared" si="29"/>
        <v>0.9750390015600624</v>
      </c>
      <c r="H17" s="288">
        <f t="shared" si="29"/>
        <v>0.95238095238095233</v>
      </c>
      <c r="I17" s="288">
        <f t="shared" si="29"/>
        <v>0.92047128129602362</v>
      </c>
      <c r="J17" s="288">
        <f t="shared" si="29"/>
        <v>0.87935279634189234</v>
      </c>
      <c r="K17" s="288">
        <f t="shared" si="29"/>
        <v>0.83001328021248344</v>
      </c>
      <c r="L17" s="288">
        <f t="shared" si="29"/>
        <v>0.77423350882626207</v>
      </c>
      <c r="M17" s="288">
        <f t="shared" si="29"/>
        <v>0.7142857142857143</v>
      </c>
      <c r="N17" s="288">
        <f t="shared" si="30"/>
        <v>0.65257113025319757</v>
      </c>
      <c r="O17" s="288">
        <f t="shared" si="30"/>
        <v>0.59129612109744556</v>
      </c>
      <c r="P17" s="288">
        <f t="shared" si="30"/>
        <v>0.53225463061528633</v>
      </c>
      <c r="Q17" s="288">
        <f t="shared" si="30"/>
        <v>0.47673531655225021</v>
      </c>
      <c r="R17" s="288">
        <f t="shared" si="30"/>
        <v>0.42553191489361702</v>
      </c>
      <c r="S17" s="288">
        <f t="shared" si="30"/>
        <v>0.37901758641600969</v>
      </c>
      <c r="T17" s="288">
        <f t="shared" si="30"/>
        <v>0.3372453797382976</v>
      </c>
      <c r="U17" s="288">
        <f t="shared" si="30"/>
        <v>0.30004800768122897</v>
      </c>
      <c r="V17" s="288">
        <f t="shared" si="30"/>
        <v>0.26712255582861416</v>
      </c>
      <c r="W17" s="288">
        <f t="shared" si="30"/>
        <v>0.23809523809523808</v>
      </c>
      <c r="X17" s="288">
        <f t="shared" si="31"/>
        <v>0.21256695859195646</v>
      </c>
      <c r="Y17" s="288">
        <f t="shared" si="31"/>
        <v>0.19014298752661998</v>
      </c>
      <c r="Z17" s="288">
        <f t="shared" si="31"/>
        <v>0.170450671575646</v>
      </c>
      <c r="AA17" s="288">
        <f t="shared" si="31"/>
        <v>0.15314873805439841</v>
      </c>
      <c r="AB17" s="288">
        <f t="shared" si="31"/>
        <v>0.13793103448275862</v>
      </c>
      <c r="AC17" s="288">
        <f t="shared" si="31"/>
        <v>0.12452679816696552</v>
      </c>
      <c r="AD17" s="288">
        <f t="shared" si="31"/>
        <v>0.11269891358247305</v>
      </c>
      <c r="AE17" s="288">
        <f t="shared" si="31"/>
        <v>0.10224112547030918</v>
      </c>
      <c r="AF17" s="288">
        <f t="shared" si="31"/>
        <v>9.2974822418089173E-2</v>
      </c>
      <c r="AG17" s="288">
        <f t="shared" si="31"/>
        <v>8.4745762711864403E-2</v>
      </c>
      <c r="AH17" s="288">
        <f t="shared" si="32"/>
        <v>7.7420953206775875E-2</v>
      </c>
      <c r="AI17" s="288">
        <f t="shared" si="32"/>
        <v>7.0885788817057954E-2</v>
      </c>
      <c r="AJ17" s="288">
        <f t="shared" si="32"/>
        <v>6.5041496474750882E-2</v>
      </c>
      <c r="AK17" s="288">
        <f t="shared" si="32"/>
        <v>5.9802889675629127E-2</v>
      </c>
      <c r="AL17" s="288">
        <f t="shared" si="32"/>
        <v>5.5096418732782364E-2</v>
      </c>
      <c r="AM17" s="288">
        <f t="shared" si="32"/>
        <v>5.085849133371307E-2</v>
      </c>
      <c r="AN17" s="288">
        <f t="shared" si="32"/>
        <v>4.7034033826877125E-2</v>
      </c>
      <c r="AO17" s="288">
        <f t="shared" si="32"/>
        <v>4.3575263194589688E-2</v>
      </c>
      <c r="AP17" s="288">
        <f t="shared" si="32"/>
        <v>4.0440641226807288E-2</v>
      </c>
      <c r="AQ17" s="288">
        <f t="shared" si="32"/>
        <v>3.7593984962406013E-2</v>
      </c>
      <c r="AR17" s="288">
        <f t="shared" si="33"/>
        <v>3.500371039330169E-2</v>
      </c>
      <c r="AS17" s="288">
        <f t="shared" si="33"/>
        <v>3.2642189376925888E-2</v>
      </c>
      <c r="AT17" s="288">
        <f t="shared" si="33"/>
        <v>3.0485202482714888E-2</v>
      </c>
      <c r="AU17" s="288">
        <f t="shared" si="33"/>
        <v>2.8511473016741933E-2</v>
      </c>
      <c r="AV17" s="288">
        <f t="shared" si="33"/>
        <v>2.6702269692923896E-2</v>
      </c>
      <c r="AW17" s="288">
        <f t="shared" si="33"/>
        <v>2.5041067350454745E-2</v>
      </c>
      <c r="AX17" s="288">
        <f t="shared" si="33"/>
        <v>2.3513256774169274E-2</v>
      </c>
      <c r="AY17" s="288">
        <f t="shared" si="33"/>
        <v>2.2105896084603685E-2</v>
      </c>
      <c r="AZ17" s="288">
        <f t="shared" si="33"/>
        <v>2.0807497357447833E-2</v>
      </c>
      <c r="BA17" s="288">
        <f t="shared" si="33"/>
        <v>1.9607843137254902E-2</v>
      </c>
      <c r="BB17" s="288">
        <f t="shared" si="34"/>
        <v>1.8497828354951128E-2</v>
      </c>
      <c r="BC17" s="288">
        <f t="shared" si="34"/>
        <v>1.7469323867289038E-2</v>
      </c>
      <c r="BD17" s="288">
        <f t="shared" si="34"/>
        <v>1.6515058430276727E-2</v>
      </c>
      <c r="BE17" s="288">
        <f t="shared" si="34"/>
        <v>1.5628516416193641E-2</v>
      </c>
      <c r="BF17" s="288">
        <f t="shared" si="34"/>
        <v>1.480384900074019E-2</v>
      </c>
      <c r="BG17" s="288">
        <f t="shared" si="34"/>
        <v>1.4035796896404589E-2</v>
      </c>
      <c r="BH17" s="288">
        <f t="shared" si="34"/>
        <v>1.3319623001390567E-2</v>
      </c>
      <c r="BI17" s="288">
        <f t="shared" si="34"/>
        <v>1.265105357974212E-2</v>
      </c>
      <c r="BJ17" s="288">
        <f t="shared" si="34"/>
        <v>1.2026226795395398E-2</v>
      </c>
      <c r="BK17" s="288">
        <f t="shared" si="34"/>
        <v>1.1441647597254004E-2</v>
      </c>
      <c r="BL17" s="288">
        <f t="shared" si="35"/>
        <v>1.0894148099406921E-2</v>
      </c>
      <c r="BM17" s="288">
        <f t="shared" si="35"/>
        <v>1.0380852724766222E-2</v>
      </c>
      <c r="BN17" s="288">
        <f t="shared" si="35"/>
        <v>9.8991474854185548E-3</v>
      </c>
      <c r="BO17" s="288">
        <f t="shared" si="35"/>
        <v>9.446652861957951E-3</v>
      </c>
      <c r="BP17" s="288">
        <f t="shared" si="35"/>
        <v>9.0211998195760031E-3</v>
      </c>
      <c r="BQ17" s="288">
        <f t="shared" si="35"/>
        <v>8.6208085628767285E-3</v>
      </c>
      <c r="BR17" s="288">
        <f t="shared" si="35"/>
        <v>8.2436696860480833E-3</v>
      </c>
      <c r="BS17" s="288">
        <f t="shared" si="35"/>
        <v>7.8881274216551188E-3</v>
      </c>
      <c r="BT17" s="288">
        <f t="shared" si="35"/>
        <v>7.5526647311704512E-3</v>
      </c>
      <c r="BU17" s="288">
        <f t="shared" si="35"/>
        <v>7.2358900144717788E-3</v>
      </c>
      <c r="BV17" s="288">
        <f t="shared" si="36"/>
        <v>6.9365252447899754E-3</v>
      </c>
      <c r="BW17" s="288">
        <f t="shared" si="36"/>
        <v>6.6533953607204824E-3</v>
      </c>
      <c r="BX17" s="288">
        <f t="shared" si="36"/>
        <v>6.3854187685336771E-3</v>
      </c>
      <c r="BY17" s="288">
        <f t="shared" si="36"/>
        <v>6.1315988266572481E-3</v>
      </c>
      <c r="BZ17" s="288">
        <f t="shared" si="36"/>
        <v>5.8910162002945507E-3</v>
      </c>
      <c r="CA17" s="290">
        <f t="shared" si="36"/>
        <v>5.6628219880582404E-3</v>
      </c>
      <c r="CB17" s="242"/>
      <c r="CE17" s="191">
        <v>15</v>
      </c>
      <c r="CF17" s="268">
        <f t="shared" si="20"/>
        <v>1.3367491648096548</v>
      </c>
      <c r="CG17" s="268">
        <f t="shared" si="21"/>
        <v>1.2679400854668819</v>
      </c>
      <c r="CH17" s="236" t="str">
        <f t="shared" si="22"/>
        <v>+156,8%</v>
      </c>
      <c r="CI17" s="268">
        <f t="shared" si="23"/>
        <v>1.0871178710411615</v>
      </c>
      <c r="CK17" s="238" t="s">
        <v>576</v>
      </c>
      <c r="CL17" s="236" t="str">
        <f t="shared" si="24"/>
        <v>[td]15[/td]</v>
      </c>
      <c r="CM17" s="236" t="str">
        <f t="shared" si="25"/>
        <v>[td]134%[/td]</v>
      </c>
      <c r="CN17" s="236" t="str">
        <f t="shared" si="26"/>
        <v>[td]127%[/td]</v>
      </c>
      <c r="CO17" s="236" t="str">
        <f t="shared" si="27"/>
        <v>[td]+156,8%[/td]</v>
      </c>
      <c r="CP17" s="236" t="str">
        <f t="shared" si="28"/>
        <v>[td]109%[/td]</v>
      </c>
      <c r="CQ17" s="238" t="s">
        <v>578</v>
      </c>
    </row>
    <row r="18" spans="2:95">
      <c r="B18" s="274">
        <f t="shared" si="19"/>
        <v>4</v>
      </c>
      <c r="C18" s="234"/>
      <c r="D18" s="272">
        <f t="shared" si="29"/>
        <v>0.99967051874992363</v>
      </c>
      <c r="E18" s="288">
        <f t="shared" si="29"/>
        <v>0.99737021525275149</v>
      </c>
      <c r="F18" s="288">
        <f t="shared" si="29"/>
        <v>0.99117956660092688</v>
      </c>
      <c r="G18" s="288">
        <f t="shared" si="29"/>
        <v>0.97934200459066578</v>
      </c>
      <c r="H18" s="288">
        <f t="shared" si="29"/>
        <v>0.96043144381265022</v>
      </c>
      <c r="I18" s="288">
        <f t="shared" si="29"/>
        <v>0.93353997629683649</v>
      </c>
      <c r="J18" s="288">
        <f t="shared" si="29"/>
        <v>0.89843278753249034</v>
      </c>
      <c r="K18" s="288">
        <f t="shared" si="29"/>
        <v>0.85561497326203206</v>
      </c>
      <c r="L18" s="288">
        <f t="shared" si="29"/>
        <v>0.80627540525378194</v>
      </c>
      <c r="M18" s="288">
        <f t="shared" si="29"/>
        <v>0.75211164157179577</v>
      </c>
      <c r="N18" s="288">
        <f t="shared" si="30"/>
        <v>0.69507963039955201</v>
      </c>
      <c r="O18" s="288">
        <f t="shared" si="30"/>
        <v>0.63713290194126426</v>
      </c>
      <c r="P18" s="288">
        <f t="shared" si="30"/>
        <v>0.58000977067240633</v>
      </c>
      <c r="Q18" s="288">
        <f t="shared" si="30"/>
        <v>0.52510127685759711</v>
      </c>
      <c r="R18" s="288">
        <f t="shared" si="30"/>
        <v>0.47340287208529575</v>
      </c>
      <c r="S18" s="288">
        <f t="shared" si="30"/>
        <v>0.42553191489361702</v>
      </c>
      <c r="T18" s="288">
        <f t="shared" si="30"/>
        <v>0.38178505016987385</v>
      </c>
      <c r="U18" s="288">
        <f t="shared" si="30"/>
        <v>0.34221167663670082</v>
      </c>
      <c r="V18" s="288">
        <f t="shared" si="30"/>
        <v>0.30668668316405412</v>
      </c>
      <c r="W18" s="288">
        <f t="shared" si="30"/>
        <v>0.27497314715359827</v>
      </c>
      <c r="X18" s="288">
        <f t="shared" si="31"/>
        <v>0.2467715164459118</v>
      </c>
      <c r="Y18" s="288">
        <f t="shared" si="31"/>
        <v>0.22175541936461871</v>
      </c>
      <c r="Z18" s="288">
        <f t="shared" si="31"/>
        <v>0.19959603244410115</v>
      </c>
      <c r="AA18" s="288">
        <f t="shared" si="31"/>
        <v>0.17997750281214847</v>
      </c>
      <c r="AB18" s="288">
        <f t="shared" si="31"/>
        <v>0.16260582181244354</v>
      </c>
      <c r="AC18" s="288">
        <f t="shared" si="31"/>
        <v>0.14721315717592259</v>
      </c>
      <c r="AD18" s="288">
        <f t="shared" si="31"/>
        <v>0.13355919271032882</v>
      </c>
      <c r="AE18" s="288">
        <f t="shared" si="31"/>
        <v>0.12143060430699176</v>
      </c>
      <c r="AF18" s="288">
        <f t="shared" si="31"/>
        <v>0.11063945879585048</v>
      </c>
      <c r="AG18" s="288">
        <f t="shared" si="31"/>
        <v>0.10102106249691709</v>
      </c>
      <c r="AH18" s="288">
        <f t="shared" si="32"/>
        <v>9.2431598698826653E-2</v>
      </c>
      <c r="AI18" s="288">
        <f t="shared" si="32"/>
        <v>8.4745762711864403E-2</v>
      </c>
      <c r="AJ18" s="288">
        <f t="shared" si="32"/>
        <v>7.7854515077184494E-2</v>
      </c>
      <c r="AK18" s="288">
        <f t="shared" si="32"/>
        <v>7.1663015865239932E-2</v>
      </c>
      <c r="AL18" s="288">
        <f t="shared" si="32"/>
        <v>6.6088766442525274E-2</v>
      </c>
      <c r="AM18" s="288">
        <f t="shared" si="32"/>
        <v>6.1059962791585168E-2</v>
      </c>
      <c r="AN18" s="288">
        <f t="shared" si="32"/>
        <v>5.6514051592527613E-2</v>
      </c>
      <c r="AO18" s="288">
        <f t="shared" si="32"/>
        <v>5.2396473471726879E-2</v>
      </c>
      <c r="AP18" s="288">
        <f t="shared" si="32"/>
        <v>4.8659574834588923E-2</v>
      </c>
      <c r="AQ18" s="288">
        <f t="shared" si="32"/>
        <v>4.5261669024045263E-2</v>
      </c>
      <c r="AR18" s="288">
        <f t="shared" si="33"/>
        <v>4.2166228207209534E-2</v>
      </c>
      <c r="AS18" s="288">
        <f t="shared" si="33"/>
        <v>3.9341188764709725E-2</v>
      </c>
      <c r="AT18" s="288">
        <f t="shared" si="33"/>
        <v>3.6758354650815818E-2</v>
      </c>
      <c r="AU18" s="288">
        <f t="shared" si="33"/>
        <v>3.4392884971921431E-2</v>
      </c>
      <c r="AV18" s="288">
        <f t="shared" si="33"/>
        <v>3.222285376008685E-2</v>
      </c>
      <c r="AW18" s="288">
        <f t="shared" si="33"/>
        <v>3.0228871524343982E-2</v>
      </c>
      <c r="AX18" s="288">
        <f t="shared" si="33"/>
        <v>2.8393759611748608E-2</v>
      </c>
      <c r="AY18" s="288">
        <f t="shared" si="33"/>
        <v>2.6702269692923896E-2</v>
      </c>
      <c r="AZ18" s="288">
        <f t="shared" si="33"/>
        <v>2.5140841806961176E-2</v>
      </c>
      <c r="BA18" s="288">
        <f t="shared" si="33"/>
        <v>2.369739536928827E-2</v>
      </c>
      <c r="BB18" s="288">
        <f t="shared" si="34"/>
        <v>2.2361148378175277E-2</v>
      </c>
      <c r="BC18" s="288">
        <f t="shared" si="34"/>
        <v>2.1122460766679316E-2</v>
      </c>
      <c r="BD18" s="288">
        <f t="shared" si="34"/>
        <v>1.9972698452481581E-2</v>
      </c>
      <c r="BE18" s="288">
        <f t="shared" si="34"/>
        <v>1.8904115152645191E-2</v>
      </c>
      <c r="BF18" s="288">
        <f t="shared" si="34"/>
        <v>1.7909749466828592E-2</v>
      </c>
      <c r="BG18" s="288">
        <f t="shared" si="34"/>
        <v>1.698333510243074E-2</v>
      </c>
      <c r="BH18" s="288">
        <f t="shared" si="34"/>
        <v>1.6119222428544244E-2</v>
      </c>
      <c r="BI18" s="288">
        <f t="shared" si="34"/>
        <v>1.5312309811093348E-2</v>
      </c>
      <c r="BJ18" s="288">
        <f t="shared" si="34"/>
        <v>1.4557983406529021E-2</v>
      </c>
      <c r="BK18" s="288">
        <f t="shared" si="34"/>
        <v>1.385206428223581E-2</v>
      </c>
      <c r="BL18" s="288">
        <f t="shared" si="35"/>
        <v>1.3190761893705194E-2</v>
      </c>
      <c r="BM18" s="288">
        <f t="shared" si="35"/>
        <v>1.2570633086053593E-2</v>
      </c>
      <c r="BN18" s="288">
        <f t="shared" si="35"/>
        <v>1.1988545904408615E-2</v>
      </c>
      <c r="BO18" s="288">
        <f t="shared" si="35"/>
        <v>1.1441647597254004E-2</v>
      </c>
      <c r="BP18" s="288">
        <f t="shared" si="35"/>
        <v>1.0927336281704381E-2</v>
      </c>
      <c r="BQ18" s="288">
        <f t="shared" si="35"/>
        <v>1.0443235812140057E-2</v>
      </c>
      <c r="BR18" s="288">
        <f t="shared" si="35"/>
        <v>9.9871734555754248E-3</v>
      </c>
      <c r="BS18" s="288">
        <f t="shared" si="35"/>
        <v>9.5571600301647859E-3</v>
      </c>
      <c r="BT18" s="288">
        <f t="shared" si="35"/>
        <v>9.1513722087169722E-3</v>
      </c>
      <c r="BU18" s="288">
        <f t="shared" si="35"/>
        <v>8.7681367281321025E-3</v>
      </c>
      <c r="BV18" s="288">
        <f t="shared" si="36"/>
        <v>8.4059162792492169E-3</v>
      </c>
      <c r="BW18" s="288">
        <f t="shared" si="36"/>
        <v>8.0632968805120185E-3</v>
      </c>
      <c r="BX18" s="288">
        <f t="shared" si="36"/>
        <v>7.7389765638056027E-3</v>
      </c>
      <c r="BY18" s="288">
        <f t="shared" si="36"/>
        <v>7.4317552223684214E-3</v>
      </c>
      <c r="BZ18" s="288">
        <f t="shared" si="36"/>
        <v>7.1405254893312691E-3</v>
      </c>
      <c r="CA18" s="290">
        <f t="shared" si="36"/>
        <v>6.864264531594385E-3</v>
      </c>
      <c r="CB18" s="242"/>
      <c r="CE18" s="191">
        <v>16</v>
      </c>
      <c r="CF18" s="268">
        <f t="shared" si="20"/>
        <v>1.3485685011586677</v>
      </c>
      <c r="CG18" s="268">
        <f t="shared" si="21"/>
        <v>1.2773443374219131</v>
      </c>
      <c r="CH18" s="236" t="str">
        <f t="shared" si="22"/>
        <v>+160,5%</v>
      </c>
      <c r="CI18" s="268">
        <f t="shared" si="23"/>
        <v>1.0891940727893279</v>
      </c>
      <c r="CK18" s="238" t="s">
        <v>576</v>
      </c>
      <c r="CL18" s="236" t="str">
        <f t="shared" si="24"/>
        <v>[td]16[/td]</v>
      </c>
      <c r="CM18" s="236" t="str">
        <f t="shared" si="25"/>
        <v>[td]135%[/td]</v>
      </c>
      <c r="CN18" s="236" t="str">
        <f t="shared" si="26"/>
        <v>[td]128%[/td]</v>
      </c>
      <c r="CO18" s="236" t="str">
        <f t="shared" si="27"/>
        <v>[td]+160,5%[/td]</v>
      </c>
      <c r="CP18" s="236" t="str">
        <f t="shared" si="28"/>
        <v>[td]109%[/td]</v>
      </c>
      <c r="CQ18" s="238" t="s">
        <v>578</v>
      </c>
    </row>
    <row r="19" spans="2:95">
      <c r="B19" s="274">
        <f t="shared" si="19"/>
        <v>4.25</v>
      </c>
      <c r="C19" s="234"/>
      <c r="D19" s="272">
        <f t="shared" si="29"/>
        <v>0.99972529429120838</v>
      </c>
      <c r="E19" s="288">
        <f t="shared" si="29"/>
        <v>0.99780657215971402</v>
      </c>
      <c r="F19" s="288">
        <f t="shared" si="29"/>
        <v>0.9926355453636263</v>
      </c>
      <c r="G19" s="288">
        <f t="shared" si="29"/>
        <v>0.98271792615113818</v>
      </c>
      <c r="H19" s="288">
        <f t="shared" si="29"/>
        <v>0.96679293550450141</v>
      </c>
      <c r="I19" s="288">
        <f t="shared" si="29"/>
        <v>0.94397263958805666</v>
      </c>
      <c r="J19" s="288">
        <f t="shared" si="29"/>
        <v>0.91386798857897522</v>
      </c>
      <c r="K19" s="288">
        <f t="shared" si="29"/>
        <v>0.87666393062346104</v>
      </c>
      <c r="L19" s="288">
        <f t="shared" si="29"/>
        <v>0.83311430097589523</v>
      </c>
      <c r="M19" s="288">
        <f t="shared" si="29"/>
        <v>0.78444834743733038</v>
      </c>
      <c r="N19" s="288">
        <f t="shared" si="30"/>
        <v>0.73220712832626655</v>
      </c>
      <c r="O19" s="288">
        <f t="shared" si="30"/>
        <v>0.67804797261862038</v>
      </c>
      <c r="P19" s="288">
        <f t="shared" si="30"/>
        <v>0.62356024597186166</v>
      </c>
      <c r="Q19" s="288">
        <f t="shared" si="30"/>
        <v>0.57012555991366309</v>
      </c>
      <c r="R19" s="288">
        <f t="shared" si="30"/>
        <v>0.51883728912004645</v>
      </c>
      <c r="S19" s="288">
        <f t="shared" si="30"/>
        <v>0.47047670120468082</v>
      </c>
      <c r="T19" s="288">
        <f t="shared" si="30"/>
        <v>0.42553191489361702</v>
      </c>
      <c r="U19" s="288">
        <f t="shared" si="30"/>
        <v>0.3842423863227542</v>
      </c>
      <c r="V19" s="288">
        <f t="shared" si="30"/>
        <v>0.34665358983676303</v>
      </c>
      <c r="W19" s="288">
        <f t="shared" si="30"/>
        <v>0.31267103672118629</v>
      </c>
      <c r="X19" s="288">
        <f t="shared" si="31"/>
        <v>0.28210745118530495</v>
      </c>
      <c r="Y19" s="288">
        <f t="shared" si="31"/>
        <v>0.25472060058689944</v>
      </c>
      <c r="Z19" s="288">
        <f t="shared" si="31"/>
        <v>0.23024165297854343</v>
      </c>
      <c r="AA19" s="288">
        <f t="shared" si="31"/>
        <v>0.20839519159802167</v>
      </c>
      <c r="AB19" s="288">
        <f t="shared" si="31"/>
        <v>0.1889124938717833</v>
      </c>
      <c r="AC19" s="288">
        <f t="shared" si="31"/>
        <v>0.1715397023805367</v>
      </c>
      <c r="AD19" s="288">
        <f t="shared" si="31"/>
        <v>0.15604231214497039</v>
      </c>
      <c r="AE19" s="288">
        <f t="shared" si="31"/>
        <v>0.14220711932893756</v>
      </c>
      <c r="AF19" s="288">
        <f t="shared" si="31"/>
        <v>0.12984250022794455</v>
      </c>
      <c r="AG19" s="288">
        <f t="shared" si="31"/>
        <v>0.11877765152430916</v>
      </c>
      <c r="AH19" s="288">
        <f t="shared" si="32"/>
        <v>0.10886123350213876</v>
      </c>
      <c r="AI19" s="288">
        <f t="shared" si="32"/>
        <v>9.9959714993753779E-2</v>
      </c>
      <c r="AJ19" s="288">
        <f t="shared" si="32"/>
        <v>9.1955614991778636E-2</v>
      </c>
      <c r="AK19" s="288">
        <f t="shared" si="32"/>
        <v>8.4745762711864403E-2</v>
      </c>
      <c r="AL19" s="288">
        <f t="shared" si="32"/>
        <v>7.8239647738447382E-2</v>
      </c>
      <c r="AM19" s="288">
        <f t="shared" si="32"/>
        <v>7.2357898395548653E-2</v>
      </c>
      <c r="AN19" s="288">
        <f t="shared" si="32"/>
        <v>6.7030904753491216E-2</v>
      </c>
      <c r="AO19" s="288">
        <f t="shared" si="32"/>
        <v>6.2197589068010962E-2</v>
      </c>
      <c r="AP19" s="288">
        <f t="shared" si="32"/>
        <v>5.7804318322604097E-2</v>
      </c>
      <c r="AQ19" s="288">
        <f t="shared" si="32"/>
        <v>5.3803949054351513E-2</v>
      </c>
      <c r="AR19" s="288">
        <f t="shared" si="33"/>
        <v>5.0154992504314419E-2</v>
      </c>
      <c r="AS19" s="288">
        <f t="shared" si="33"/>
        <v>4.6820887471672075E-2</v>
      </c>
      <c r="AT19" s="288">
        <f t="shared" si="33"/>
        <v>4.3769368480085738E-2</v>
      </c>
      <c r="AU19" s="288">
        <f t="shared" si="33"/>
        <v>4.0971917599160711E-2</v>
      </c>
      <c r="AV19" s="288">
        <f t="shared" si="33"/>
        <v>3.8403289253840421E-2</v>
      </c>
      <c r="AW19" s="288">
        <f t="shared" si="33"/>
        <v>3.6041098442889566E-2</v>
      </c>
      <c r="AX19" s="288">
        <f t="shared" si="33"/>
        <v>3.3865463878619224E-2</v>
      </c>
      <c r="AY19" s="288">
        <f t="shared" si="33"/>
        <v>3.1858698598424766E-2</v>
      </c>
      <c r="AZ19" s="288">
        <f t="shared" si="33"/>
        <v>3.0005041555425195E-2</v>
      </c>
      <c r="BA19" s="288">
        <f t="shared" si="33"/>
        <v>2.8290424557908131E-2</v>
      </c>
      <c r="BB19" s="288">
        <f t="shared" si="34"/>
        <v>2.6702269692923896E-2</v>
      </c>
      <c r="BC19" s="288">
        <f t="shared" si="34"/>
        <v>2.5229313041701028E-2</v>
      </c>
      <c r="BD19" s="288">
        <f t="shared" si="34"/>
        <v>2.3861451080261265E-2</v>
      </c>
      <c r="BE19" s="288">
        <f t="shared" si="34"/>
        <v>2.2589606665888082E-2</v>
      </c>
      <c r="BF19" s="288">
        <f t="shared" si="34"/>
        <v>2.1405611947581737E-2</v>
      </c>
      <c r="BG19" s="288">
        <f t="shared" si="34"/>
        <v>2.0302105914760081E-2</v>
      </c>
      <c r="BH19" s="288">
        <f t="shared" si="34"/>
        <v>1.9272444621142297E-2</v>
      </c>
      <c r="BI19" s="288">
        <f t="shared" si="34"/>
        <v>1.8310622397174656E-2</v>
      </c>
      <c r="BJ19" s="288">
        <f t="shared" si="34"/>
        <v>1.7411202600942359E-2</v>
      </c>
      <c r="BK19" s="288">
        <f t="shared" si="34"/>
        <v>1.6569256659910356E-2</v>
      </c>
      <c r="BL19" s="288">
        <f t="shared" si="35"/>
        <v>1.5780310328972733E-2</v>
      </c>
      <c r="BM19" s="288">
        <f t="shared" si="35"/>
        <v>1.5040296238425888E-2</v>
      </c>
      <c r="BN19" s="288">
        <f t="shared" si="35"/>
        <v>1.4345511932280307E-2</v>
      </c>
      <c r="BO19" s="288">
        <f t="shared" si="35"/>
        <v>1.3692582705930814E-2</v>
      </c>
      <c r="BP19" s="288">
        <f t="shared" si="35"/>
        <v>1.3078428645299199E-2</v>
      </c>
      <c r="BQ19" s="288">
        <f t="shared" si="35"/>
        <v>1.2500235349434117E-2</v>
      </c>
      <c r="BR19" s="288">
        <f t="shared" si="35"/>
        <v>1.1955427887148838E-2</v>
      </c>
      <c r="BS19" s="288">
        <f t="shared" si="35"/>
        <v>1.1441647597254004E-2</v>
      </c>
      <c r="BT19" s="288">
        <f t="shared" si="35"/>
        <v>1.0956731392708053E-2</v>
      </c>
      <c r="BU19" s="288">
        <f t="shared" si="35"/>
        <v>1.0498693272758743E-2</v>
      </c>
      <c r="BV19" s="288">
        <f t="shared" si="36"/>
        <v>1.0065707784901991E-2</v>
      </c>
      <c r="BW19" s="288">
        <f t="shared" si="36"/>
        <v>9.6560952111035062E-3</v>
      </c>
      <c r="BX19" s="288">
        <f t="shared" si="36"/>
        <v>9.2683082809495321E-3</v>
      </c>
      <c r="BY19" s="288">
        <f t="shared" si="36"/>
        <v>8.9009202388410577E-3</v>
      </c>
      <c r="BZ19" s="288">
        <f t="shared" si="36"/>
        <v>8.5526141135541002E-3</v>
      </c>
      <c r="CA19" s="290">
        <f t="shared" si="36"/>
        <v>8.2221730569112268E-3</v>
      </c>
      <c r="CB19" s="242"/>
      <c r="CE19" s="191">
        <v>17</v>
      </c>
      <c r="CF19" s="268">
        <f t="shared" si="20"/>
        <v>1.3599999999999999</v>
      </c>
      <c r="CG19" s="268">
        <f t="shared" si="21"/>
        <v>1.28644</v>
      </c>
      <c r="CH19" s="236" t="str">
        <f t="shared" si="22"/>
        <v>+164,1%</v>
      </c>
      <c r="CI19" s="268">
        <f t="shared" si="23"/>
        <v>1.0911443645465388</v>
      </c>
      <c r="CK19" s="238" t="s">
        <v>576</v>
      </c>
      <c r="CL19" s="236" t="str">
        <f t="shared" si="24"/>
        <v>[td]17[/td]</v>
      </c>
      <c r="CM19" s="236" t="str">
        <f t="shared" si="25"/>
        <v>[td]136%[/td]</v>
      </c>
      <c r="CN19" s="236" t="str">
        <f t="shared" si="26"/>
        <v>[td]129%[/td]</v>
      </c>
      <c r="CO19" s="236" t="str">
        <f t="shared" si="27"/>
        <v>[td]+164,1%[/td]</v>
      </c>
      <c r="CP19" s="236" t="str">
        <f t="shared" ref="CP19:CP21" si="37">CONCATENATE("[td]",TEXT(CI19,"0%"),"[/td]")</f>
        <v>[td]109%[/td]</v>
      </c>
      <c r="CQ19" s="238" t="s">
        <v>578</v>
      </c>
    </row>
    <row r="20" spans="2:95">
      <c r="B20" s="274">
        <f t="shared" si="19"/>
        <v>4.5</v>
      </c>
      <c r="C20" s="234"/>
      <c r="D20" s="272">
        <f t="shared" si="29"/>
        <v>0.99976857208979397</v>
      </c>
      <c r="E20" s="288">
        <f t="shared" si="29"/>
        <v>0.99815157116451014</v>
      </c>
      <c r="F20" s="288">
        <f t="shared" si="29"/>
        <v>0.99378881987577639</v>
      </c>
      <c r="G20" s="288">
        <f t="shared" si="29"/>
        <v>0.98540145985401462</v>
      </c>
      <c r="H20" s="288">
        <f t="shared" si="29"/>
        <v>0.97187851518560175</v>
      </c>
      <c r="I20" s="288">
        <f t="shared" si="29"/>
        <v>0.95238095238095233</v>
      </c>
      <c r="J20" s="288">
        <f t="shared" si="29"/>
        <v>0.92644220458932014</v>
      </c>
      <c r="K20" s="288">
        <f t="shared" si="29"/>
        <v>0.89403973509933776</v>
      </c>
      <c r="L20" s="288">
        <f t="shared" si="29"/>
        <v>0.85561497326203217</v>
      </c>
      <c r="M20" s="288">
        <f t="shared" si="29"/>
        <v>0.81203007518796988</v>
      </c>
      <c r="N20" s="288">
        <f t="shared" si="30"/>
        <v>0.76446646611219249</v>
      </c>
      <c r="O20" s="288">
        <f t="shared" si="30"/>
        <v>0.7142857142857143</v>
      </c>
      <c r="P20" s="288">
        <f t="shared" si="30"/>
        <v>0.66288169403099584</v>
      </c>
      <c r="Q20" s="288">
        <f t="shared" si="30"/>
        <v>0.61155152887882225</v>
      </c>
      <c r="R20" s="288">
        <f t="shared" si="30"/>
        <v>0.56140350877192979</v>
      </c>
      <c r="S20" s="288">
        <f t="shared" si="30"/>
        <v>0.51330798479087447</v>
      </c>
      <c r="T20" s="288">
        <f t="shared" si="30"/>
        <v>0.46788692732589626</v>
      </c>
      <c r="U20" s="288">
        <f t="shared" si="30"/>
        <v>0.42553191489361702</v>
      </c>
      <c r="V20" s="288">
        <f t="shared" si="30"/>
        <v>0.38643885857411214</v>
      </c>
      <c r="W20" s="288">
        <f t="shared" si="30"/>
        <v>0.35064935064935066</v>
      </c>
      <c r="X20" s="288">
        <f t="shared" si="31"/>
        <v>0.31809145129224653</v>
      </c>
      <c r="Y20" s="288">
        <f t="shared" si="31"/>
        <v>0.28861571352218063</v>
      </c>
      <c r="Z20" s="288">
        <f t="shared" si="31"/>
        <v>0.26202462546248556</v>
      </c>
      <c r="AA20" s="288">
        <f t="shared" si="31"/>
        <v>0.23809523809523808</v>
      </c>
      <c r="AB20" s="288">
        <f t="shared" si="31"/>
        <v>0.2165956380045124</v>
      </c>
      <c r="AC20" s="288">
        <f t="shared" si="31"/>
        <v>0.19729630982827912</v>
      </c>
      <c r="AD20" s="288">
        <f t="shared" si="31"/>
        <v>0.17997750281214847</v>
      </c>
      <c r="AE20" s="288">
        <f t="shared" si="31"/>
        <v>0.16443361753958588</v>
      </c>
      <c r="AF20" s="288">
        <f t="shared" si="31"/>
        <v>0.15047546065693684</v>
      </c>
      <c r="AG20" s="288">
        <f t="shared" si="31"/>
        <v>0.13793103448275862</v>
      </c>
      <c r="AH20" s="288">
        <f t="shared" si="32"/>
        <v>0.12664536366567969</v>
      </c>
      <c r="AI20" s="288">
        <f t="shared" si="32"/>
        <v>0.11647972389991371</v>
      </c>
      <c r="AJ20" s="288">
        <f t="shared" si="32"/>
        <v>0.1073105298457411</v>
      </c>
      <c r="AK20" s="288">
        <f t="shared" si="32"/>
        <v>9.9028057949752432E-2</v>
      </c>
      <c r="AL20" s="288">
        <f t="shared" si="32"/>
        <v>9.1535120245788734E-2</v>
      </c>
      <c r="AM20" s="288">
        <f t="shared" si="32"/>
        <v>8.4745762711864403E-2</v>
      </c>
      <c r="AN20" s="288">
        <f t="shared" si="32"/>
        <v>7.8584032161242795E-2</v>
      </c>
      <c r="AO20" s="288">
        <f t="shared" si="32"/>
        <v>7.2982835518313277E-2</v>
      </c>
      <c r="AP20" s="288">
        <f t="shared" si="32"/>
        <v>6.7882901994060232E-2</v>
      </c>
      <c r="AQ20" s="288">
        <f t="shared" si="32"/>
        <v>6.323185011709602E-2</v>
      </c>
      <c r="AR20" s="288">
        <f t="shared" si="33"/>
        <v>5.898335631681708E-2</v>
      </c>
      <c r="AS20" s="288">
        <f t="shared" si="33"/>
        <v>5.5096418732782371E-2</v>
      </c>
      <c r="AT20" s="288">
        <f t="shared" si="33"/>
        <v>5.1534708387512368E-2</v>
      </c>
      <c r="AU20" s="288">
        <f t="shared" si="33"/>
        <v>4.8265999284948152E-2</v>
      </c>
      <c r="AV20" s="288">
        <f t="shared" si="33"/>
        <v>4.5261669024045256E-2</v>
      </c>
      <c r="AW20" s="288">
        <f t="shared" si="33"/>
        <v>4.2496261902888167E-2</v>
      </c>
      <c r="AX20" s="288">
        <f t="shared" si="33"/>
        <v>3.9947107071192769E-2</v>
      </c>
      <c r="AY20" s="288">
        <f t="shared" si="33"/>
        <v>3.7593984962406013E-2</v>
      </c>
      <c r="AZ20" s="288">
        <f t="shared" si="33"/>
        <v>3.541883593372086E-2</v>
      </c>
      <c r="BA20" s="288">
        <f t="shared" si="33"/>
        <v>3.3405505722239409E-2</v>
      </c>
      <c r="BB20" s="288">
        <f t="shared" si="34"/>
        <v>3.1539522964715155E-2</v>
      </c>
      <c r="BC20" s="288">
        <f t="shared" si="34"/>
        <v>2.9807904614705231E-2</v>
      </c>
      <c r="BD20" s="288">
        <f t="shared" si="34"/>
        <v>2.8198985619822842E-2</v>
      </c>
      <c r="BE20" s="288">
        <f t="shared" si="34"/>
        <v>2.6702269692923896E-2</v>
      </c>
      <c r="BF20" s="288">
        <f t="shared" si="34"/>
        <v>2.5308298427018948E-2</v>
      </c>
      <c r="BG20" s="288">
        <f t="shared" si="34"/>
        <v>2.4008536368486572E-2</v>
      </c>
      <c r="BH20" s="288">
        <f t="shared" si="34"/>
        <v>2.2795269981478843E-2</v>
      </c>
      <c r="BI20" s="288">
        <f t="shared" si="34"/>
        <v>2.1661518713145332E-2</v>
      </c>
      <c r="BJ20" s="288">
        <f t="shared" si="34"/>
        <v>2.0600956609235142E-2</v>
      </c>
      <c r="BK20" s="288">
        <f t="shared" si="34"/>
        <v>1.9607843137254902E-2</v>
      </c>
      <c r="BL20" s="288">
        <f t="shared" si="35"/>
        <v>1.8676962053774084E-2</v>
      </c>
      <c r="BM20" s="288">
        <f t="shared" si="35"/>
        <v>1.7803567307375291E-2</v>
      </c>
      <c r="BN20" s="288">
        <f t="shared" si="35"/>
        <v>1.698333510243074E-2</v>
      </c>
      <c r="BO20" s="288">
        <f t="shared" si="35"/>
        <v>1.621232136423682E-2</v>
      </c>
      <c r="BP20" s="288">
        <f t="shared" si="35"/>
        <v>1.5486923945580671E-2</v>
      </c>
      <c r="BQ20" s="288">
        <f t="shared" si="35"/>
        <v>1.4803849000740192E-2</v>
      </c>
      <c r="BR20" s="288">
        <f t="shared" si="35"/>
        <v>1.416008102713032E-2</v>
      </c>
      <c r="BS20" s="288">
        <f t="shared" si="35"/>
        <v>1.3552856138941872E-2</v>
      </c>
      <c r="BT20" s="288">
        <f t="shared" si="35"/>
        <v>1.2979638192585382E-2</v>
      </c>
      <c r="BU20" s="288">
        <f t="shared" si="35"/>
        <v>1.2438097431763214E-2</v>
      </c>
      <c r="BV20" s="288">
        <f t="shared" si="36"/>
        <v>1.1926091361589702E-2</v>
      </c>
      <c r="BW20" s="288">
        <f t="shared" si="36"/>
        <v>1.1441647597254004E-2</v>
      </c>
      <c r="BX20" s="288">
        <f t="shared" si="36"/>
        <v>1.098294846403974E-2</v>
      </c>
      <c r="BY20" s="288">
        <f t="shared" si="36"/>
        <v>1.0548317152735725E-2</v>
      </c>
      <c r="BZ20" s="288">
        <f t="shared" si="36"/>
        <v>1.0136205258156478E-2</v>
      </c>
      <c r="CA20" s="290">
        <f t="shared" si="36"/>
        <v>9.7451815491229315E-3</v>
      </c>
      <c r="CB20" s="242"/>
      <c r="CE20" s="191">
        <v>18</v>
      </c>
      <c r="CF20" s="268">
        <f t="shared" si="20"/>
        <v>1.3710795063055894</v>
      </c>
      <c r="CG20" s="268">
        <f t="shared" si="21"/>
        <v>1.2952555938504806</v>
      </c>
      <c r="CH20" s="236" t="str">
        <f t="shared" si="22"/>
        <v>+167,4%</v>
      </c>
      <c r="CI20" s="268">
        <f t="shared" si="23"/>
        <v>1.0929831485261707</v>
      </c>
      <c r="CK20" s="238" t="s">
        <v>576</v>
      </c>
      <c r="CL20" s="236" t="str">
        <f t="shared" si="24"/>
        <v>[td]18[/td]</v>
      </c>
      <c r="CM20" s="236" t="str">
        <f t="shared" si="25"/>
        <v>[td]137%[/td]</v>
      </c>
      <c r="CN20" s="236" t="str">
        <f t="shared" si="26"/>
        <v>[td]130%[/td]</v>
      </c>
      <c r="CO20" s="236" t="str">
        <f t="shared" si="27"/>
        <v>[td]+167,4%[/td]</v>
      </c>
      <c r="CP20" s="236" t="str">
        <f t="shared" si="37"/>
        <v>[td]109%[/td]</v>
      </c>
      <c r="CQ20" s="238" t="s">
        <v>578</v>
      </c>
    </row>
    <row r="21" spans="2:95">
      <c r="B21" s="274">
        <f t="shared" si="19"/>
        <v>4.75</v>
      </c>
      <c r="C21" s="234"/>
      <c r="D21" s="272">
        <f t="shared" si="29"/>
        <v>0.99980321703703157</v>
      </c>
      <c r="E21" s="288">
        <f t="shared" si="29"/>
        <v>0.99842790183120322</v>
      </c>
      <c r="F21" s="288">
        <f t="shared" si="29"/>
        <v>0.99471390554641104</v>
      </c>
      <c r="G21" s="288">
        <f t="shared" si="29"/>
        <v>0.98756011172862623</v>
      </c>
      <c r="H21" s="288">
        <f t="shared" si="29"/>
        <v>0.97598804738358647</v>
      </c>
      <c r="I21" s="288">
        <f t="shared" si="29"/>
        <v>0.95922020529745755</v>
      </c>
      <c r="J21" s="288">
        <f t="shared" si="29"/>
        <v>0.93675951407051306</v>
      </c>
      <c r="K21" s="288">
        <f t="shared" si="29"/>
        <v>0.90845275621837829</v>
      </c>
      <c r="L21" s="288">
        <f t="shared" si="29"/>
        <v>0.87452107890324682</v>
      </c>
      <c r="M21" s="288">
        <f t="shared" si="29"/>
        <v>0.83554635156535506</v>
      </c>
      <c r="N21" s="288">
        <f t="shared" si="30"/>
        <v>0.79241206813888865</v>
      </c>
      <c r="O21" s="288">
        <f t="shared" si="30"/>
        <v>0.74620857721012213</v>
      </c>
      <c r="P21" s="288">
        <f t="shared" si="30"/>
        <v>0.69812060112265195</v>
      </c>
      <c r="Q21" s="288">
        <f t="shared" si="30"/>
        <v>0.64931745460741808</v>
      </c>
      <c r="R21" s="288">
        <f t="shared" si="30"/>
        <v>0.60086288079542716</v>
      </c>
      <c r="S21" s="288">
        <f t="shared" si="30"/>
        <v>0.55365416592673911</v>
      </c>
      <c r="T21" s="288">
        <f t="shared" si="30"/>
        <v>0.50839228998891905</v>
      </c>
      <c r="U21" s="288">
        <f t="shared" si="30"/>
        <v>0.46557880017919928</v>
      </c>
      <c r="V21" s="288">
        <f t="shared" si="30"/>
        <v>0.42553191489361697</v>
      </c>
      <c r="W21" s="288">
        <f t="shared" si="30"/>
        <v>0.3884138399682881</v>
      </c>
      <c r="X21" s="288">
        <f t="shared" si="31"/>
        <v>0.35426248686171163</v>
      </c>
      <c r="Y21" s="288">
        <f t="shared" si="31"/>
        <v>0.32302272791492803</v>
      </c>
      <c r="Z21" s="288">
        <f t="shared" si="31"/>
        <v>0.29457427596529012</v>
      </c>
      <c r="AA21" s="288">
        <f t="shared" si="31"/>
        <v>0.26875484887192708</v>
      </c>
      <c r="AB21" s="288">
        <f t="shared" si="31"/>
        <v>0.24537836169965388</v>
      </c>
      <c r="AC21" s="288">
        <f t="shared" si="31"/>
        <v>0.22424852713279669</v>
      </c>
      <c r="AD21" s="288">
        <f t="shared" si="31"/>
        <v>0.2051685484003643</v>
      </c>
      <c r="AE21" s="288">
        <f t="shared" si="31"/>
        <v>0.18794767387694483</v>
      </c>
      <c r="AF21" s="288">
        <f t="shared" si="31"/>
        <v>0.17240534232854038</v>
      </c>
      <c r="AG21" s="288">
        <f t="shared" si="31"/>
        <v>0.15837354822323305</v>
      </c>
      <c r="AH21" s="288">
        <f t="shared" si="32"/>
        <v>0.14569793858340138</v>
      </c>
      <c r="AI21" s="288">
        <f t="shared" si="32"/>
        <v>0.13423803913433197</v>
      </c>
      <c r="AJ21" s="288">
        <f t="shared" si="32"/>
        <v>0.12386690853731763</v>
      </c>
      <c r="AK21" s="288">
        <f t="shared" si="32"/>
        <v>0.11447043862254962</v>
      </c>
      <c r="AL21" s="288">
        <f t="shared" si="32"/>
        <v>0.1059464552577415</v>
      </c>
      <c r="AM21" s="288">
        <f t="shared" si="32"/>
        <v>9.8203726558674528E-2</v>
      </c>
      <c r="AN21" s="288">
        <f t="shared" si="32"/>
        <v>9.1160949780404316E-2</v>
      </c>
      <c r="AO21" s="288">
        <f t="shared" si="32"/>
        <v>8.4745762711864389E-2</v>
      </c>
      <c r="AP21" s="288">
        <f t="shared" si="32"/>
        <v>7.889380737097515E-2</v>
      </c>
      <c r="AQ21" s="288">
        <f t="shared" si="32"/>
        <v>7.3547861332418321E-2</v>
      </c>
      <c r="AR21" s="288">
        <f t="shared" si="33"/>
        <v>6.8657043603078408E-2</v>
      </c>
      <c r="AS21" s="288">
        <f t="shared" si="33"/>
        <v>6.4176096439110833E-2</v>
      </c>
      <c r="AT21" s="288">
        <f t="shared" si="33"/>
        <v>6.006474101623166E-2</v>
      </c>
      <c r="AU21" s="288">
        <f t="shared" si="33"/>
        <v>5.6287102793921413E-2</v>
      </c>
      <c r="AV21" s="288">
        <f t="shared" si="33"/>
        <v>5.2811201302763552E-2</v>
      </c>
      <c r="AW21" s="288">
        <f t="shared" si="33"/>
        <v>4.9608498610614872E-2</v>
      </c>
      <c r="AX21" s="288">
        <f t="shared" si="33"/>
        <v>4.665350066198453E-2</v>
      </c>
      <c r="AY21" s="288">
        <f t="shared" si="33"/>
        <v>4.3923405879422277E-2</v>
      </c>
      <c r="AZ21" s="288">
        <f t="shared" si="33"/>
        <v>4.1397795759004347E-2</v>
      </c>
      <c r="BA21" s="288">
        <f t="shared" si="33"/>
        <v>3.9058362612394579E-2</v>
      </c>
      <c r="BB21" s="288">
        <f t="shared" si="34"/>
        <v>3.6888670058301737E-2</v>
      </c>
      <c r="BC21" s="288">
        <f t="shared" si="34"/>
        <v>3.4873942316394464E-2</v>
      </c>
      <c r="BD21" s="288">
        <f t="shared" si="34"/>
        <v>3.3000878788527588E-2</v>
      </c>
      <c r="BE21" s="288">
        <f t="shared" si="34"/>
        <v>3.1257490815064473E-2</v>
      </c>
      <c r="BF21" s="288">
        <f t="shared" si="34"/>
        <v>2.9632957863005349E-2</v>
      </c>
      <c r="BG21" s="288">
        <f t="shared" si="34"/>
        <v>2.8117500735834872E-2</v>
      </c>
      <c r="BH21" s="288">
        <f t="shared" si="34"/>
        <v>2.6702269692923896E-2</v>
      </c>
      <c r="BI21" s="288">
        <f t="shared" si="34"/>
        <v>2.5379245630692198E-2</v>
      </c>
      <c r="BJ21" s="288">
        <f t="shared" si="34"/>
        <v>2.414115271100499E-2</v>
      </c>
      <c r="BK21" s="288">
        <f t="shared" si="34"/>
        <v>2.2981381027209768E-2</v>
      </c>
      <c r="BL21" s="288">
        <f t="shared" si="35"/>
        <v>2.1893918077676326E-2</v>
      </c>
      <c r="BM21" s="288">
        <f t="shared" si="35"/>
        <v>2.0873287973468189E-2</v>
      </c>
      <c r="BN21" s="288">
        <f t="shared" si="35"/>
        <v>1.9914497443473851E-2</v>
      </c>
      <c r="BO21" s="288">
        <f t="shared" si="35"/>
        <v>1.9012987819380218E-2</v>
      </c>
      <c r="BP21" s="288">
        <f t="shared" si="35"/>
        <v>1.8164592286470372E-2</v>
      </c>
      <c r="BQ21" s="288">
        <f t="shared" si="35"/>
        <v>1.7365497776335222E-2</v>
      </c>
      <c r="BR21" s="288">
        <f t="shared" si="35"/>
        <v>1.6612210955945669E-2</v>
      </c>
      <c r="BS21" s="288">
        <f t="shared" si="35"/>
        <v>1.5901527835672002E-2</v>
      </c>
      <c r="BT21" s="288">
        <f t="shared" si="35"/>
        <v>1.523050657810664E-2</v>
      </c>
      <c r="BU21" s="288">
        <f t="shared" si="35"/>
        <v>1.459644314111881E-2</v>
      </c>
      <c r="BV21" s="288">
        <f t="shared" si="36"/>
        <v>1.3996849433468387E-2</v>
      </c>
      <c r="BW21" s="288">
        <f t="shared" si="36"/>
        <v>1.3429433700418878E-2</v>
      </c>
      <c r="BX21" s="288">
        <f t="shared" si="36"/>
        <v>1.2892082890886532E-2</v>
      </c>
      <c r="BY21" s="288">
        <f t="shared" si="36"/>
        <v>1.2382846787410405E-2</v>
      </c>
      <c r="BZ21" s="288">
        <f t="shared" si="36"/>
        <v>1.189992370620426E-2</v>
      </c>
      <c r="CA21" s="290">
        <f t="shared" si="36"/>
        <v>1.1441647597254002E-2</v>
      </c>
      <c r="CB21" s="242"/>
      <c r="CE21" s="191">
        <v>19</v>
      </c>
      <c r="CF21" s="268">
        <f t="shared" si="20"/>
        <v>1.3818376618407355</v>
      </c>
      <c r="CG21" s="268">
        <f t="shared" si="21"/>
        <v>1.3038154996046121</v>
      </c>
      <c r="CH21" s="236" t="str">
        <f t="shared" si="22"/>
        <v>+170,5%</v>
      </c>
      <c r="CI21" s="268">
        <f t="shared" si="23"/>
        <v>1.0947224889594687</v>
      </c>
      <c r="CK21" s="238" t="s">
        <v>576</v>
      </c>
      <c r="CL21" s="236" t="str">
        <f t="shared" si="24"/>
        <v>[td]19[/td]</v>
      </c>
      <c r="CM21" s="236" t="str">
        <f t="shared" si="25"/>
        <v>[td]138%[/td]</v>
      </c>
      <c r="CN21" s="236" t="str">
        <f t="shared" si="26"/>
        <v>[td]130%[/td]</v>
      </c>
      <c r="CO21" s="236" t="str">
        <f t="shared" si="27"/>
        <v>[td]+170,5%[/td]</v>
      </c>
      <c r="CP21" s="236" t="str">
        <f t="shared" si="37"/>
        <v>[td]109%[/td]</v>
      </c>
      <c r="CQ21" s="238" t="s">
        <v>578</v>
      </c>
    </row>
    <row r="22" spans="2:95">
      <c r="B22" s="274">
        <f t="shared" si="19"/>
        <v>5</v>
      </c>
      <c r="C22" s="234"/>
      <c r="D22" s="272">
        <f t="shared" si="29"/>
        <v>0.9998312784717579</v>
      </c>
      <c r="E22" s="288">
        <f t="shared" si="29"/>
        <v>0.99865182004294195</v>
      </c>
      <c r="F22" s="288">
        <f t="shared" si="29"/>
        <v>0.99546441525798079</v>
      </c>
      <c r="G22" s="288">
        <f t="shared" si="29"/>
        <v>0.98931539374752675</v>
      </c>
      <c r="H22" s="288">
        <f t="shared" si="29"/>
        <v>0.97934200459066567</v>
      </c>
      <c r="I22" s="288">
        <f t="shared" si="29"/>
        <v>0.96483187804525061</v>
      </c>
      <c r="J22" s="288">
        <f t="shared" si="29"/>
        <v>0.94528568305752658</v>
      </c>
      <c r="K22" s="288">
        <f t="shared" si="29"/>
        <v>0.92047128129602351</v>
      </c>
      <c r="L22" s="288">
        <f t="shared" si="29"/>
        <v>0.89045708275128976</v>
      </c>
      <c r="M22" s="288">
        <f t="shared" si="29"/>
        <v>0.85561497326203206</v>
      </c>
      <c r="N22" s="288">
        <f t="shared" si="30"/>
        <v>0.8165890056497751</v>
      </c>
      <c r="O22" s="288">
        <f t="shared" si="30"/>
        <v>0.77423350882626207</v>
      </c>
      <c r="P22" s="288">
        <f t="shared" si="30"/>
        <v>0.72953095719021144</v>
      </c>
      <c r="Q22" s="288">
        <f t="shared" si="30"/>
        <v>0.68350363965688121</v>
      </c>
      <c r="R22" s="288">
        <f t="shared" si="30"/>
        <v>0.63713290194126426</v>
      </c>
      <c r="S22" s="288">
        <f t="shared" si="30"/>
        <v>0.59129612109744556</v>
      </c>
      <c r="T22" s="288">
        <f t="shared" si="30"/>
        <v>0.54672630539448019</v>
      </c>
      <c r="U22" s="288">
        <f t="shared" si="30"/>
        <v>0.50399415366781741</v>
      </c>
      <c r="V22" s="288">
        <f t="shared" si="30"/>
        <v>0.4635088197037599</v>
      </c>
      <c r="W22" s="288">
        <f t="shared" si="30"/>
        <v>0.42553191489361702</v>
      </c>
      <c r="X22" s="288">
        <f t="shared" si="31"/>
        <v>0.39019917229000578</v>
      </c>
      <c r="Y22" s="288">
        <f t="shared" si="31"/>
        <v>0.35754509537515416</v>
      </c>
      <c r="Z22" s="288">
        <f t="shared" si="31"/>
        <v>0.3275272308186748</v>
      </c>
      <c r="AA22" s="288">
        <f t="shared" si="31"/>
        <v>0.30004800768122897</v>
      </c>
      <c r="AB22" s="288">
        <f t="shared" si="31"/>
        <v>0.27497314715359827</v>
      </c>
      <c r="AC22" s="288">
        <f t="shared" si="31"/>
        <v>0.25214639619763235</v>
      </c>
      <c r="AD22" s="288">
        <f t="shared" si="31"/>
        <v>0.23140079920051021</v>
      </c>
      <c r="AE22" s="288">
        <f t="shared" si="31"/>
        <v>0.21256695859195648</v>
      </c>
      <c r="AF22" s="288">
        <f t="shared" si="31"/>
        <v>0.19547881925906196</v>
      </c>
      <c r="AG22" s="288">
        <f t="shared" si="31"/>
        <v>0.17997750281214847</v>
      </c>
      <c r="AH22" s="288">
        <f t="shared" si="32"/>
        <v>0.16591366060494192</v>
      </c>
      <c r="AI22" s="288">
        <f t="shared" si="32"/>
        <v>0.15314873805439844</v>
      </c>
      <c r="AJ22" s="288">
        <f t="shared" si="32"/>
        <v>0.14155546452752765</v>
      </c>
      <c r="AK22" s="288">
        <f t="shared" si="32"/>
        <v>0.13101781187152392</v>
      </c>
      <c r="AL22" s="288">
        <f t="shared" si="32"/>
        <v>0.12143060430699175</v>
      </c>
      <c r="AM22" s="288">
        <f t="shared" si="32"/>
        <v>0.11269891358247305</v>
      </c>
      <c r="AN22" s="288">
        <f t="shared" si="32"/>
        <v>0.10473733512870581</v>
      </c>
      <c r="AO22" s="288">
        <f t="shared" si="32"/>
        <v>9.7469211912687065E-2</v>
      </c>
      <c r="AP22" s="288">
        <f t="shared" si="32"/>
        <v>9.0825851080799241E-2</v>
      </c>
      <c r="AQ22" s="288">
        <f t="shared" si="32"/>
        <v>8.4745762711864403E-2</v>
      </c>
      <c r="AR22" s="288">
        <f t="shared" si="33"/>
        <v>7.9173938710464367E-2</v>
      </c>
      <c r="AS22" s="288">
        <f t="shared" si="33"/>
        <v>7.4061181942402618E-2</v>
      </c>
      <c r="AT22" s="288">
        <f t="shared" si="33"/>
        <v>6.9363490266784983E-2</v>
      </c>
      <c r="AU22" s="288">
        <f t="shared" si="33"/>
        <v>6.5041496474750882E-2</v>
      </c>
      <c r="AV22" s="288">
        <f t="shared" si="33"/>
        <v>6.1059962791585168E-2</v>
      </c>
      <c r="AW22" s="288">
        <f t="shared" si="33"/>
        <v>5.7387327156544016E-2</v>
      </c>
      <c r="AX22" s="288">
        <f t="shared" si="33"/>
        <v>5.3995297684512895E-2</v>
      </c>
      <c r="AY22" s="288">
        <f t="shared" si="33"/>
        <v>5.085849133371307E-2</v>
      </c>
      <c r="AZ22" s="288">
        <f t="shared" si="33"/>
        <v>4.7954112709548226E-2</v>
      </c>
      <c r="BA22" s="288">
        <f t="shared" si="33"/>
        <v>4.5261669024045263E-2</v>
      </c>
      <c r="BB22" s="288">
        <f t="shared" si="34"/>
        <v>4.2762717431713955E-2</v>
      </c>
      <c r="BC22" s="288">
        <f t="shared" si="34"/>
        <v>4.0440641226807288E-2</v>
      </c>
      <c r="BD22" s="288">
        <f t="shared" si="34"/>
        <v>3.8280451680619491E-2</v>
      </c>
      <c r="BE22" s="288">
        <f t="shared" si="34"/>
        <v>3.6268612598627951E-2</v>
      </c>
      <c r="BF22" s="288">
        <f t="shared" si="34"/>
        <v>3.4392884971921431E-2</v>
      </c>
      <c r="BG22" s="288">
        <f t="shared" si="34"/>
        <v>3.2642189376925888E-2</v>
      </c>
      <c r="BH22" s="288">
        <f t="shared" si="34"/>
        <v>3.100648403718375E-2</v>
      </c>
      <c r="BI22" s="288">
        <f t="shared" si="34"/>
        <v>2.9476656698643924E-2</v>
      </c>
      <c r="BJ22" s="288">
        <f t="shared" si="34"/>
        <v>2.8044428685033543E-2</v>
      </c>
      <c r="BK22" s="288">
        <f t="shared" si="34"/>
        <v>2.67022696929239E-2</v>
      </c>
      <c r="BL22" s="288">
        <f t="shared" si="35"/>
        <v>2.5443322058231174E-2</v>
      </c>
      <c r="BM22" s="288">
        <f t="shared" si="35"/>
        <v>2.4261333378621151E-2</v>
      </c>
      <c r="BN22" s="288">
        <f t="shared" si="35"/>
        <v>2.3150596511291921E-2</v>
      </c>
      <c r="BO22" s="288">
        <f t="shared" si="35"/>
        <v>2.2105896084603685E-2</v>
      </c>
      <c r="BP22" s="288">
        <f t="shared" si="35"/>
        <v>2.1122460766679316E-2</v>
      </c>
      <c r="BQ22" s="288">
        <f t="shared" si="35"/>
        <v>2.0195920625992753E-2</v>
      </c>
      <c r="BR22" s="288">
        <f t="shared" si="35"/>
        <v>1.9322268999556913E-2</v>
      </c>
      <c r="BS22" s="288">
        <f t="shared" si="35"/>
        <v>1.8497828354951128E-2</v>
      </c>
      <c r="BT22" s="288">
        <f t="shared" si="35"/>
        <v>1.7719219694292517E-2</v>
      </c>
      <c r="BU22" s="288">
        <f t="shared" si="35"/>
        <v>1.6983335102430736E-2</v>
      </c>
      <c r="BV22" s="288">
        <f t="shared" si="36"/>
        <v>1.6287313089085393E-2</v>
      </c>
      <c r="BW22" s="288">
        <f t="shared" si="36"/>
        <v>1.5628516416193641E-2</v>
      </c>
      <c r="BX22" s="288">
        <f t="shared" si="36"/>
        <v>1.5004512138134538E-2</v>
      </c>
      <c r="BY22" s="288">
        <f t="shared" si="36"/>
        <v>1.4413053614397486E-2</v>
      </c>
      <c r="BZ22" s="288">
        <f t="shared" si="36"/>
        <v>1.385206428223581E-2</v>
      </c>
      <c r="CA22" s="290">
        <f t="shared" si="36"/>
        <v>1.3319623001390567E-2</v>
      </c>
      <c r="CB22" s="242"/>
      <c r="CF22" s="268"/>
      <c r="CG22" s="268"/>
      <c r="CI22" s="268"/>
      <c r="CK22" s="238" t="s">
        <v>579</v>
      </c>
      <c r="CQ22" s="238"/>
    </row>
    <row r="23" spans="2:95">
      <c r="B23" s="274">
        <f t="shared" si="19"/>
        <v>5.25</v>
      </c>
      <c r="C23" s="234"/>
      <c r="D23" s="272">
        <f t="shared" ref="D23:M32" si="38">(POWER($B23,$F$1)/(POWER($B23,$F$1)+($G$1*POWER(D$2,$F$1))))</f>
        <v>0.99985424865179995</v>
      </c>
      <c r="E23" s="288">
        <f t="shared" si="38"/>
        <v>0.99883517763541063</v>
      </c>
      <c r="F23" s="288">
        <f t="shared" si="38"/>
        <v>0.99607957020473348</v>
      </c>
      <c r="G23" s="288">
        <f t="shared" si="38"/>
        <v>0.99075678798382438</v>
      </c>
      <c r="H23" s="288">
        <f t="shared" si="38"/>
        <v>0.98210450966356477</v>
      </c>
      <c r="I23" s="288">
        <f t="shared" si="38"/>
        <v>0.96947427925381569</v>
      </c>
      <c r="J23" s="288">
        <f t="shared" si="38"/>
        <v>0.95238095238095244</v>
      </c>
      <c r="K23" s="288">
        <f t="shared" si="38"/>
        <v>0.93054801953336941</v>
      </c>
      <c r="L23" s="288">
        <f t="shared" si="38"/>
        <v>0.90393991303202004</v>
      </c>
      <c r="M23" s="288">
        <f t="shared" si="38"/>
        <v>0.87277353689567427</v>
      </c>
      <c r="N23" s="288">
        <f t="shared" ref="N23:W32" si="39">(POWER($B23,$F$1)/(POWER($B23,$F$1)+($G$1*POWER(N$2,$F$1))))</f>
        <v>0.83750457819558044</v>
      </c>
      <c r="O23" s="288">
        <f t="shared" si="39"/>
        <v>0.79878900791802521</v>
      </c>
      <c r="P23" s="288">
        <f t="shared" si="39"/>
        <v>0.7574251959810091</v>
      </c>
      <c r="Q23" s="288">
        <f t="shared" si="39"/>
        <v>0.7142857142857143</v>
      </c>
      <c r="R23" s="288">
        <f t="shared" si="39"/>
        <v>0.67024914509037614</v>
      </c>
      <c r="S23" s="288">
        <f t="shared" si="39"/>
        <v>0.62614092734574656</v>
      </c>
      <c r="T23" s="288">
        <f t="shared" si="39"/>
        <v>0.5826892041111017</v>
      </c>
      <c r="U23" s="288">
        <f t="shared" si="39"/>
        <v>0.54049795146549007</v>
      </c>
      <c r="V23" s="288">
        <f t="shared" si="39"/>
        <v>0.50003644580508777</v>
      </c>
      <c r="W23" s="288">
        <f t="shared" si="39"/>
        <v>0.4616419919246299</v>
      </c>
      <c r="X23" s="288">
        <f t="shared" ref="X23:AG32" si="40">(POWER($B23,$F$1)/(POWER($B23,$F$1)+($G$1*POWER(X$2,$F$1))))</f>
        <v>0.42553191489361702</v>
      </c>
      <c r="Y23" s="288">
        <f t="shared" si="40"/>
        <v>0.39182088188256792</v>
      </c>
      <c r="Z23" s="288">
        <f t="shared" si="40"/>
        <v>0.36054028485835915</v>
      </c>
      <c r="AA23" s="288">
        <f t="shared" si="40"/>
        <v>0.33165731966737572</v>
      </c>
      <c r="AB23" s="288">
        <f t="shared" si="40"/>
        <v>0.3050922837447187</v>
      </c>
      <c r="AC23" s="288">
        <f t="shared" si="40"/>
        <v>0.28073334424619412</v>
      </c>
      <c r="AD23" s="288">
        <f t="shared" si="40"/>
        <v>0.25844855517462229</v>
      </c>
      <c r="AE23" s="288">
        <f t="shared" si="40"/>
        <v>0.23809523809523811</v>
      </c>
      <c r="AF23" s="288">
        <f t="shared" si="40"/>
        <v>0.21952702486479567</v>
      </c>
      <c r="AG23" s="288">
        <f t="shared" si="40"/>
        <v>0.2025989367985824</v>
      </c>
      <c r="AH23" s="288">
        <f t="shared" ref="AH23:AQ32" si="41">(POWER($B23,$F$1)/(POWER($B23,$F$1)+($G$1*POWER(AH$2,$F$1))))</f>
        <v>0.18717088210417177</v>
      </c>
      <c r="AI23" s="288">
        <f t="shared" si="41"/>
        <v>0.17310992227717775</v>
      </c>
      <c r="AJ23" s="288">
        <f t="shared" si="41"/>
        <v>0.16029160922494567</v>
      </c>
      <c r="AK23" s="288">
        <f t="shared" si="41"/>
        <v>0.14860064119227104</v>
      </c>
      <c r="AL23" s="288">
        <f t="shared" si="41"/>
        <v>0.13793103448275862</v>
      </c>
      <c r="AM23" s="288">
        <f t="shared" si="41"/>
        <v>0.1281859630764631</v>
      </c>
      <c r="AN23" s="288">
        <f t="shared" si="41"/>
        <v>0.11927738076608767</v>
      </c>
      <c r="AO23" s="288">
        <f t="shared" si="41"/>
        <v>0.11112551027020021</v>
      </c>
      <c r="AP23" s="288">
        <f t="shared" si="41"/>
        <v>0.10365826017316671</v>
      </c>
      <c r="AQ23" s="288">
        <f t="shared" si="41"/>
        <v>9.6810612475303412E-2</v>
      </c>
      <c r="AR23" s="288">
        <f t="shared" ref="AR23:BA32" si="42">(POWER($B23,$F$1)/(POWER($B23,$F$1)+($G$1*POWER(AR$2,$F$1))))</f>
        <v>9.0524009976115385E-2</v>
      </c>
      <c r="AS23" s="288">
        <f t="shared" si="42"/>
        <v>8.4745762711864403E-2</v>
      </c>
      <c r="AT23" s="288">
        <f t="shared" si="42"/>
        <v>7.9428485416883757E-2</v>
      </c>
      <c r="AU23" s="288">
        <f t="shared" si="42"/>
        <v>7.4529572813002473E-2</v>
      </c>
      <c r="AV23" s="288">
        <f t="shared" si="42"/>
        <v>7.0010715925907033E-2</v>
      </c>
      <c r="AW23" s="288">
        <f t="shared" si="42"/>
        <v>6.5837460171215778E-2</v>
      </c>
      <c r="AX23" s="288">
        <f t="shared" si="42"/>
        <v>6.1978804333095411E-2</v>
      </c>
      <c r="AY23" s="288">
        <f t="shared" si="42"/>
        <v>5.8406838538296493E-2</v>
      </c>
      <c r="AZ23" s="288">
        <f t="shared" si="42"/>
        <v>5.5096418732782364E-2</v>
      </c>
      <c r="BA23" s="288">
        <f t="shared" si="42"/>
        <v>5.202487486728348E-2</v>
      </c>
      <c r="BB23" s="288">
        <f t="shared" ref="BB23:BK32" si="43">(POWER($B23,$F$1)/(POWER($B23,$F$1)+($G$1*POWER(BB$2,$F$1))))</f>
        <v>4.9171749897857518E-2</v>
      </c>
      <c r="BC23" s="288">
        <f t="shared" si="43"/>
        <v>4.6518566739902893E-2</v>
      </c>
      <c r="BD23" s="288">
        <f t="shared" si="43"/>
        <v>4.4048620430597735E-2</v>
      </c>
      <c r="BE23" s="288">
        <f t="shared" si="43"/>
        <v>4.1746792921301817E-2</v>
      </c>
      <c r="BF23" s="288">
        <f t="shared" si="43"/>
        <v>3.9599388114411056E-2</v>
      </c>
      <c r="BG23" s="288">
        <f t="shared" si="43"/>
        <v>3.7593984962406013E-2</v>
      </c>
      <c r="BH23" s="288">
        <f t="shared" si="43"/>
        <v>3.5719306649726897E-2</v>
      </c>
      <c r="BI23" s="288">
        <f t="shared" si="43"/>
        <v>3.3965104073832013E-2</v>
      </c>
      <c r="BJ23" s="288">
        <f t="shared" si="43"/>
        <v>3.232205202625342E-2</v>
      </c>
      <c r="BK23" s="288">
        <f t="shared" si="43"/>
        <v>3.0781656645427622E-2</v>
      </c>
      <c r="BL23" s="288">
        <f t="shared" ref="BL23:BU32" si="44">(POWER($B23,$F$1)/(POWER($B23,$F$1)+($G$1*POWER(BL$2,$F$1))))</f>
        <v>2.9336172869599424E-2</v>
      </c>
      <c r="BM23" s="288">
        <f t="shared" si="44"/>
        <v>2.7978530760069821E-2</v>
      </c>
      <c r="BN23" s="288">
        <f t="shared" si="44"/>
        <v>2.6702269692923896E-2</v>
      </c>
      <c r="BO23" s="288">
        <f t="shared" si="44"/>
        <v>2.5501479531902869E-2</v>
      </c>
      <c r="BP23" s="288">
        <f t="shared" si="44"/>
        <v>2.4370747997228982E-2</v>
      </c>
      <c r="BQ23" s="288">
        <f t="shared" si="44"/>
        <v>2.3305113535990431E-2</v>
      </c>
      <c r="BR23" s="288">
        <f t="shared" si="44"/>
        <v>2.2300023080198812E-2</v>
      </c>
      <c r="BS23" s="288">
        <f t="shared" si="44"/>
        <v>2.1351294149869901E-2</v>
      </c>
      <c r="BT23" s="288">
        <f t="shared" si="44"/>
        <v>2.0455080821423565E-2</v>
      </c>
      <c r="BU23" s="288">
        <f t="shared" si="44"/>
        <v>1.9607843137254898E-2</v>
      </c>
      <c r="BV23" s="288">
        <f t="shared" ref="BV23:CA32" si="45">(POWER($B23,$F$1)/(POWER($B23,$F$1)+($G$1*POWER(BV$2,$F$1))))</f>
        <v>1.8806319581326364E-2</v>
      </c>
      <c r="BW23" s="288">
        <f t="shared" si="45"/>
        <v>1.8047502288823174E-2</v>
      </c>
      <c r="BX23" s="288">
        <f t="shared" si="45"/>
        <v>1.7328614695978798E-2</v>
      </c>
      <c r="BY23" s="288">
        <f t="shared" si="45"/>
        <v>1.6647091369720736E-2</v>
      </c>
      <c r="BZ23" s="288">
        <f t="shared" si="45"/>
        <v>1.600055978634821E-2</v>
      </c>
      <c r="CA23" s="290">
        <f t="shared" si="45"/>
        <v>1.5386823854511521E-2</v>
      </c>
      <c r="CB23" s="242"/>
      <c r="CF23" s="268"/>
      <c r="CG23" s="268"/>
      <c r="CI23" s="268"/>
      <c r="CK23" s="238"/>
      <c r="CQ23" s="238"/>
    </row>
    <row r="24" spans="2:95">
      <c r="B24" s="274">
        <f t="shared" si="19"/>
        <v>5.5</v>
      </c>
      <c r="C24" s="234"/>
      <c r="D24" s="272">
        <f t="shared" si="38"/>
        <v>0.99987323169958731</v>
      </c>
      <c r="E24" s="288">
        <f t="shared" si="38"/>
        <v>0.99898675273013859</v>
      </c>
      <c r="F24" s="288">
        <f t="shared" si="38"/>
        <v>0.9965885001099728</v>
      </c>
      <c r="G24" s="288">
        <f t="shared" si="38"/>
        <v>0.99195111044865114</v>
      </c>
      <c r="H24" s="288">
        <f t="shared" si="38"/>
        <v>0.98439919569186674</v>
      </c>
      <c r="I24" s="288">
        <f t="shared" si="38"/>
        <v>0.9733445464185162</v>
      </c>
      <c r="J24" s="288">
        <f t="shared" si="38"/>
        <v>0.95832527078898944</v>
      </c>
      <c r="K24" s="288">
        <f t="shared" si="38"/>
        <v>0.93904331875264568</v>
      </c>
      <c r="L24" s="288">
        <f t="shared" si="38"/>
        <v>0.91539397273934742</v>
      </c>
      <c r="M24" s="288">
        <f t="shared" si="38"/>
        <v>0.88748124687447905</v>
      </c>
      <c r="N24" s="288">
        <f t="shared" si="39"/>
        <v>0.85561497326203206</v>
      </c>
      <c r="O24" s="288">
        <f t="shared" si="39"/>
        <v>0.82028842598299034</v>
      </c>
      <c r="P24" s="288">
        <f t="shared" si="39"/>
        <v>0.78213890898673788</v>
      </c>
      <c r="Q24" s="288">
        <f t="shared" si="39"/>
        <v>0.74189682561801518</v>
      </c>
      <c r="R24" s="288">
        <f t="shared" si="39"/>
        <v>0.70033049969580874</v>
      </c>
      <c r="S24" s="288">
        <f t="shared" si="39"/>
        <v>0.65819404608841858</v>
      </c>
      <c r="T24" s="288">
        <f t="shared" si="39"/>
        <v>0.61618409136283281</v>
      </c>
      <c r="U24" s="288">
        <f t="shared" si="39"/>
        <v>0.57490875321253476</v>
      </c>
      <c r="V24" s="288">
        <f t="shared" si="39"/>
        <v>0.5348697611219807</v>
      </c>
      <c r="W24" s="288">
        <f t="shared" si="39"/>
        <v>0.49645654606490114</v>
      </c>
      <c r="X24" s="288">
        <f t="shared" si="40"/>
        <v>0.45994984957030888</v>
      </c>
      <c r="Y24" s="288">
        <f t="shared" si="40"/>
        <v>0.42553191489361697</v>
      </c>
      <c r="Z24" s="288">
        <f t="shared" si="40"/>
        <v>0.39330044748637499</v>
      </c>
      <c r="AA24" s="288">
        <f t="shared" si="40"/>
        <v>0.36328402205360555</v>
      </c>
      <c r="AB24" s="288">
        <f t="shared" si="40"/>
        <v>0.33545724479589184</v>
      </c>
      <c r="AC24" s="288">
        <f t="shared" si="40"/>
        <v>0.30975459337437011</v>
      </c>
      <c r="AD24" s="288">
        <f t="shared" si="40"/>
        <v>0.28608236689633676</v>
      </c>
      <c r="AE24" s="288">
        <f t="shared" si="40"/>
        <v>0.26432855383882115</v>
      </c>
      <c r="AF24" s="288">
        <f t="shared" si="40"/>
        <v>0.24437067322422179</v>
      </c>
      <c r="AG24" s="288">
        <f t="shared" si="40"/>
        <v>0.22608178691239544</v>
      </c>
      <c r="AH24" s="288">
        <f t="shared" si="41"/>
        <v>0.20933494672751951</v>
      </c>
      <c r="AI24" s="288">
        <f t="shared" si="41"/>
        <v>0.19400635512928896</v>
      </c>
      <c r="AJ24" s="288">
        <f t="shared" si="41"/>
        <v>0.17997750281214847</v>
      </c>
      <c r="AK24" s="288">
        <f t="shared" si="41"/>
        <v>0.16713651574988542</v>
      </c>
      <c r="AL24" s="288">
        <f t="shared" si="41"/>
        <v>0.15537890754677747</v>
      </c>
      <c r="AM24" s="288">
        <f t="shared" si="41"/>
        <v>0.14460789639512395</v>
      </c>
      <c r="AN24" s="288">
        <f t="shared" si="41"/>
        <v>0.13473441263426147</v>
      </c>
      <c r="AO24" s="288">
        <f t="shared" si="41"/>
        <v>0.12567689424161876</v>
      </c>
      <c r="AP24" s="288">
        <f t="shared" si="41"/>
        <v>0.11736094386943925</v>
      </c>
      <c r="AQ24" s="288">
        <f t="shared" si="41"/>
        <v>0.10971890198664579</v>
      </c>
      <c r="AR24" s="288">
        <f t="shared" si="42"/>
        <v>0.10268937572902657</v>
      </c>
      <c r="AS24" s="288">
        <f t="shared" si="42"/>
        <v>9.6216751546082474E-2</v>
      </c>
      <c r="AT24" s="288">
        <f t="shared" si="42"/>
        <v>9.0250711016765614E-2</v>
      </c>
      <c r="AU24" s="288">
        <f t="shared" si="42"/>
        <v>8.4745762711864403E-2</v>
      </c>
      <c r="AV24" s="288">
        <f t="shared" si="42"/>
        <v>7.9660798216459966E-2</v>
      </c>
      <c r="AW24" s="288">
        <f t="shared" si="42"/>
        <v>7.4958676987798803E-2</v>
      </c>
      <c r="AX24" s="288">
        <f t="shared" si="42"/>
        <v>7.0605842288642487E-2</v>
      </c>
      <c r="AY24" s="288">
        <f t="shared" si="42"/>
        <v>6.6571968749687391E-2</v>
      </c>
      <c r="AZ24" s="288">
        <f t="shared" si="42"/>
        <v>6.2829640980645127E-2</v>
      </c>
      <c r="BA24" s="288">
        <f t="shared" si="42"/>
        <v>5.935406191819307E-2</v>
      </c>
      <c r="BB24" s="288">
        <f t="shared" si="43"/>
        <v>5.6122789157148814E-2</v>
      </c>
      <c r="BC24" s="288">
        <f t="shared" si="43"/>
        <v>5.3115497274388829E-2</v>
      </c>
      <c r="BD24" s="288">
        <f t="shared" si="43"/>
        <v>5.0313764060672311E-2</v>
      </c>
      <c r="BE24" s="288">
        <f t="shared" si="43"/>
        <v>4.7700878577789881E-2</v>
      </c>
      <c r="BF24" s="288">
        <f t="shared" si="43"/>
        <v>4.5261669024045256E-2</v>
      </c>
      <c r="BG24" s="288">
        <f t="shared" si="43"/>
        <v>4.2982348496102198E-2</v>
      </c>
      <c r="BH24" s="288">
        <f t="shared" si="43"/>
        <v>4.085037686275781E-2</v>
      </c>
      <c r="BI24" s="288">
        <f t="shared" si="43"/>
        <v>3.885433710443234E-2</v>
      </c>
      <c r="BJ24" s="288">
        <f t="shared" si="43"/>
        <v>3.6983824613033983E-2</v>
      </c>
      <c r="BK24" s="288">
        <f t="shared" si="43"/>
        <v>3.5229348085016279E-2</v>
      </c>
      <c r="BL24" s="288">
        <f t="shared" si="44"/>
        <v>3.3582240772492458E-2</v>
      </c>
      <c r="BM24" s="288">
        <f t="shared" si="44"/>
        <v>3.2034580981182385E-2</v>
      </c>
      <c r="BN24" s="288">
        <f t="shared" si="44"/>
        <v>3.057912081868646E-2</v>
      </c>
      <c r="BO24" s="288">
        <f t="shared" si="44"/>
        <v>2.920922230171305E-2</v>
      </c>
      <c r="BP24" s="288">
        <f t="shared" si="44"/>
        <v>2.7918800026481956E-2</v>
      </c>
      <c r="BQ24" s="288">
        <f t="shared" si="44"/>
        <v>2.6702269692923896E-2</v>
      </c>
      <c r="BR24" s="288">
        <f t="shared" si="44"/>
        <v>2.5554501851009426E-2</v>
      </c>
      <c r="BS24" s="288">
        <f t="shared" si="44"/>
        <v>2.4470780307180914E-2</v>
      </c>
      <c r="BT24" s="288">
        <f t="shared" si="44"/>
        <v>2.3446764691083699E-2</v>
      </c>
      <c r="BU24" s="288">
        <f t="shared" si="44"/>
        <v>2.2478456738259395E-2</v>
      </c>
      <c r="BV24" s="288">
        <f t="shared" si="45"/>
        <v>2.1562169893820284E-2</v>
      </c>
      <c r="BW24" s="288">
        <f t="shared" si="45"/>
        <v>2.0694501885982777E-2</v>
      </c>
      <c r="BX24" s="288">
        <f t="shared" si="45"/>
        <v>1.9872309957272107E-2</v>
      </c>
      <c r="BY24" s="288">
        <f t="shared" si="45"/>
        <v>1.909268847574791E-2</v>
      </c>
      <c r="BZ24" s="288">
        <f t="shared" si="45"/>
        <v>1.8352948679222842E-2</v>
      </c>
      <c r="CA24" s="290">
        <f t="shared" si="45"/>
        <v>1.7650600332589823E-2</v>
      </c>
      <c r="CB24" s="242"/>
      <c r="CF24" s="268"/>
      <c r="CG24" s="268"/>
      <c r="CI24" s="268"/>
      <c r="CK24" s="238"/>
      <c r="CQ24" s="238"/>
    </row>
    <row r="25" spans="2:95">
      <c r="B25" s="274">
        <f t="shared" si="19"/>
        <v>5.75</v>
      </c>
      <c r="C25" s="234"/>
      <c r="D25" s="272">
        <f t="shared" si="38"/>
        <v>0.99988905644561499</v>
      </c>
      <c r="E25" s="288">
        <f t="shared" si="38"/>
        <v>0.9991131403044885</v>
      </c>
      <c r="F25" s="288">
        <f t="shared" si="38"/>
        <v>0.99701313972688044</v>
      </c>
      <c r="G25" s="288">
        <f t="shared" si="38"/>
        <v>0.99294889581667134</v>
      </c>
      <c r="H25" s="288">
        <f t="shared" si="38"/>
        <v>0.9863202480595018</v>
      </c>
      <c r="I25" s="288">
        <f t="shared" si="38"/>
        <v>0.97659448092080969</v>
      </c>
      <c r="J25" s="288">
        <f t="shared" si="38"/>
        <v>0.96333743730230681</v>
      </c>
      <c r="K25" s="288">
        <f t="shared" si="38"/>
        <v>0.94624441990325237</v>
      </c>
      <c r="L25" s="288">
        <f t="shared" si="38"/>
        <v>0.92516624021473415</v>
      </c>
      <c r="M25" s="288">
        <f t="shared" si="38"/>
        <v>0.9001257675519716</v>
      </c>
      <c r="N25" s="288">
        <f t="shared" si="39"/>
        <v>0.87132130465451862</v>
      </c>
      <c r="O25" s="288">
        <f t="shared" si="39"/>
        <v>0.83911502227616941</v>
      </c>
      <c r="P25" s="288">
        <f t="shared" si="39"/>
        <v>0.80400714996084699</v>
      </c>
      <c r="Q25" s="288">
        <f t="shared" si="39"/>
        <v>0.76659903978224986</v>
      </c>
      <c r="R25" s="288">
        <f t="shared" si="39"/>
        <v>0.7275499678591183</v>
      </c>
      <c r="S25" s="288">
        <f t="shared" si="39"/>
        <v>0.68753319846750227</v>
      </c>
      <c r="T25" s="288">
        <f t="shared" si="39"/>
        <v>0.64719634246564417</v>
      </c>
      <c r="U25" s="288">
        <f t="shared" si="39"/>
        <v>0.60712966936457713</v>
      </c>
      <c r="V25" s="288">
        <f t="shared" si="39"/>
        <v>0.56784425003441974</v>
      </c>
      <c r="W25" s="288">
        <f t="shared" si="39"/>
        <v>0.52976009056472328</v>
      </c>
      <c r="X25" s="288">
        <f t="shared" si="40"/>
        <v>0.49320310425690184</v>
      </c>
      <c r="Y25" s="288">
        <f t="shared" si="40"/>
        <v>0.45840900014317032</v>
      </c>
      <c r="Z25" s="288">
        <f t="shared" si="40"/>
        <v>0.42553191489361702</v>
      </c>
      <c r="AA25" s="288">
        <f t="shared" si="40"/>
        <v>0.39465575067954611</v>
      </c>
      <c r="AB25" s="288">
        <f t="shared" si="40"/>
        <v>0.3658065437490135</v>
      </c>
      <c r="AC25" s="288">
        <f t="shared" si="40"/>
        <v>0.33896463534904964</v>
      </c>
      <c r="AD25" s="288">
        <f t="shared" si="40"/>
        <v>0.31407584853010073</v>
      </c>
      <c r="AE25" s="288">
        <f t="shared" si="40"/>
        <v>0.2910612360115018</v>
      </c>
      <c r="AF25" s="288">
        <f t="shared" si="40"/>
        <v>0.26982523565631711</v>
      </c>
      <c r="AG25" s="288">
        <f t="shared" si="40"/>
        <v>0.25026225394409363</v>
      </c>
      <c r="AH25" s="288">
        <f t="shared" si="41"/>
        <v>0.23226180851906608</v>
      </c>
      <c r="AI25" s="288">
        <f t="shared" si="41"/>
        <v>0.21571241653931117</v>
      </c>
      <c r="AJ25" s="288">
        <f t="shared" si="41"/>
        <v>0.20050443336115598</v>
      </c>
      <c r="AK25" s="288">
        <f t="shared" si="41"/>
        <v>0.18653204021622816</v>
      </c>
      <c r="AL25" s="288">
        <f t="shared" si="41"/>
        <v>0.17369456053505977</v>
      </c>
      <c r="AM25" s="288">
        <f t="shared" si="41"/>
        <v>0.16189725970891225</v>
      </c>
      <c r="AN25" s="288">
        <f t="shared" si="41"/>
        <v>0.1510517569838315</v>
      </c>
      <c r="AO25" s="288">
        <f t="shared" si="41"/>
        <v>0.14107615352684585</v>
      </c>
      <c r="AP25" s="288">
        <f t="shared" si="41"/>
        <v>0.13189495884176994</v>
      </c>
      <c r="AQ25" s="288">
        <f t="shared" si="41"/>
        <v>0.12343887913804823</v>
      </c>
      <c r="AR25" s="288">
        <f t="shared" si="42"/>
        <v>0.1156445159625455</v>
      </c>
      <c r="AS25" s="288">
        <f t="shared" si="42"/>
        <v>0.10845401111370601</v>
      </c>
      <c r="AT25" s="288">
        <f t="shared" si="42"/>
        <v>0.10181466417353094</v>
      </c>
      <c r="AU25" s="288">
        <f t="shared" si="42"/>
        <v>9.5678541490059402E-2</v>
      </c>
      <c r="AV25" s="288">
        <f t="shared" si="42"/>
        <v>9.0002089717296382E-2</v>
      </c>
      <c r="AW25" s="288">
        <f t="shared" si="42"/>
        <v>8.4745762711864403E-2</v>
      </c>
      <c r="AX25" s="288">
        <f t="shared" si="42"/>
        <v>7.9873667390871206E-2</v>
      </c>
      <c r="AY25" s="288">
        <f t="shared" si="42"/>
        <v>7.535323182189213E-2</v>
      </c>
      <c r="AZ25" s="288">
        <f t="shared" si="42"/>
        <v>7.1154897140616444E-2</v>
      </c>
      <c r="BA25" s="288">
        <f t="shared" si="42"/>
        <v>6.7251833713802459E-2</v>
      </c>
      <c r="BB25" s="288">
        <f t="shared" si="43"/>
        <v>6.3619681159094429E-2</v>
      </c>
      <c r="BC25" s="288">
        <f t="shared" si="43"/>
        <v>6.0236311301969721E-2</v>
      </c>
      <c r="BD25" s="288">
        <f t="shared" si="43"/>
        <v>5.7081612819459636E-2</v>
      </c>
      <c r="BE25" s="288">
        <f t="shared" si="43"/>
        <v>5.4137296134169004E-2</v>
      </c>
      <c r="BF25" s="288">
        <f t="shared" si="43"/>
        <v>5.1386717038347865E-2</v>
      </c>
      <c r="BG25" s="288">
        <f t="shared" si="43"/>
        <v>4.8814717514962969E-2</v>
      </c>
      <c r="BH25" s="288">
        <f t="shared" si="43"/>
        <v>4.6407482257729532E-2</v>
      </c>
      <c r="BI25" s="288">
        <f t="shared" si="43"/>
        <v>4.4152409457985355E-2</v>
      </c>
      <c r="BJ25" s="288">
        <f t="shared" si="43"/>
        <v>4.2037994510909678E-2</v>
      </c>
      <c r="BK25" s="288">
        <f t="shared" si="43"/>
        <v>4.0053725388208727E-2</v>
      </c>
      <c r="BL25" s="288">
        <f t="shared" si="44"/>
        <v>3.8189988522915011E-2</v>
      </c>
      <c r="BM25" s="288">
        <f t="shared" si="44"/>
        <v>3.6437984150210621E-2</v>
      </c>
      <c r="BN25" s="288">
        <f t="shared" si="44"/>
        <v>3.4789650143417596E-2</v>
      </c>
      <c r="BO25" s="288">
        <f t="shared" si="44"/>
        <v>3.3237593474755869E-2</v>
      </c>
      <c r="BP25" s="288">
        <f t="shared" si="44"/>
        <v>3.1775028515130484E-2</v>
      </c>
      <c r="BQ25" s="288">
        <f t="shared" si="44"/>
        <v>3.0395721465569916E-2</v>
      </c>
      <c r="BR25" s="288">
        <f t="shared" si="44"/>
        <v>2.9093940284848969E-2</v>
      </c>
      <c r="BS25" s="288">
        <f t="shared" si="44"/>
        <v>2.7864409543382779E-2</v>
      </c>
      <c r="BT25" s="288">
        <f t="shared" si="44"/>
        <v>2.6702269692923896E-2</v>
      </c>
      <c r="BU25" s="288">
        <f t="shared" si="44"/>
        <v>2.5603040295275627E-2</v>
      </c>
      <c r="BV25" s="288">
        <f t="shared" si="45"/>
        <v>2.4562586801551274E-2</v>
      </c>
      <c r="BW25" s="288">
        <f t="shared" si="45"/>
        <v>2.357709051688222E-2</v>
      </c>
      <c r="BX25" s="288">
        <f t="shared" si="45"/>
        <v>2.2643021424332953E-2</v>
      </c>
      <c r="BY25" s="288">
        <f t="shared" si="45"/>
        <v>2.1757113576531859E-2</v>
      </c>
      <c r="BZ25" s="288">
        <f t="shared" si="45"/>
        <v>2.0916342794567458E-2</v>
      </c>
      <c r="CA25" s="290">
        <f t="shared" si="45"/>
        <v>2.0117906441400785E-2</v>
      </c>
      <c r="CB25" s="242"/>
      <c r="CF25" s="268"/>
      <c r="CG25" s="268"/>
      <c r="CI25" s="268"/>
      <c r="CK25" s="238"/>
      <c r="CQ25" s="238"/>
    </row>
    <row r="26" spans="2:95">
      <c r="B26" s="274">
        <f t="shared" si="19"/>
        <v>6</v>
      </c>
      <c r="C26" s="234"/>
      <c r="D26" s="272">
        <f t="shared" si="38"/>
        <v>0.9999023532858119</v>
      </c>
      <c r="E26" s="288">
        <f t="shared" si="38"/>
        <v>0.99921935987509758</v>
      </c>
      <c r="F26" s="288">
        <f t="shared" si="38"/>
        <v>0.99737021525275149</v>
      </c>
      <c r="G26" s="288">
        <f t="shared" si="38"/>
        <v>0.99378881987577639</v>
      </c>
      <c r="H26" s="288">
        <f t="shared" si="38"/>
        <v>0.98794018330921374</v>
      </c>
      <c r="I26" s="288">
        <f t="shared" si="38"/>
        <v>0.97934200459066567</v>
      </c>
      <c r="J26" s="288">
        <f t="shared" si="38"/>
        <v>0.9675895303789096</v>
      </c>
      <c r="K26" s="288">
        <f t="shared" si="38"/>
        <v>0.95238095238095233</v>
      </c>
      <c r="L26" s="288">
        <f t="shared" si="38"/>
        <v>0.9335399762968366</v>
      </c>
      <c r="M26" s="288">
        <f t="shared" si="38"/>
        <v>0.91103202846975084</v>
      </c>
      <c r="N26" s="288">
        <f t="shared" si="39"/>
        <v>0.88497104831043127</v>
      </c>
      <c r="O26" s="288">
        <f t="shared" si="39"/>
        <v>0.85561497326203217</v>
      </c>
      <c r="P26" s="288">
        <f t="shared" si="39"/>
        <v>0.8233496823992924</v>
      </c>
      <c r="Q26" s="288">
        <f t="shared" si="39"/>
        <v>0.78866296980899564</v>
      </c>
      <c r="R26" s="288">
        <f t="shared" si="39"/>
        <v>0.75211164157179577</v>
      </c>
      <c r="S26" s="288">
        <f t="shared" si="39"/>
        <v>0.7142857142857143</v>
      </c>
      <c r="T26" s="288">
        <f t="shared" si="39"/>
        <v>0.6757737741701314</v>
      </c>
      <c r="U26" s="288">
        <f t="shared" si="39"/>
        <v>0.63713290194126426</v>
      </c>
      <c r="V26" s="288">
        <f t="shared" si="39"/>
        <v>0.59886543072694309</v>
      </c>
      <c r="W26" s="288">
        <f t="shared" si="39"/>
        <v>0.56140350877192979</v>
      </c>
      <c r="X26" s="288">
        <f t="shared" si="40"/>
        <v>0.52510127685759711</v>
      </c>
      <c r="Y26" s="288">
        <f t="shared" si="40"/>
        <v>0.49023362696284944</v>
      </c>
      <c r="Z26" s="288">
        <f t="shared" si="40"/>
        <v>0.45700004462891058</v>
      </c>
      <c r="AA26" s="288">
        <f t="shared" si="40"/>
        <v>0.42553191489361702</v>
      </c>
      <c r="AB26" s="288">
        <f t="shared" si="40"/>
        <v>0.39590179779624973</v>
      </c>
      <c r="AC26" s="288">
        <f t="shared" si="40"/>
        <v>0.36813344837503592</v>
      </c>
      <c r="AD26" s="288">
        <f t="shared" si="40"/>
        <v>0.34221167663670082</v>
      </c>
      <c r="AE26" s="288">
        <f t="shared" si="40"/>
        <v>0.31809145129224653</v>
      </c>
      <c r="AF26" s="288">
        <f t="shared" si="40"/>
        <v>0.29570591123047157</v>
      </c>
      <c r="AG26" s="288">
        <f t="shared" si="40"/>
        <v>0.27497314715359827</v>
      </c>
      <c r="AH26" s="288">
        <f t="shared" si="41"/>
        <v>0.25580175364092828</v>
      </c>
      <c r="AI26" s="288">
        <f t="shared" si="41"/>
        <v>0.23809523809523808</v>
      </c>
      <c r="AJ26" s="288">
        <f t="shared" si="41"/>
        <v>0.22175541936461873</v>
      </c>
      <c r="AK26" s="288">
        <f t="shared" si="41"/>
        <v>0.20668496689811078</v>
      </c>
      <c r="AL26" s="288">
        <f t="shared" si="41"/>
        <v>0.19278923091405442</v>
      </c>
      <c r="AM26" s="288">
        <f t="shared" si="41"/>
        <v>0.17997750281214847</v>
      </c>
      <c r="AN26" s="288">
        <f t="shared" si="41"/>
        <v>0.16816382835465488</v>
      </c>
      <c r="AO26" s="288">
        <f t="shared" si="41"/>
        <v>0.15726747757709791</v>
      </c>
      <c r="AP26" s="288">
        <f t="shared" si="41"/>
        <v>0.14721315717592259</v>
      </c>
      <c r="AQ26" s="288">
        <f t="shared" si="41"/>
        <v>0.13793103448275862</v>
      </c>
      <c r="AR26" s="288">
        <f t="shared" si="42"/>
        <v>0.12935662763229366</v>
      </c>
      <c r="AS26" s="288">
        <f t="shared" si="42"/>
        <v>0.12143060430699175</v>
      </c>
      <c r="AT26" s="288">
        <f t="shared" si="42"/>
        <v>0.11409852139904397</v>
      </c>
      <c r="AU26" s="288">
        <f t="shared" si="42"/>
        <v>0.1073105298457411</v>
      </c>
      <c r="AV26" s="288">
        <f t="shared" si="42"/>
        <v>0.10102106249691709</v>
      </c>
      <c r="AW26" s="288">
        <f t="shared" si="42"/>
        <v>9.5188517885030119E-2</v>
      </c>
      <c r="AX26" s="288">
        <f t="shared" si="42"/>
        <v>8.97749489317307E-2</v>
      </c>
      <c r="AY26" s="288">
        <f t="shared" si="42"/>
        <v>8.4745762711864403E-2</v>
      </c>
      <c r="AZ26" s="288">
        <f t="shared" si="42"/>
        <v>8.0069435213349069E-2</v>
      </c>
      <c r="BA26" s="288">
        <f t="shared" si="42"/>
        <v>7.5717243419106767E-2</v>
      </c>
      <c r="BB26" s="288">
        <f t="shared" si="43"/>
        <v>7.1663015865239932E-2</v>
      </c>
      <c r="BC26" s="288">
        <f t="shared" si="43"/>
        <v>6.7882901994060246E-2</v>
      </c>
      <c r="BD26" s="288">
        <f t="shared" si="43"/>
        <v>6.4355160039467812E-2</v>
      </c>
      <c r="BE26" s="288">
        <f t="shared" si="43"/>
        <v>6.1059962791585168E-2</v>
      </c>
      <c r="BF26" s="288">
        <f t="shared" si="43"/>
        <v>5.7979220338023378E-2</v>
      </c>
      <c r="BG26" s="288">
        <f t="shared" si="43"/>
        <v>5.5096418732782371E-2</v>
      </c>
      <c r="BH26" s="288">
        <f t="shared" si="43"/>
        <v>5.2396473471726872E-2</v>
      </c>
      <c r="BI26" s="288">
        <f t="shared" si="43"/>
        <v>4.9865596634072223E-2</v>
      </c>
      <c r="BJ26" s="288">
        <f t="shared" si="43"/>
        <v>4.749117656607256E-2</v>
      </c>
      <c r="BK26" s="288">
        <f t="shared" si="43"/>
        <v>4.5261669024045263E-2</v>
      </c>
      <c r="BL26" s="288">
        <f t="shared" si="44"/>
        <v>4.3166498750110652E-2</v>
      </c>
      <c r="BM26" s="288">
        <f t="shared" si="44"/>
        <v>4.1195970519133589E-2</v>
      </c>
      <c r="BN26" s="288">
        <f t="shared" si="44"/>
        <v>3.9341188764709725E-2</v>
      </c>
      <c r="BO26" s="288">
        <f t="shared" si="44"/>
        <v>3.7593984962406013E-2</v>
      </c>
      <c r="BP26" s="288">
        <f t="shared" si="44"/>
        <v>3.5946852017622384E-2</v>
      </c>
      <c r="BQ26" s="288">
        <f t="shared" si="44"/>
        <v>3.4392884971921431E-2</v>
      </c>
      <c r="BR26" s="288">
        <f t="shared" si="44"/>
        <v>3.2925727404558798E-2</v>
      </c>
      <c r="BS26" s="288">
        <f t="shared" si="44"/>
        <v>3.1539522964715155E-2</v>
      </c>
      <c r="BT26" s="288">
        <f t="shared" si="44"/>
        <v>3.0228871524343982E-2</v>
      </c>
      <c r="BU26" s="288">
        <f t="shared" si="44"/>
        <v>2.8988789491563804E-2</v>
      </c>
      <c r="BV26" s="288">
        <f t="shared" si="45"/>
        <v>2.7814673870232592E-2</v>
      </c>
      <c r="BW26" s="288">
        <f t="shared" si="45"/>
        <v>2.6702269692923896E-2</v>
      </c>
      <c r="BX26" s="288">
        <f t="shared" si="45"/>
        <v>2.5647640492214286E-2</v>
      </c>
      <c r="BY26" s="288">
        <f t="shared" si="45"/>
        <v>2.4647141509252304E-2</v>
      </c>
      <c r="BZ26" s="288">
        <f t="shared" si="45"/>
        <v>2.369739536928827E-2</v>
      </c>
      <c r="CA26" s="290">
        <f t="shared" si="45"/>
        <v>2.2795269981478839E-2</v>
      </c>
      <c r="CB26" s="242"/>
      <c r="CF26" s="268"/>
      <c r="CG26" s="268"/>
      <c r="CI26" s="268"/>
      <c r="CK26" s="238"/>
      <c r="CQ26" s="238"/>
    </row>
    <row r="27" spans="2:95">
      <c r="B27" s="274">
        <f t="shared" si="19"/>
        <v>6.25</v>
      </c>
      <c r="C27" s="234"/>
      <c r="D27" s="272">
        <f t="shared" si="38"/>
        <v>0.99991360746431501</v>
      </c>
      <c r="E27" s="288">
        <f t="shared" si="38"/>
        <v>0.99930927742744224</v>
      </c>
      <c r="F27" s="288">
        <f t="shared" si="38"/>
        <v>0.99767262929039136</v>
      </c>
      <c r="G27" s="288">
        <f t="shared" si="38"/>
        <v>0.994500808330257</v>
      </c>
      <c r="H27" s="288">
        <f t="shared" si="38"/>
        <v>0.98931539374752675</v>
      </c>
      <c r="I27" s="288">
        <f t="shared" si="38"/>
        <v>0.98167950441677243</v>
      </c>
      <c r="J27" s="288">
        <f t="shared" si="38"/>
        <v>0.9712177672247414</v>
      </c>
      <c r="K27" s="288">
        <f t="shared" si="38"/>
        <v>0.95763719493509514</v>
      </c>
      <c r="L27" s="288">
        <f t="shared" si="38"/>
        <v>0.94074651622750105</v>
      </c>
      <c r="M27" s="288">
        <f t="shared" si="38"/>
        <v>0.92047128129602351</v>
      </c>
      <c r="N27" s="288">
        <f t="shared" si="39"/>
        <v>0.89686227352433878</v>
      </c>
      <c r="O27" s="288">
        <f t="shared" si="39"/>
        <v>0.8700954459900434</v>
      </c>
      <c r="P27" s="288">
        <f t="shared" si="39"/>
        <v>0.84046269824834119</v>
      </c>
      <c r="Q27" s="288">
        <f t="shared" si="39"/>
        <v>0.80835411342307562</v>
      </c>
      <c r="R27" s="288">
        <f t="shared" si="39"/>
        <v>0.77423350882626196</v>
      </c>
      <c r="S27" s="288">
        <f t="shared" si="39"/>
        <v>0.73861004226031224</v>
      </c>
      <c r="T27" s="288">
        <f t="shared" si="39"/>
        <v>0.7020089812221022</v>
      </c>
      <c r="U27" s="288">
        <f t="shared" si="39"/>
        <v>0.66494454894417443</v>
      </c>
      <c r="V27" s="288">
        <f t="shared" si="39"/>
        <v>0.6278971172992186</v>
      </c>
      <c r="W27" s="288">
        <f t="shared" si="39"/>
        <v>0.59129612109744556</v>
      </c>
      <c r="X27" s="288">
        <f t="shared" si="40"/>
        <v>0.55550913968077342</v>
      </c>
      <c r="Y27" s="288">
        <f t="shared" si="40"/>
        <v>0.52083680557870382</v>
      </c>
      <c r="Z27" s="288">
        <f t="shared" si="40"/>
        <v>0.4875126558285453</v>
      </c>
      <c r="AA27" s="288">
        <f t="shared" si="40"/>
        <v>0.45570676108424668</v>
      </c>
      <c r="AB27" s="288">
        <f t="shared" si="40"/>
        <v>0.42553191489361702</v>
      </c>
      <c r="AC27" s="288">
        <f t="shared" si="40"/>
        <v>0.39705127488399744</v>
      </c>
      <c r="AD27" s="288">
        <f t="shared" si="40"/>
        <v>0.37028654846725062</v>
      </c>
      <c r="AE27" s="288">
        <f t="shared" si="40"/>
        <v>0.34522604849293642</v>
      </c>
      <c r="AF27" s="288">
        <f t="shared" si="40"/>
        <v>0.32183216735684644</v>
      </c>
      <c r="AG27" s="288">
        <f t="shared" si="40"/>
        <v>0.30004800768122902</v>
      </c>
      <c r="AH27" s="288">
        <f t="shared" si="41"/>
        <v>0.27980305446444798</v>
      </c>
      <c r="AI27" s="288">
        <f t="shared" si="41"/>
        <v>0.26101787784530367</v>
      </c>
      <c r="AJ27" s="288">
        <f t="shared" si="41"/>
        <v>0.24360792298715542</v>
      </c>
      <c r="AK27" s="288">
        <f t="shared" si="41"/>
        <v>0.22748648184330297</v>
      </c>
      <c r="AL27" s="288">
        <f t="shared" si="41"/>
        <v>0.21256695859195646</v>
      </c>
      <c r="AM27" s="288">
        <f t="shared" si="41"/>
        <v>0.19876454320409714</v>
      </c>
      <c r="AN27" s="288">
        <f t="shared" si="41"/>
        <v>0.18599740139310564</v>
      </c>
      <c r="AO27" s="288">
        <f t="shared" si="41"/>
        <v>0.17418747812205274</v>
      </c>
      <c r="AP27" s="288">
        <f t="shared" si="41"/>
        <v>0.16326099869756905</v>
      </c>
      <c r="AQ27" s="288">
        <f t="shared" si="41"/>
        <v>0.15314873805439844</v>
      </c>
      <c r="AR27" s="288">
        <f t="shared" si="42"/>
        <v>0.14378611619666626</v>
      </c>
      <c r="AS27" s="288">
        <f t="shared" si="42"/>
        <v>0.13511316646460941</v>
      </c>
      <c r="AT27" s="288">
        <f t="shared" si="42"/>
        <v>0.12707441355666441</v>
      </c>
      <c r="AU27" s="288">
        <f t="shared" si="42"/>
        <v>0.11961869006625152</v>
      </c>
      <c r="AV27" s="288">
        <f t="shared" si="42"/>
        <v>0.11269891358247307</v>
      </c>
      <c r="AW27" s="288">
        <f t="shared" si="42"/>
        <v>0.10627184098876001</v>
      </c>
      <c r="AX27" s="288">
        <f t="shared" si="42"/>
        <v>0.10029781228807071</v>
      </c>
      <c r="AY27" s="288">
        <f t="shared" si="42"/>
        <v>9.4740492905225543E-2</v>
      </c>
      <c r="AZ27" s="288">
        <f t="shared" si="42"/>
        <v>8.956662079900303E-2</v>
      </c>
      <c r="BA27" s="288">
        <f t="shared" si="42"/>
        <v>8.4745762711864403E-2</v>
      </c>
      <c r="BB27" s="288">
        <f t="shared" si="43"/>
        <v>8.0250082368684542E-2</v>
      </c>
      <c r="BC27" s="288">
        <f t="shared" si="43"/>
        <v>7.6054122303790092E-2</v>
      </c>
      <c r="BD27" s="288">
        <f t="shared" si="43"/>
        <v>7.2134600163104981E-2</v>
      </c>
      <c r="BE27" s="288">
        <f t="shared" si="43"/>
        <v>6.8470219726960477E-2</v>
      </c>
      <c r="BF27" s="288">
        <f t="shared" si="43"/>
        <v>6.5041496474750882E-2</v>
      </c>
      <c r="BG27" s="288">
        <f t="shared" si="43"/>
        <v>6.1830597222233212E-2</v>
      </c>
      <c r="BH27" s="288">
        <f t="shared" si="43"/>
        <v>5.8821193172374699E-2</v>
      </c>
      <c r="BI27" s="288">
        <f t="shared" si="43"/>
        <v>5.5998325605265742E-2</v>
      </c>
      <c r="BJ27" s="288">
        <f t="shared" si="43"/>
        <v>5.3348283371741245E-2</v>
      </c>
      <c r="BK27" s="288">
        <f t="shared" si="43"/>
        <v>5.0858491333713077E-2</v>
      </c>
      <c r="BL27" s="288">
        <f t="shared" si="44"/>
        <v>4.8517408900219793E-2</v>
      </c>
      <c r="BM27" s="288">
        <f t="shared" si="44"/>
        <v>4.6314437833130481E-2</v>
      </c>
      <c r="BN27" s="288">
        <f t="shared" si="44"/>
        <v>4.4239838533791237E-2</v>
      </c>
      <c r="BO27" s="288">
        <f t="shared" si="44"/>
        <v>4.2284654066877134E-2</v>
      </c>
      <c r="BP27" s="288">
        <f t="shared" si="44"/>
        <v>4.0440641226807295E-2</v>
      </c>
      <c r="BQ27" s="288">
        <f t="shared" si="44"/>
        <v>3.8700208002781955E-2</v>
      </c>
      <c r="BR27" s="288">
        <f t="shared" si="44"/>
        <v>3.7056356849040462E-2</v>
      </c>
      <c r="BS27" s="288">
        <f t="shared" si="44"/>
        <v>3.5502633216104584E-2</v>
      </c>
      <c r="BT27" s="288">
        <f t="shared" si="44"/>
        <v>3.403307884576786E-2</v>
      </c>
      <c r="BU27" s="288">
        <f t="shared" si="44"/>
        <v>3.2642189376925888E-2</v>
      </c>
      <c r="BV27" s="288">
        <f t="shared" si="45"/>
        <v>3.1324875850746038E-2</v>
      </c>
      <c r="BW27" s="288">
        <f t="shared" si="45"/>
        <v>3.0076429742037586E-2</v>
      </c>
      <c r="BX27" s="288">
        <f t="shared" si="45"/>
        <v>2.8892491179006868E-2</v>
      </c>
      <c r="BY27" s="288">
        <f t="shared" si="45"/>
        <v>2.7769020045944622E-2</v>
      </c>
      <c r="BZ27" s="288">
        <f t="shared" si="45"/>
        <v>2.67022696929239E-2</v>
      </c>
      <c r="CA27" s="290">
        <f t="shared" si="45"/>
        <v>2.5688763003446319E-2</v>
      </c>
      <c r="CB27" s="242"/>
      <c r="CF27" s="268"/>
      <c r="CG27" s="268"/>
      <c r="CI27" s="268"/>
      <c r="CK27" s="238"/>
      <c r="CQ27" s="238"/>
    </row>
    <row r="28" spans="2:95">
      <c r="B28" s="274">
        <f t="shared" si="19"/>
        <v>6.5</v>
      </c>
      <c r="C28" s="234"/>
      <c r="D28" s="272">
        <f t="shared" si="38"/>
        <v>0.99992319661382412</v>
      </c>
      <c r="E28" s="288">
        <f t="shared" si="38"/>
        <v>0.99938590306366137</v>
      </c>
      <c r="F28" s="288">
        <f t="shared" si="38"/>
        <v>0.99793044125036545</v>
      </c>
      <c r="G28" s="288">
        <f t="shared" si="38"/>
        <v>0.99510825255910851</v>
      </c>
      <c r="H28" s="288">
        <f t="shared" si="38"/>
        <v>0.99049014497245669</v>
      </c>
      <c r="I28" s="288">
        <f t="shared" si="38"/>
        <v>0.98367995701717081</v>
      </c>
      <c r="J28" s="288">
        <f t="shared" si="38"/>
        <v>0.97433068814599444</v>
      </c>
      <c r="K28" s="288">
        <f t="shared" si="38"/>
        <v>0.96216168870981866</v>
      </c>
      <c r="L28" s="288">
        <f t="shared" si="38"/>
        <v>0.94697510526585171</v>
      </c>
      <c r="M28" s="288">
        <f t="shared" si="38"/>
        <v>0.92866955510937332</v>
      </c>
      <c r="N28" s="288">
        <f t="shared" si="39"/>
        <v>0.90724906247661041</v>
      </c>
      <c r="O28" s="288">
        <f t="shared" si="39"/>
        <v>0.88282568512416626</v>
      </c>
      <c r="P28" s="288">
        <f t="shared" si="39"/>
        <v>0.85561497326203206</v>
      </c>
      <c r="Q28" s="288">
        <f t="shared" si="39"/>
        <v>0.82592432473073807</v>
      </c>
      <c r="R28" s="288">
        <f t="shared" si="39"/>
        <v>0.7941352551141434</v>
      </c>
      <c r="S28" s="288">
        <f t="shared" si="39"/>
        <v>0.76068139325531481</v>
      </c>
      <c r="T28" s="288">
        <f t="shared" si="39"/>
        <v>0.72602448308552148</v>
      </c>
      <c r="U28" s="288">
        <f t="shared" si="39"/>
        <v>0.69063074674253022</v>
      </c>
      <c r="V28" s="288">
        <f t="shared" si="39"/>
        <v>0.65494966583630354</v>
      </c>
      <c r="W28" s="288">
        <f t="shared" si="39"/>
        <v>0.61939667324499581</v>
      </c>
      <c r="X28" s="288">
        <f t="shared" si="40"/>
        <v>0.5843405638939636</v>
      </c>
      <c r="Y28" s="288">
        <f t="shared" si="40"/>
        <v>0.55009577224983408</v>
      </c>
      <c r="Z28" s="288">
        <f t="shared" si="40"/>
        <v>0.51691913138998491</v>
      </c>
      <c r="AA28" s="288">
        <f t="shared" si="40"/>
        <v>0.485010375734028</v>
      </c>
      <c r="AB28" s="288">
        <f t="shared" si="40"/>
        <v>0.45451548044660234</v>
      </c>
      <c r="AC28" s="288">
        <f t="shared" si="40"/>
        <v>0.42553191489361697</v>
      </c>
      <c r="AD28" s="288">
        <f t="shared" si="40"/>
        <v>0.39811497903078391</v>
      </c>
      <c r="AE28" s="288">
        <f t="shared" si="40"/>
        <v>0.37228454265089644</v>
      </c>
      <c r="AF28" s="288">
        <f t="shared" si="40"/>
        <v>0.34803167848652949</v>
      </c>
      <c r="AG28" s="288">
        <f t="shared" si="40"/>
        <v>0.32532484359382519</v>
      </c>
      <c r="AH28" s="288">
        <f t="shared" si="41"/>
        <v>0.30411540328252917</v>
      </c>
      <c r="AI28" s="288">
        <f t="shared" si="41"/>
        <v>0.28434240157378404</v>
      </c>
      <c r="AJ28" s="288">
        <f t="shared" si="41"/>
        <v>0.26593656166237584</v>
      </c>
      <c r="AK28" s="288">
        <f t="shared" si="41"/>
        <v>0.2488235527291878</v>
      </c>
      <c r="AL28" s="288">
        <f t="shared" si="41"/>
        <v>0.23292659088424239</v>
      </c>
      <c r="AM28" s="288">
        <f t="shared" si="41"/>
        <v>0.21816845742884947</v>
      </c>
      <c r="AN28" s="288">
        <f t="shared" si="41"/>
        <v>0.20447302185788216</v>
      </c>
      <c r="AO28" s="288">
        <f t="shared" si="41"/>
        <v>0.19176635403892059</v>
      </c>
      <c r="AP28" s="288">
        <f t="shared" si="41"/>
        <v>0.17997750281214847</v>
      </c>
      <c r="AQ28" s="288">
        <f t="shared" si="41"/>
        <v>0.16903900900207741</v>
      </c>
      <c r="AR28" s="288">
        <f t="shared" si="42"/>
        <v>0.158887210962639</v>
      </c>
      <c r="AS28" s="288">
        <f t="shared" si="42"/>
        <v>0.14946239119416846</v>
      </c>
      <c r="AT28" s="288">
        <f t="shared" si="42"/>
        <v>0.14070880378703302</v>
      </c>
      <c r="AU28" s="288">
        <f t="shared" si="42"/>
        <v>0.13257461470691173</v>
      </c>
      <c r="AV28" s="288">
        <f t="shared" si="42"/>
        <v>0.12501178031185375</v>
      </c>
      <c r="AW28" s="288">
        <f t="shared" si="42"/>
        <v>0.1179758839465269</v>
      </c>
      <c r="AX28" s="288">
        <f t="shared" si="42"/>
        <v>0.11142594590173963</v>
      </c>
      <c r="AY28" s="288">
        <f t="shared" si="42"/>
        <v>0.10532421833801547</v>
      </c>
      <c r="AZ28" s="288">
        <f t="shared" si="42"/>
        <v>9.9635973824582058E-2</v>
      </c>
      <c r="BA28" s="288">
        <f t="shared" si="42"/>
        <v>9.4329293818361373E-2</v>
      </c>
      <c r="BB28" s="288">
        <f t="shared" si="43"/>
        <v>8.9374861591260013E-2</v>
      </c>
      <c r="BC28" s="288">
        <f t="shared" si="43"/>
        <v>8.4745762711864403E-2</v>
      </c>
      <c r="BD28" s="288">
        <f t="shared" si="43"/>
        <v>8.0417295117426582E-2</v>
      </c>
      <c r="BE28" s="288">
        <f t="shared" si="43"/>
        <v>7.6366790005231305E-2</v>
      </c>
      <c r="BF28" s="288">
        <f t="shared" si="43"/>
        <v>7.2573444172725279E-2</v>
      </c>
      <c r="BG28" s="288">
        <f t="shared" si="43"/>
        <v>6.901816399746169E-2</v>
      </c>
      <c r="BH28" s="288">
        <f t="shared" si="43"/>
        <v>6.5683420934273401E-2</v>
      </c>
      <c r="BI28" s="288">
        <f t="shared" si="43"/>
        <v>6.2553118188949139E-2</v>
      </c>
      <c r="BJ28" s="288">
        <f t="shared" si="43"/>
        <v>5.9612468082010553E-2</v>
      </c>
      <c r="BK28" s="288">
        <f t="shared" si="43"/>
        <v>5.6847879524930783E-2</v>
      </c>
      <c r="BL28" s="288">
        <f t="shared" si="44"/>
        <v>5.4246854980249247E-2</v>
      </c>
      <c r="BM28" s="288">
        <f t="shared" si="44"/>
        <v>5.1797896255674596E-2</v>
      </c>
      <c r="BN28" s="288">
        <f t="shared" si="44"/>
        <v>4.9490418482092034E-2</v>
      </c>
      <c r="BO28" s="288">
        <f t="shared" si="44"/>
        <v>4.7314671640055303E-2</v>
      </c>
      <c r="BP28" s="288">
        <f t="shared" si="44"/>
        <v>4.5261669024045263E-2</v>
      </c>
      <c r="BQ28" s="288">
        <f t="shared" si="44"/>
        <v>4.3323122064917632E-2</v>
      </c>
      <c r="BR28" s="288">
        <f t="shared" si="44"/>
        <v>4.1491380965876193E-2</v>
      </c>
      <c r="BS28" s="288">
        <f t="shared" si="44"/>
        <v>3.9759380644040436E-2</v>
      </c>
      <c r="BT28" s="288">
        <f t="shared" si="44"/>
        <v>3.8120591506825043E-2</v>
      </c>
      <c r="BU28" s="288">
        <f t="shared" si="44"/>
        <v>3.6568974628921447E-2</v>
      </c>
      <c r="BV28" s="288">
        <f t="shared" si="45"/>
        <v>3.509894093099461E-2</v>
      </c>
      <c r="BW28" s="288">
        <f t="shared" si="45"/>
        <v>3.3705313994839108E-2</v>
      </c>
      <c r="BX28" s="288">
        <f t="shared" si="45"/>
        <v>3.2383296181411309E-2</v>
      </c>
      <c r="BY28" s="288">
        <f t="shared" si="45"/>
        <v>3.11284377477293E-2</v>
      </c>
      <c r="BZ28" s="288">
        <f t="shared" si="45"/>
        <v>2.9936608686062044E-2</v>
      </c>
      <c r="CA28" s="290">
        <f t="shared" si="45"/>
        <v>2.8803973034132114E-2</v>
      </c>
      <c r="CB28" s="242"/>
      <c r="CF28" s="268"/>
      <c r="CG28" s="268"/>
      <c r="CI28" s="268"/>
      <c r="CK28" s="238"/>
      <c r="CQ28" s="238"/>
    </row>
    <row r="29" spans="2:95">
      <c r="B29" s="274">
        <f t="shared" si="19"/>
        <v>6.75</v>
      </c>
      <c r="C29" s="234"/>
      <c r="D29" s="272">
        <f t="shared" si="38"/>
        <v>0.99993141759824433</v>
      </c>
      <c r="E29" s="288">
        <f t="shared" si="38"/>
        <v>0.99945160405813005</v>
      </c>
      <c r="F29" s="288">
        <f t="shared" si="38"/>
        <v>0.99815157116451014</v>
      </c>
      <c r="G29" s="288">
        <f t="shared" si="38"/>
        <v>0.99562960939633971</v>
      </c>
      <c r="H29" s="288">
        <f t="shared" si="38"/>
        <v>0.99149948996939818</v>
      </c>
      <c r="I29" s="288">
        <f t="shared" si="38"/>
        <v>0.98540145985401462</v>
      </c>
      <c r="J29" s="288">
        <f t="shared" si="38"/>
        <v>0.97701534543992496</v>
      </c>
      <c r="K29" s="288">
        <f t="shared" si="38"/>
        <v>0.96607474158494566</v>
      </c>
      <c r="L29" s="288">
        <f t="shared" si="38"/>
        <v>0.95238095238095233</v>
      </c>
      <c r="M29" s="288">
        <f t="shared" si="38"/>
        <v>0.93581514762516049</v>
      </c>
      <c r="N29" s="288">
        <f t="shared" si="39"/>
        <v>0.91634718119539948</v>
      </c>
      <c r="O29" s="288">
        <f t="shared" si="39"/>
        <v>0.89403973509933776</v>
      </c>
      <c r="P29" s="288">
        <f t="shared" si="39"/>
        <v>0.8690469094593789</v>
      </c>
      <c r="Q29" s="288">
        <f t="shared" si="39"/>
        <v>0.84160701916416525</v>
      </c>
      <c r="R29" s="288">
        <f t="shared" si="39"/>
        <v>0.81203007518796988</v>
      </c>
      <c r="S29" s="288">
        <f t="shared" si="39"/>
        <v>0.78068108802741487</v>
      </c>
      <c r="T29" s="288">
        <f t="shared" si="39"/>
        <v>0.74796080644333862</v>
      </c>
      <c r="U29" s="288">
        <f t="shared" si="39"/>
        <v>0.7142857142857143</v>
      </c>
      <c r="V29" s="288">
        <f t="shared" si="39"/>
        <v>0.68006903307057232</v>
      </c>
      <c r="W29" s="288">
        <f t="shared" si="39"/>
        <v>0.64570416297608502</v>
      </c>
      <c r="X29" s="288">
        <f t="shared" si="40"/>
        <v>0.61155152887882225</v>
      </c>
      <c r="Y29" s="288">
        <f t="shared" si="40"/>
        <v>0.57792928492151574</v>
      </c>
      <c r="Z29" s="288">
        <f t="shared" si="40"/>
        <v>0.54510786256402588</v>
      </c>
      <c r="AA29" s="288">
        <f t="shared" si="40"/>
        <v>0.51330798479087447</v>
      </c>
      <c r="AB29" s="288">
        <f t="shared" si="40"/>
        <v>0.48270153948021849</v>
      </c>
      <c r="AC29" s="288">
        <f t="shared" si="40"/>
        <v>0.45341460380644355</v>
      </c>
      <c r="AD29" s="288">
        <f t="shared" si="40"/>
        <v>0.42553191489361697</v>
      </c>
      <c r="AE29" s="288">
        <f t="shared" si="40"/>
        <v>0.3991021570130297</v>
      </c>
      <c r="AF29" s="288">
        <f t="shared" si="40"/>
        <v>0.37414355000128308</v>
      </c>
      <c r="AG29" s="288">
        <f t="shared" si="40"/>
        <v>0.35064935064935066</v>
      </c>
      <c r="AH29" s="288">
        <f t="shared" si="41"/>
        <v>0.32859299993238822</v>
      </c>
      <c r="AI29" s="288">
        <f t="shared" si="41"/>
        <v>0.30793275323139307</v>
      </c>
      <c r="AJ29" s="288">
        <f t="shared" si="41"/>
        <v>0.28861571352218063</v>
      </c>
      <c r="AK29" s="288">
        <f t="shared" si="41"/>
        <v>0.27058124860812116</v>
      </c>
      <c r="AL29" s="288">
        <f t="shared" si="41"/>
        <v>0.25376381515969021</v>
      </c>
      <c r="AM29" s="288">
        <f t="shared" si="41"/>
        <v>0.23809523809523808</v>
      </c>
      <c r="AN29" s="288">
        <f t="shared" si="41"/>
        <v>0.22350650744255207</v>
      </c>
      <c r="AO29" s="288">
        <f t="shared" si="41"/>
        <v>0.20992915970742382</v>
      </c>
      <c r="AP29" s="288">
        <f t="shared" si="41"/>
        <v>0.19729630982827912</v>
      </c>
      <c r="AQ29" s="288">
        <f t="shared" si="41"/>
        <v>0.185543395265971</v>
      </c>
      <c r="AR29" s="288">
        <f t="shared" si="42"/>
        <v>0.17460868732110993</v>
      </c>
      <c r="AS29" s="288">
        <f t="shared" si="42"/>
        <v>0.16443361753958588</v>
      </c>
      <c r="AT29" s="288">
        <f t="shared" si="42"/>
        <v>0.15496295981378935</v>
      </c>
      <c r="AU29" s="288">
        <f t="shared" si="42"/>
        <v>0.14614490196864599</v>
      </c>
      <c r="AV29" s="288">
        <f t="shared" si="42"/>
        <v>0.13793103448275862</v>
      </c>
      <c r="AW29" s="288">
        <f t="shared" si="42"/>
        <v>0.13027627863754959</v>
      </c>
      <c r="AX29" s="288">
        <f t="shared" si="42"/>
        <v>0.12313877182165991</v>
      </c>
      <c r="AY29" s="288">
        <f t="shared" si="42"/>
        <v>0.11647972389991371</v>
      </c>
      <c r="AZ29" s="288">
        <f t="shared" si="42"/>
        <v>0.11026325541295781</v>
      </c>
      <c r="BA29" s="288">
        <f t="shared" si="42"/>
        <v>0.10445622582031809</v>
      </c>
      <c r="BB29" s="288">
        <f t="shared" si="43"/>
        <v>9.9028057949752432E-2</v>
      </c>
      <c r="BC29" s="288">
        <f t="shared" si="43"/>
        <v>9.3950563187875341E-2</v>
      </c>
      <c r="BD29" s="288">
        <f t="shared" si="43"/>
        <v>8.9197770667514997E-2</v>
      </c>
      <c r="BE29" s="288">
        <f t="shared" si="43"/>
        <v>8.4745762711864403E-2</v>
      </c>
      <c r="BF29" s="288">
        <f t="shared" si="43"/>
        <v>8.0572518029344301E-2</v>
      </c>
      <c r="BG29" s="288">
        <f t="shared" si="43"/>
        <v>7.6657763570211784E-2</v>
      </c>
      <c r="BH29" s="288">
        <f t="shared" si="43"/>
        <v>7.2982835518313277E-2</v>
      </c>
      <c r="BI29" s="288">
        <f t="shared" si="43"/>
        <v>6.9530549567937736E-2</v>
      </c>
      <c r="BJ29" s="288">
        <f t="shared" si="43"/>
        <v>6.6285080401347521E-2</v>
      </c>
      <c r="BK29" s="288">
        <f t="shared" si="43"/>
        <v>6.323185011709602E-2</v>
      </c>
      <c r="BL29" s="288">
        <f t="shared" si="44"/>
        <v>6.0357425246625067E-2</v>
      </c>
      <c r="BM29" s="288">
        <f t="shared" si="44"/>
        <v>5.7649421924177956E-2</v>
      </c>
      <c r="BN29" s="288">
        <f t="shared" si="44"/>
        <v>5.5096418732782371E-2</v>
      </c>
      <c r="BO29" s="288">
        <f t="shared" si="44"/>
        <v>5.2687876729159734E-2</v>
      </c>
      <c r="BP29" s="288">
        <f t="shared" si="44"/>
        <v>5.0414066146850851E-2</v>
      </c>
      <c r="BQ29" s="288">
        <f t="shared" si="44"/>
        <v>4.8265999284948152E-2</v>
      </c>
      <c r="BR29" s="288">
        <f t="shared" si="44"/>
        <v>4.6235369106021058E-2</v>
      </c>
      <c r="BS29" s="288">
        <f t="shared" si="44"/>
        <v>4.4314493088397994E-2</v>
      </c>
      <c r="BT29" s="288">
        <f t="shared" si="44"/>
        <v>4.2496261902888167E-2</v>
      </c>
      <c r="BU29" s="288">
        <f t="shared" si="44"/>
        <v>4.0774092510766816E-2</v>
      </c>
      <c r="BV29" s="288">
        <f t="shared" si="45"/>
        <v>3.9141885307296009E-2</v>
      </c>
      <c r="BW29" s="288">
        <f t="shared" si="45"/>
        <v>3.7593984962406013E-2</v>
      </c>
      <c r="BX29" s="288">
        <f t="shared" si="45"/>
        <v>3.6125144636853096E-2</v>
      </c>
      <c r="BY29" s="288">
        <f t="shared" si="45"/>
        <v>3.4730493277815362E-2</v>
      </c>
      <c r="BZ29" s="288">
        <f t="shared" si="45"/>
        <v>3.3405505722239409E-2</v>
      </c>
      <c r="CA29" s="290">
        <f t="shared" si="45"/>
        <v>3.2145975359161819E-2</v>
      </c>
      <c r="CB29" s="242"/>
      <c r="CF29" s="268"/>
      <c r="CG29" s="268"/>
      <c r="CI29" s="268"/>
      <c r="CK29" s="238"/>
      <c r="CQ29" s="238"/>
    </row>
    <row r="30" spans="2:95">
      <c r="B30" s="274">
        <f t="shared" si="19"/>
        <v>7</v>
      </c>
      <c r="C30" s="234"/>
      <c r="D30" s="272">
        <f t="shared" si="38"/>
        <v>0.99993850596833744</v>
      </c>
      <c r="E30" s="288">
        <f t="shared" si="38"/>
        <v>0.99950825942047461</v>
      </c>
      <c r="F30" s="288">
        <f t="shared" si="38"/>
        <v>0.99834231153173592</v>
      </c>
      <c r="G30" s="288">
        <f t="shared" si="38"/>
        <v>0.99607957020473348</v>
      </c>
      <c r="H30" s="288">
        <f t="shared" si="38"/>
        <v>0.99237141597821055</v>
      </c>
      <c r="I30" s="288">
        <f t="shared" si="38"/>
        <v>0.98689061123199484</v>
      </c>
      <c r="J30" s="288">
        <f t="shared" si="38"/>
        <v>0.97934200459066567</v>
      </c>
      <c r="K30" s="288">
        <f t="shared" si="38"/>
        <v>0.96947427925381569</v>
      </c>
      <c r="L30" s="288">
        <f t="shared" si="38"/>
        <v>0.95709175253911394</v>
      </c>
      <c r="M30" s="288">
        <f t="shared" si="38"/>
        <v>0.94206505879323665</v>
      </c>
      <c r="N30" s="288">
        <f t="shared" si="39"/>
        <v>0.92433949433340989</v>
      </c>
      <c r="O30" s="288">
        <f t="shared" si="39"/>
        <v>0.90393991303202004</v>
      </c>
      <c r="P30" s="288">
        <f t="shared" si="39"/>
        <v>0.88097134796401788</v>
      </c>
      <c r="Q30" s="288">
        <f t="shared" si="39"/>
        <v>0.85561497326203206</v>
      </c>
      <c r="R30" s="288">
        <f t="shared" si="39"/>
        <v>0.8281195476879839</v>
      </c>
      <c r="S30" s="288">
        <f t="shared" si="39"/>
        <v>0.79878900791802521</v>
      </c>
      <c r="T30" s="288">
        <f t="shared" si="39"/>
        <v>0.76796731101241755</v>
      </c>
      <c r="U30" s="288">
        <f t="shared" si="39"/>
        <v>0.73602188753134934</v>
      </c>
      <c r="V30" s="288">
        <f t="shared" si="39"/>
        <v>0.70332712304540124</v>
      </c>
      <c r="W30" s="288">
        <f t="shared" si="39"/>
        <v>0.67024914509037614</v>
      </c>
      <c r="X30" s="288">
        <f t="shared" si="40"/>
        <v>0.63713290194126437</v>
      </c>
      <c r="Y30" s="288">
        <f t="shared" si="40"/>
        <v>0.60429214794586916</v>
      </c>
      <c r="Z30" s="288">
        <f t="shared" si="40"/>
        <v>0.57200256921707937</v>
      </c>
      <c r="AA30" s="288">
        <f t="shared" si="40"/>
        <v>0.54049795146549007</v>
      </c>
      <c r="AB30" s="288">
        <f t="shared" si="40"/>
        <v>0.50996904456305214</v>
      </c>
      <c r="AC30" s="288">
        <f t="shared" si="40"/>
        <v>0.48056462841180742</v>
      </c>
      <c r="AD30" s="288">
        <f t="shared" si="40"/>
        <v>0.4523942251316615</v>
      </c>
      <c r="AE30" s="288">
        <f t="shared" si="40"/>
        <v>0.42553191489361702</v>
      </c>
      <c r="AF30" s="288">
        <f t="shared" si="40"/>
        <v>0.40002077367355993</v>
      </c>
      <c r="AG30" s="288">
        <f t="shared" si="40"/>
        <v>0.37587753844046434</v>
      </c>
      <c r="AH30" s="288">
        <f t="shared" si="41"/>
        <v>0.35309720065272793</v>
      </c>
      <c r="AI30" s="288">
        <f t="shared" si="41"/>
        <v>0.33165731966737572</v>
      </c>
      <c r="AJ30" s="288">
        <f t="shared" si="41"/>
        <v>0.31152192623634195</v>
      </c>
      <c r="AK30" s="288">
        <f t="shared" si="41"/>
        <v>0.2926449493683711</v>
      </c>
      <c r="AL30" s="288">
        <f t="shared" si="41"/>
        <v>0.27497314715359827</v>
      </c>
      <c r="AM30" s="288">
        <f t="shared" si="41"/>
        <v>0.25844855517462229</v>
      </c>
      <c r="AN30" s="288">
        <f t="shared" si="41"/>
        <v>0.24301048724421878</v>
      </c>
      <c r="AO30" s="288">
        <f t="shared" si="41"/>
        <v>0.22859713503809256</v>
      </c>
      <c r="AP30" s="288">
        <f t="shared" si="41"/>
        <v>0.21514681819986051</v>
      </c>
      <c r="AQ30" s="288">
        <f t="shared" si="41"/>
        <v>0.2025989367985824</v>
      </c>
      <c r="AR30" s="288">
        <f t="shared" si="42"/>
        <v>0.19089467530643631</v>
      </c>
      <c r="AS30" s="288">
        <f t="shared" si="42"/>
        <v>0.17997750281214847</v>
      </c>
      <c r="AT30" s="288">
        <f t="shared" si="42"/>
        <v>0.16979350890986641</v>
      </c>
      <c r="AU30" s="288">
        <f t="shared" si="42"/>
        <v>0.16029160922494565</v>
      </c>
      <c r="AV30" s="288">
        <f t="shared" si="42"/>
        <v>0.15142364925338386</v>
      </c>
      <c r="AW30" s="288">
        <f t="shared" si="42"/>
        <v>0.14314443033055199</v>
      </c>
      <c r="AX30" s="288">
        <f t="shared" si="42"/>
        <v>0.13541167722154385</v>
      </c>
      <c r="AY30" s="288">
        <f t="shared" si="42"/>
        <v>0.1281859630764631</v>
      </c>
      <c r="AZ30" s="288">
        <f t="shared" si="42"/>
        <v>0.12143060430699174</v>
      </c>
      <c r="BA30" s="288">
        <f t="shared" si="42"/>
        <v>0.11511153527493156</v>
      </c>
      <c r="BB30" s="288">
        <f t="shared" si="43"/>
        <v>0.10919717048403267</v>
      </c>
      <c r="BC30" s="288">
        <f t="shared" si="43"/>
        <v>0.10365826017316671</v>
      </c>
      <c r="BD30" s="288">
        <f t="shared" si="43"/>
        <v>9.8467743762277904E-2</v>
      </c>
      <c r="BE30" s="288">
        <f t="shared" si="43"/>
        <v>9.3600604447052038E-2</v>
      </c>
      <c r="BF30" s="288">
        <f t="shared" si="43"/>
        <v>8.9033727324070472E-2</v>
      </c>
      <c r="BG30" s="288">
        <f t="shared" si="43"/>
        <v>8.4745762711864403E-2</v>
      </c>
      <c r="BH30" s="288">
        <f t="shared" si="43"/>
        <v>8.0716995777543626E-2</v>
      </c>
      <c r="BI30" s="288">
        <f t="shared" si="43"/>
        <v>7.6929223152219769E-2</v>
      </c>
      <c r="BJ30" s="288">
        <f t="shared" si="43"/>
        <v>7.3365636895241906E-2</v>
      </c>
      <c r="BK30" s="288">
        <f t="shared" si="43"/>
        <v>7.0010715925907033E-2</v>
      </c>
      <c r="BL30" s="288">
        <f t="shared" si="44"/>
        <v>6.6850124864351518E-2</v>
      </c>
      <c r="BM30" s="288">
        <f t="shared" si="44"/>
        <v>6.3870620096667149E-2</v>
      </c>
      <c r="BN30" s="288">
        <f t="shared" si="44"/>
        <v>6.1059962791585175E-2</v>
      </c>
      <c r="BO30" s="288">
        <f t="shared" si="44"/>
        <v>5.8406838538296493E-2</v>
      </c>
      <c r="BP30" s="288">
        <f t="shared" si="44"/>
        <v>5.5900783239951034E-2</v>
      </c>
      <c r="BQ30" s="288">
        <f t="shared" si="44"/>
        <v>5.3532114879450317E-2</v>
      </c>
      <c r="BR30" s="288">
        <f t="shared" si="44"/>
        <v>5.1291870768879207E-2</v>
      </c>
      <c r="BS30" s="288">
        <f t="shared" si="44"/>
        <v>4.9171749897857518E-2</v>
      </c>
      <c r="BT30" s="288">
        <f t="shared" si="44"/>
        <v>4.7164060006555097E-2</v>
      </c>
      <c r="BU30" s="288">
        <f t="shared" si="44"/>
        <v>4.5261669024045256E-2</v>
      </c>
      <c r="BV30" s="288">
        <f t="shared" si="45"/>
        <v>4.3457960530503076E-2</v>
      </c>
      <c r="BW30" s="288">
        <f t="shared" si="45"/>
        <v>4.1746792921301817E-2</v>
      </c>
      <c r="BX30" s="288">
        <f t="shared" si="45"/>
        <v>4.0122461971438143E-2</v>
      </c>
      <c r="BY30" s="288">
        <f t="shared" si="45"/>
        <v>3.8579666519274719E-2</v>
      </c>
      <c r="BZ30" s="288">
        <f t="shared" si="45"/>
        <v>3.7113477008858663E-2</v>
      </c>
      <c r="CA30" s="290">
        <f t="shared" si="45"/>
        <v>3.571930664972689E-2</v>
      </c>
      <c r="CB30" s="242"/>
      <c r="CF30" s="268"/>
      <c r="CG30" s="268"/>
      <c r="CI30" s="268"/>
      <c r="CK30" s="238"/>
      <c r="CQ30" s="238"/>
    </row>
    <row r="31" spans="2:95">
      <c r="B31" s="274">
        <f t="shared" si="19"/>
        <v>7.25</v>
      </c>
      <c r="C31" s="234"/>
      <c r="D31" s="272">
        <f t="shared" si="38"/>
        <v>0.9999446502407715</v>
      </c>
      <c r="E31" s="288">
        <f t="shared" si="38"/>
        <v>0.99955737342109363</v>
      </c>
      <c r="F31" s="288">
        <f t="shared" si="38"/>
        <v>0.99850770405458233</v>
      </c>
      <c r="G31" s="288">
        <f t="shared" si="38"/>
        <v>0.99646992490418951</v>
      </c>
      <c r="H31" s="288">
        <f t="shared" si="38"/>
        <v>0.99312844214148288</v>
      </c>
      <c r="I31" s="288">
        <f t="shared" si="38"/>
        <v>0.9881850522272555</v>
      </c>
      <c r="J31" s="288">
        <f t="shared" si="38"/>
        <v>0.9813677342512992</v>
      </c>
      <c r="K31" s="288">
        <f t="shared" si="38"/>
        <v>0.97244041116099544</v>
      </c>
      <c r="L31" s="288">
        <f t="shared" si="38"/>
        <v>0.96121293572142197</v>
      </c>
      <c r="M31" s="288">
        <f t="shared" si="38"/>
        <v>0.94755040988383388</v>
      </c>
      <c r="N31" s="288">
        <f t="shared" si="39"/>
        <v>0.93138087936805569</v>
      </c>
      <c r="O31" s="288">
        <f t="shared" si="39"/>
        <v>0.91270049173334133</v>
      </c>
      <c r="P31" s="288">
        <f t="shared" si="39"/>
        <v>0.89157538215204191</v>
      </c>
      <c r="Q31" s="288">
        <f t="shared" si="39"/>
        <v>0.8681398477934319</v>
      </c>
      <c r="R31" s="288">
        <f t="shared" si="39"/>
        <v>0.84259075323239563</v>
      </c>
      <c r="S31" s="288">
        <f t="shared" si="39"/>
        <v>0.81517851771139027</v>
      </c>
      <c r="T31" s="288">
        <f t="shared" si="39"/>
        <v>0.78619540287316403</v>
      </c>
      <c r="U31" s="288">
        <f t="shared" si="39"/>
        <v>0.75596208566061829</v>
      </c>
      <c r="V31" s="288">
        <f t="shared" si="39"/>
        <v>0.72481362550949291</v>
      </c>
      <c r="W31" s="288">
        <f t="shared" si="39"/>
        <v>0.69308590752792065</v>
      </c>
      <c r="X31" s="288">
        <f t="shared" si="40"/>
        <v>0.66110348360794602</v>
      </c>
      <c r="Y31" s="288">
        <f t="shared" si="40"/>
        <v>0.62916948286803664</v>
      </c>
      <c r="Z31" s="288">
        <f t="shared" si="40"/>
        <v>0.5975579727277962</v>
      </c>
      <c r="AA31" s="288">
        <f t="shared" si="40"/>
        <v>0.56650887079165835</v>
      </c>
      <c r="AB31" s="288">
        <f t="shared" si="40"/>
        <v>0.5362252722185884</v>
      </c>
      <c r="AC31" s="288">
        <f t="shared" si="40"/>
        <v>0.50687288794303831</v>
      </c>
      <c r="AD31" s="288">
        <f t="shared" si="40"/>
        <v>0.47858119092915075</v>
      </c>
      <c r="AE31" s="288">
        <f t="shared" si="40"/>
        <v>0.45144583353386075</v>
      </c>
      <c r="AF31" s="288">
        <f t="shared" si="40"/>
        <v>0.42553191489361702</v>
      </c>
      <c r="AG31" s="288">
        <f t="shared" si="40"/>
        <v>0.40087772645835729</v>
      </c>
      <c r="AH31" s="288">
        <f t="shared" si="41"/>
        <v>0.37749867080657851</v>
      </c>
      <c r="AI31" s="288">
        <f t="shared" si="41"/>
        <v>0.35539112112354243</v>
      </c>
      <c r="AJ31" s="288">
        <f t="shared" si="41"/>
        <v>0.33453605737412029</v>
      </c>
      <c r="AK31" s="288">
        <f t="shared" si="41"/>
        <v>0.31490237496998041</v>
      </c>
      <c r="AL31" s="288">
        <f t="shared" si="41"/>
        <v>0.29644981022909256</v>
      </c>
      <c r="AM31" s="288">
        <f t="shared" si="41"/>
        <v>0.27913146383502757</v>
      </c>
      <c r="AN31" s="288">
        <f t="shared" si="41"/>
        <v>0.26289592979668652</v>
      </c>
      <c r="AO31" s="288">
        <f t="shared" si="41"/>
        <v>0.2476890547213155</v>
      </c>
      <c r="AP31" s="288">
        <f t="shared" si="41"/>
        <v>0.2334553623947242</v>
      </c>
      <c r="AQ31" s="288">
        <f t="shared" si="41"/>
        <v>0.22013918349294606</v>
      </c>
      <c r="AR31" s="288">
        <f t="shared" si="42"/>
        <v>0.20768553128673656</v>
      </c>
      <c r="AS31" s="288">
        <f t="shared" si="42"/>
        <v>0.19604076271745019</v>
      </c>
      <c r="AT31" s="288">
        <f t="shared" si="42"/>
        <v>0.18515306120512329</v>
      </c>
      <c r="AU31" s="288">
        <f t="shared" si="42"/>
        <v>0.17497277372273246</v>
      </c>
      <c r="AV31" s="288">
        <f t="shared" si="42"/>
        <v>0.16545263054350942</v>
      </c>
      <c r="AW31" s="288">
        <f t="shared" si="42"/>
        <v>0.15654787197851502</v>
      </c>
      <c r="AX31" s="288">
        <f t="shared" si="42"/>
        <v>0.14821630257784787</v>
      </c>
      <c r="AY31" s="288">
        <f t="shared" si="42"/>
        <v>0.14041828978594975</v>
      </c>
      <c r="AZ31" s="288">
        <f t="shared" si="42"/>
        <v>0.13311672096985427</v>
      </c>
      <c r="BA31" s="288">
        <f t="shared" si="42"/>
        <v>0.12627693008662155</v>
      </c>
      <c r="BB31" s="288">
        <f t="shared" si="43"/>
        <v>0.11986660300386523</v>
      </c>
      <c r="BC31" s="288">
        <f t="shared" si="43"/>
        <v>0.11385566860152989</v>
      </c>
      <c r="BD31" s="288">
        <f t="shared" si="43"/>
        <v>0.10821618122316808</v>
      </c>
      <c r="BE31" s="288">
        <f t="shared" si="43"/>
        <v>0.10292219876825899</v>
      </c>
      <c r="BF31" s="288">
        <f t="shared" si="43"/>
        <v>9.7949659682263004E-2</v>
      </c>
      <c r="BG31" s="288">
        <f t="shared" si="43"/>
        <v>9.3276261269909497E-2</v>
      </c>
      <c r="BH31" s="288">
        <f t="shared" si="43"/>
        <v>8.8881341095493768E-2</v>
      </c>
      <c r="BI31" s="288">
        <f t="shared" si="43"/>
        <v>8.4745762711864403E-2</v>
      </c>
      <c r="BJ31" s="288">
        <f t="shared" si="43"/>
        <v>8.0851806551718017E-2</v>
      </c>
      <c r="BK31" s="288">
        <f t="shared" si="43"/>
        <v>7.7183066499150285E-2</v>
      </c>
      <c r="BL31" s="288">
        <f t="shared" si="44"/>
        <v>7.3724352418062924E-2</v>
      </c>
      <c r="BM31" s="288">
        <f t="shared" si="44"/>
        <v>7.0461598732043676E-2</v>
      </c>
      <c r="BN31" s="288">
        <f t="shared" si="44"/>
        <v>6.7381779015448021E-2</v>
      </c>
      <c r="BO31" s="288">
        <f t="shared" si="44"/>
        <v>6.4472826457624088E-2</v>
      </c>
      <c r="BP31" s="288">
        <f t="shared" si="44"/>
        <v>6.172355999344524E-2</v>
      </c>
      <c r="BQ31" s="288">
        <f t="shared" si="44"/>
        <v>5.9123615847039304E-2</v>
      </c>
      <c r="BR31" s="288">
        <f t="shared" si="44"/>
        <v>5.666338420662375E-2</v>
      </c>
      <c r="BS31" s="288">
        <f t="shared" si="44"/>
        <v>5.4333950732524755E-2</v>
      </c>
      <c r="BT31" s="288">
        <f t="shared" si="44"/>
        <v>5.212704259449856E-2</v>
      </c>
      <c r="BU31" s="288">
        <f t="shared" si="44"/>
        <v>5.0034978735800782E-2</v>
      </c>
      <c r="BV31" s="288">
        <f t="shared" si="45"/>
        <v>4.8050624068045153E-2</v>
      </c>
      <c r="BW31" s="288">
        <f t="shared" si="45"/>
        <v>4.6167347311185977E-2</v>
      </c>
      <c r="BX31" s="288">
        <f t="shared" si="45"/>
        <v>4.4378982205736765E-2</v>
      </c>
      <c r="BY31" s="288">
        <f t="shared" si="45"/>
        <v>4.2679791838673223E-2</v>
      </c>
      <c r="BZ31" s="288">
        <f t="shared" si="45"/>
        <v>4.1064435839660289E-2</v>
      </c>
      <c r="CA31" s="290">
        <f t="shared" si="45"/>
        <v>3.9527940219764253E-2</v>
      </c>
      <c r="CB31" s="242"/>
      <c r="CF31" s="268"/>
      <c r="CG31" s="268"/>
      <c r="CI31" s="268"/>
      <c r="CK31" s="238"/>
      <c r="CQ31" s="238"/>
    </row>
    <row r="32" spans="2:95">
      <c r="B32" s="274">
        <f t="shared" si="19"/>
        <v>7.5</v>
      </c>
      <c r="C32" s="234"/>
      <c r="D32" s="272">
        <f t="shared" si="38"/>
        <v>0.99995000249987509</v>
      </c>
      <c r="E32" s="288">
        <f t="shared" si="38"/>
        <v>0.99960015993602558</v>
      </c>
      <c r="F32" s="288">
        <f t="shared" si="38"/>
        <v>0.99865182004294195</v>
      </c>
      <c r="G32" s="288">
        <f t="shared" si="38"/>
        <v>0.99681020733652304</v>
      </c>
      <c r="H32" s="288">
        <f t="shared" si="38"/>
        <v>0.99378881987577639</v>
      </c>
      <c r="I32" s="288">
        <f t="shared" si="38"/>
        <v>0.98931539374752675</v>
      </c>
      <c r="J32" s="288">
        <f t="shared" si="38"/>
        <v>0.98313916334857199</v>
      </c>
      <c r="K32" s="288">
        <f t="shared" si="38"/>
        <v>0.9750390015600624</v>
      </c>
      <c r="L32" s="288">
        <f t="shared" si="38"/>
        <v>0.96483187804525061</v>
      </c>
      <c r="M32" s="288">
        <f t="shared" si="38"/>
        <v>0.95238095238095233</v>
      </c>
      <c r="N32" s="288">
        <f t="shared" si="39"/>
        <v>0.9376025502789368</v>
      </c>
      <c r="O32" s="288">
        <f t="shared" si="39"/>
        <v>0.92047128129602362</v>
      </c>
      <c r="P32" s="288">
        <f t="shared" si="39"/>
        <v>0.9010226607199171</v>
      </c>
      <c r="Q32" s="288">
        <f t="shared" si="39"/>
        <v>0.87935279634189234</v>
      </c>
      <c r="R32" s="288">
        <f t="shared" si="39"/>
        <v>0.85561497326203206</v>
      </c>
      <c r="S32" s="288">
        <f t="shared" si="39"/>
        <v>0.83001328021248344</v>
      </c>
      <c r="T32" s="288">
        <f t="shared" si="39"/>
        <v>0.80279372215309275</v>
      </c>
      <c r="U32" s="288">
        <f t="shared" si="39"/>
        <v>0.77423350882626207</v>
      </c>
      <c r="V32" s="288">
        <f t="shared" si="39"/>
        <v>0.74462936073569375</v>
      </c>
      <c r="W32" s="288">
        <f t="shared" si="39"/>
        <v>0.7142857142857143</v>
      </c>
      <c r="X32" s="288">
        <f t="shared" si="40"/>
        <v>0.68350363965688121</v>
      </c>
      <c r="Y32" s="288">
        <f t="shared" si="40"/>
        <v>0.65257113025319757</v>
      </c>
      <c r="Z32" s="288">
        <f t="shared" si="40"/>
        <v>0.62175521497186559</v>
      </c>
      <c r="AA32" s="288">
        <f t="shared" si="40"/>
        <v>0.59129612109744556</v>
      </c>
      <c r="AB32" s="288">
        <f t="shared" si="40"/>
        <v>0.56140350877192979</v>
      </c>
      <c r="AC32" s="288">
        <f t="shared" si="40"/>
        <v>0.53225463061528633</v>
      </c>
      <c r="AD32" s="288">
        <f t="shared" si="40"/>
        <v>0.50399415366781741</v>
      </c>
      <c r="AE32" s="288">
        <f t="shared" si="40"/>
        <v>0.47673531655225021</v>
      </c>
      <c r="AF32" s="288">
        <f t="shared" si="40"/>
        <v>0.45056207619004707</v>
      </c>
      <c r="AG32" s="288">
        <f t="shared" si="40"/>
        <v>0.42553191489361702</v>
      </c>
      <c r="AH32" s="288">
        <f t="shared" si="41"/>
        <v>0.40167901829647923</v>
      </c>
      <c r="AI32" s="288">
        <f t="shared" si="41"/>
        <v>0.37901758641600969</v>
      </c>
      <c r="AJ32" s="288">
        <f t="shared" si="41"/>
        <v>0.35754509537515411</v>
      </c>
      <c r="AK32" s="288">
        <f t="shared" si="41"/>
        <v>0.3372453797382976</v>
      </c>
      <c r="AL32" s="288">
        <f t="shared" si="41"/>
        <v>0.31809145129224653</v>
      </c>
      <c r="AM32" s="288">
        <f t="shared" si="41"/>
        <v>0.30004800768122897</v>
      </c>
      <c r="AN32" s="288">
        <f t="shared" si="41"/>
        <v>0.28307361329313685</v>
      </c>
      <c r="AO32" s="288">
        <f t="shared" si="41"/>
        <v>0.26712255582861416</v>
      </c>
      <c r="AP32" s="288">
        <f t="shared" si="41"/>
        <v>0.25214639619763235</v>
      </c>
      <c r="AQ32" s="288">
        <f t="shared" si="41"/>
        <v>0.23809523809523808</v>
      </c>
      <c r="AR32" s="288">
        <f t="shared" si="42"/>
        <v>0.22491874810224805</v>
      </c>
      <c r="AS32" s="288">
        <f t="shared" si="42"/>
        <v>0.21256695859195646</v>
      </c>
      <c r="AT32" s="288">
        <f t="shared" si="42"/>
        <v>0.20099088506336235</v>
      </c>
      <c r="AU32" s="288">
        <f t="shared" si="42"/>
        <v>0.19014298752661998</v>
      </c>
      <c r="AV32" s="288">
        <f t="shared" si="42"/>
        <v>0.17997750281214847</v>
      </c>
      <c r="AW32" s="288">
        <f t="shared" si="42"/>
        <v>0.170450671575646</v>
      </c>
      <c r="AX32" s="288">
        <f t="shared" si="42"/>
        <v>0.16152088061184108</v>
      </c>
      <c r="AY32" s="288">
        <f t="shared" si="42"/>
        <v>0.15314873805439841</v>
      </c>
      <c r="AZ32" s="288">
        <f t="shared" si="42"/>
        <v>0.14529709623753168</v>
      </c>
      <c r="BA32" s="288">
        <f t="shared" si="42"/>
        <v>0.13793103448275862</v>
      </c>
      <c r="BB32" s="288">
        <f t="shared" si="43"/>
        <v>0.13101781187152392</v>
      </c>
      <c r="BC32" s="288">
        <f t="shared" si="43"/>
        <v>0.12452679816696552</v>
      </c>
      <c r="BD32" s="288">
        <f t="shared" si="43"/>
        <v>0.11842938943728275</v>
      </c>
      <c r="BE32" s="288">
        <f t="shared" si="43"/>
        <v>0.11269891358247305</v>
      </c>
      <c r="BF32" s="288">
        <f t="shared" si="43"/>
        <v>0.1073105298457411</v>
      </c>
      <c r="BG32" s="288">
        <f t="shared" si="43"/>
        <v>0.10224112547030918</v>
      </c>
      <c r="BH32" s="288">
        <f t="shared" si="43"/>
        <v>9.7469211912687065E-2</v>
      </c>
      <c r="BI32" s="288">
        <f t="shared" si="43"/>
        <v>9.2974822418089173E-2</v>
      </c>
      <c r="BJ32" s="288">
        <f t="shared" si="43"/>
        <v>8.873941227887247E-2</v>
      </c>
      <c r="BK32" s="288">
        <f t="shared" si="43"/>
        <v>8.4745762711864403E-2</v>
      </c>
      <c r="BL32" s="288">
        <f t="shared" si="44"/>
        <v>8.0977888987411983E-2</v>
      </c>
      <c r="BM32" s="288">
        <f t="shared" si="44"/>
        <v>7.7420953206775875E-2</v>
      </c>
      <c r="BN32" s="288">
        <f t="shared" si="44"/>
        <v>7.4061181942402618E-2</v>
      </c>
      <c r="BO32" s="288">
        <f t="shared" si="44"/>
        <v>7.0885788817057954E-2</v>
      </c>
      <c r="BP32" s="288">
        <f t="shared" si="44"/>
        <v>6.7882901994060246E-2</v>
      </c>
      <c r="BQ32" s="288">
        <f t="shared" si="44"/>
        <v>6.5041496474750882E-2</v>
      </c>
      <c r="BR32" s="288">
        <f t="shared" si="44"/>
        <v>6.2351331045039475E-2</v>
      </c>
      <c r="BS32" s="288">
        <f t="shared" si="44"/>
        <v>5.9802889675629127E-2</v>
      </c>
      <c r="BT32" s="288">
        <f t="shared" si="44"/>
        <v>5.7387327156544016E-2</v>
      </c>
      <c r="BU32" s="288">
        <f t="shared" si="44"/>
        <v>5.5096418732782364E-2</v>
      </c>
      <c r="BV32" s="288">
        <f t="shared" si="45"/>
        <v>5.2922513501856255E-2</v>
      </c>
      <c r="BW32" s="288">
        <f t="shared" si="45"/>
        <v>5.085849133371307E-2</v>
      </c>
      <c r="BX32" s="288">
        <f t="shared" si="45"/>
        <v>4.8897723077524886E-2</v>
      </c>
      <c r="BY32" s="288">
        <f t="shared" si="45"/>
        <v>4.7034033826877125E-2</v>
      </c>
      <c r="BZ32" s="288">
        <f t="shared" si="45"/>
        <v>4.5261669024045263E-2</v>
      </c>
      <c r="CA32" s="290">
        <f t="shared" si="45"/>
        <v>4.3575263194589688E-2</v>
      </c>
      <c r="CB32" s="242"/>
      <c r="CF32" s="268"/>
      <c r="CG32" s="268"/>
      <c r="CI32" s="268"/>
      <c r="CK32" s="238"/>
      <c r="CQ32" s="238"/>
    </row>
    <row r="33" spans="2:95">
      <c r="B33" s="274">
        <f t="shared" si="19"/>
        <v>7.75</v>
      </c>
      <c r="C33" s="234"/>
      <c r="D33" s="272">
        <f t="shared" ref="D33:M42" si="46">(POWER($B33,$F$1)/(POWER($B33,$F$1)+($G$1*POWER(D$2,$F$1))))</f>
        <v>0.99995468635404727</v>
      </c>
      <c r="E33" s="288">
        <f t="shared" si="46"/>
        <v>0.99963760578220107</v>
      </c>
      <c r="F33" s="288">
        <f t="shared" si="46"/>
        <v>0.99877797129825041</v>
      </c>
      <c r="G33" s="288">
        <f t="shared" si="46"/>
        <v>0.99710818210419916</v>
      </c>
      <c r="H33" s="288">
        <f t="shared" si="46"/>
        <v>0.99436744298600621</v>
      </c>
      <c r="I33" s="288">
        <f t="shared" si="46"/>
        <v>0.99030668891651652</v>
      </c>
      <c r="J33" s="288">
        <f t="shared" si="46"/>
        <v>0.98469461113470758</v>
      </c>
      <c r="K33" s="288">
        <f t="shared" si="46"/>
        <v>0.97732447133080946</v>
      </c>
      <c r="L33" s="288">
        <f t="shared" si="46"/>
        <v>0.96802127690685502</v>
      </c>
      <c r="M33" s="288">
        <f t="shared" si="46"/>
        <v>0.95664879098294853</v>
      </c>
      <c r="N33" s="288">
        <f t="shared" ref="N33:W42" si="47">(POWER($B33,$F$1)/(POWER($B33,$F$1)+($G$1*POWER(N$2,$F$1))))</f>
        <v>0.94311578660782547</v>
      </c>
      <c r="O33" s="288">
        <f t="shared" si="47"/>
        <v>0.92738094496915058</v>
      </c>
      <c r="P33" s="288">
        <f t="shared" si="47"/>
        <v>0.90945585593286304</v>
      </c>
      <c r="Q33" s="288">
        <f t="shared" si="47"/>
        <v>0.8894057094406993</v>
      </c>
      <c r="R33" s="288">
        <f t="shared" si="47"/>
        <v>0.86734745867573093</v>
      </c>
      <c r="S33" s="288">
        <f t="shared" si="47"/>
        <v>0.84344546808378118</v>
      </c>
      <c r="T33" s="288">
        <f t="shared" si="47"/>
        <v>0.81790489944005995</v>
      </c>
      <c r="U33" s="288">
        <f t="shared" si="47"/>
        <v>0.79096330202154841</v>
      </c>
      <c r="V33" s="288">
        <f t="shared" si="47"/>
        <v>0.76288102758852927</v>
      </c>
      <c r="W33" s="288">
        <f t="shared" si="47"/>
        <v>0.73393116700746475</v>
      </c>
      <c r="X33" s="288">
        <f t="shared" ref="X33:AG42" si="48">(POWER($B33,$F$1)/(POWER($B33,$F$1)+($G$1*POWER(X$2,$F$1))))</f>
        <v>0.70438969719825928</v>
      </c>
      <c r="Y33" s="288">
        <f t="shared" si="48"/>
        <v>0.67452644353775992</v>
      </c>
      <c r="Z33" s="288">
        <f t="shared" si="48"/>
        <v>0.64459732411295112</v>
      </c>
      <c r="AA33" s="288">
        <f t="shared" si="48"/>
        <v>0.61483817441087729</v>
      </c>
      <c r="AB33" s="288">
        <f t="shared" si="48"/>
        <v>0.58546028033939446</v>
      </c>
      <c r="AC33" s="288">
        <f t="shared" si="48"/>
        <v>0.55664759541542563</v>
      </c>
      <c r="AD33" s="288">
        <f t="shared" si="48"/>
        <v>0.52855549868220397</v>
      </c>
      <c r="AE33" s="288">
        <f t="shared" si="48"/>
        <v>0.50131086961643179</v>
      </c>
      <c r="AF33" s="288">
        <f t="shared" si="48"/>
        <v>0.47501321429966603</v>
      </c>
      <c r="AG33" s="288">
        <f t="shared" si="48"/>
        <v>0.44973656798659439</v>
      </c>
      <c r="AH33" s="288">
        <f t="shared" ref="AH33:AQ42" si="49">(POWER($B33,$F$1)/(POWER($B33,$F$1)+($G$1*POWER(AH$2,$F$1))))</f>
        <v>0.42553191489361697</v>
      </c>
      <c r="AI33" s="288">
        <f t="shared" si="49"/>
        <v>0.40242989795725387</v>
      </c>
      <c r="AJ33" s="288">
        <f t="shared" si="49"/>
        <v>0.38044363167805251</v>
      </c>
      <c r="AK33" s="288">
        <f t="shared" si="49"/>
        <v>0.35957147374697351</v>
      </c>
      <c r="AL33" s="288">
        <f t="shared" si="49"/>
        <v>0.33979965154310515</v>
      </c>
      <c r="AM33" s="288">
        <f t="shared" si="49"/>
        <v>0.32110467510126472</v>
      </c>
      <c r="AN33" s="288">
        <f t="shared" si="49"/>
        <v>0.30345549748886019</v>
      </c>
      <c r="AO33" s="288">
        <f t="shared" si="49"/>
        <v>0.28681540644778669</v>
      </c>
      <c r="AP33" s="288">
        <f t="shared" si="49"/>
        <v>0.27114364806572028</v>
      </c>
      <c r="AQ33" s="288">
        <f t="shared" si="49"/>
        <v>0.25639679493248185</v>
      </c>
      <c r="AR33" s="288">
        <f t="shared" ref="AR33:BA42" si="50">(POWER($B33,$F$1)/(POWER($B33,$F$1)+($G$1*POWER(AR$2,$F$1))))</f>
        <v>0.24252987865365022</v>
      </c>
      <c r="AS33" s="288">
        <f t="shared" si="50"/>
        <v>0.22949731068070361</v>
      </c>
      <c r="AT33" s="288">
        <f t="shared" si="50"/>
        <v>0.21725361703462048</v>
      </c>
      <c r="AU33" s="288">
        <f t="shared" si="50"/>
        <v>0.20575401237935922</v>
      </c>
      <c r="AV33" s="288">
        <f t="shared" si="50"/>
        <v>0.19495483763306987</v>
      </c>
      <c r="AW33" s="288">
        <f t="shared" si="50"/>
        <v>0.1848138833434867</v>
      </c>
      <c r="AX33" s="288">
        <f t="shared" si="50"/>
        <v>0.17529061873628471</v>
      </c>
      <c r="AY33" s="288">
        <f t="shared" si="50"/>
        <v>0.16634634390938197</v>
      </c>
      <c r="AZ33" s="288">
        <f t="shared" si="50"/>
        <v>0.15794428025235244</v>
      </c>
      <c r="BA33" s="288">
        <f t="shared" si="50"/>
        <v>0.15004961191894872</v>
      </c>
      <c r="BB33" s="288">
        <f t="shared" ref="BB33:BK42" si="51">(POWER($B33,$F$1)/(POWER($B33,$F$1)+($G$1*POWER(BB$2,$F$1))))</f>
        <v>0.14262948912923526</v>
      </c>
      <c r="BC33" s="288">
        <f t="shared" si="51"/>
        <v>0.13565300225215585</v>
      </c>
      <c r="BD33" s="288">
        <f t="shared" si="51"/>
        <v>0.12909113402472841</v>
      </c>
      <c r="BE33" s="288">
        <f t="shared" si="51"/>
        <v>0.12291669589226933</v>
      </c>
      <c r="BF33" s="288">
        <f t="shared" si="51"/>
        <v>0.11710425328890149</v>
      </c>
      <c r="BG33" s="288">
        <f t="shared" si="51"/>
        <v>0.11163004369875365</v>
      </c>
      <c r="BH33" s="288">
        <f t="shared" si="51"/>
        <v>0.10647189052383732</v>
      </c>
      <c r="BI33" s="288">
        <f t="shared" si="51"/>
        <v>0.10160911511288499</v>
      </c>
      <c r="BJ33" s="288">
        <f t="shared" si="51"/>
        <v>9.7022448755938101E-2</v>
      </c>
      <c r="BK33" s="288">
        <f t="shared" si="51"/>
        <v>9.2693946003466185E-2</v>
      </c>
      <c r="BL33" s="288">
        <f t="shared" ref="BL33:BU42" si="52">(POWER($B33,$F$1)/(POWER($B33,$F$1)+($G$1*POWER(BL$2,$F$1))))</f>
        <v>8.8606900309578365E-2</v>
      </c>
      <c r="BM33" s="288">
        <f t="shared" si="52"/>
        <v>8.4745762711864389E-2</v>
      </c>
      <c r="BN33" s="288">
        <f t="shared" si="52"/>
        <v>8.1096064032979587E-2</v>
      </c>
      <c r="BO33" s="288">
        <f t="shared" si="52"/>
        <v>7.764434091054806E-2</v>
      </c>
      <c r="BP33" s="288">
        <f t="shared" si="52"/>
        <v>7.4378065823252543E-2</v>
      </c>
      <c r="BQ33" s="288">
        <f t="shared" si="52"/>
        <v>7.1285581174538287E-2</v>
      </c>
      <c r="BR33" s="288">
        <f t="shared" si="52"/>
        <v>6.8356037414897694E-2</v>
      </c>
      <c r="BS33" s="288">
        <f t="shared" si="52"/>
        <v>6.5579335124028609E-2</v>
      </c>
      <c r="BT33" s="288">
        <f t="shared" si="52"/>
        <v>6.2946070931015938E-2</v>
      </c>
      <c r="BU33" s="288">
        <f t="shared" si="52"/>
        <v>6.0447487120592641E-2</v>
      </c>
      <c r="BV33" s="288">
        <f t="shared" ref="BV33:CA42" si="53">(POWER($B33,$F$1)/(POWER($B33,$F$1)+($G$1*POWER(BV$2,$F$1))))</f>
        <v>5.8075424753667775E-2</v>
      </c>
      <c r="BW33" s="288">
        <f t="shared" si="53"/>
        <v>5.5822280118378982E-2</v>
      </c>
      <c r="BX33" s="288">
        <f t="shared" si="53"/>
        <v>5.3680964322096951E-2</v>
      </c>
      <c r="BY33" s="288">
        <f t="shared" si="53"/>
        <v>5.1644865833604059E-2</v>
      </c>
      <c r="BZ33" s="288">
        <f t="shared" si="53"/>
        <v>4.9707815786915972E-2</v>
      </c>
      <c r="CA33" s="290">
        <f t="shared" si="53"/>
        <v>4.7864055862981321E-2</v>
      </c>
      <c r="CB33" s="242"/>
      <c r="CF33" s="268"/>
      <c r="CG33" s="268"/>
      <c r="CI33" s="268"/>
      <c r="CK33" s="238"/>
      <c r="CQ33" s="238"/>
    </row>
    <row r="34" spans="2:95">
      <c r="B34" s="274">
        <f t="shared" si="19"/>
        <v>8</v>
      </c>
      <c r="C34" s="234"/>
      <c r="D34" s="272">
        <f t="shared" si="46"/>
        <v>0.99995880296679673</v>
      </c>
      <c r="E34" s="288">
        <f t="shared" si="46"/>
        <v>0.99967051874992363</v>
      </c>
      <c r="F34" s="288">
        <f t="shared" si="46"/>
        <v>0.99888887025998008</v>
      </c>
      <c r="G34" s="288">
        <f t="shared" si="46"/>
        <v>0.99737021525275149</v>
      </c>
      <c r="H34" s="288">
        <f t="shared" si="46"/>
        <v>0.99487654367841394</v>
      </c>
      <c r="I34" s="288">
        <f t="shared" si="46"/>
        <v>0.99117956660092688</v>
      </c>
      <c r="J34" s="288">
        <f t="shared" si="46"/>
        <v>0.98606574273157177</v>
      </c>
      <c r="K34" s="288">
        <f t="shared" si="46"/>
        <v>0.97934200459066578</v>
      </c>
      <c r="L34" s="288">
        <f t="shared" si="46"/>
        <v>0.97084185748167151</v>
      </c>
      <c r="M34" s="288">
        <f t="shared" si="46"/>
        <v>0.96043144381265022</v>
      </c>
      <c r="N34" s="288">
        <f t="shared" si="47"/>
        <v>0.94801510783353615</v>
      </c>
      <c r="O34" s="288">
        <f t="shared" si="47"/>
        <v>0.93353997629683649</v>
      </c>
      <c r="P34" s="288">
        <f t="shared" si="47"/>
        <v>0.91699910029537746</v>
      </c>
      <c r="Q34" s="288">
        <f t="shared" si="47"/>
        <v>0.89843278753249034</v>
      </c>
      <c r="R34" s="288">
        <f t="shared" si="47"/>
        <v>0.87792788870506444</v>
      </c>
      <c r="S34" s="288">
        <f t="shared" si="47"/>
        <v>0.85561497326203206</v>
      </c>
      <c r="T34" s="288">
        <f t="shared" si="47"/>
        <v>0.83166351738744759</v>
      </c>
      <c r="U34" s="288">
        <f t="shared" si="47"/>
        <v>0.80627540525378194</v>
      </c>
      <c r="V34" s="288">
        <f t="shared" si="47"/>
        <v>0.77967718870791014</v>
      </c>
      <c r="W34" s="288">
        <f t="shared" si="47"/>
        <v>0.75211164157179577</v>
      </c>
      <c r="X34" s="288">
        <f t="shared" si="48"/>
        <v>0.72382917295757598</v>
      </c>
      <c r="Y34" s="288">
        <f t="shared" si="48"/>
        <v>0.69507963039955201</v>
      </c>
      <c r="Z34" s="288">
        <f t="shared" si="48"/>
        <v>0.66610493876725463</v>
      </c>
      <c r="AA34" s="288">
        <f t="shared" si="48"/>
        <v>0.63713290194126426</v>
      </c>
      <c r="AB34" s="288">
        <f t="shared" si="48"/>
        <v>0.60837236071980583</v>
      </c>
      <c r="AC34" s="288">
        <f t="shared" si="48"/>
        <v>0.58000977067240633</v>
      </c>
      <c r="AD34" s="288">
        <f t="shared" si="48"/>
        <v>0.55220715183084612</v>
      </c>
      <c r="AE34" s="288">
        <f t="shared" si="48"/>
        <v>0.52510127685759711</v>
      </c>
      <c r="AF34" s="288">
        <f t="shared" si="48"/>
        <v>0.49880390877892145</v>
      </c>
      <c r="AG34" s="288">
        <f t="shared" si="48"/>
        <v>0.47340287208529575</v>
      </c>
      <c r="AH34" s="288">
        <f t="shared" si="49"/>
        <v>0.44896373749158225</v>
      </c>
      <c r="AI34" s="288">
        <f t="shared" si="49"/>
        <v>0.42553191489361702</v>
      </c>
      <c r="AJ34" s="288">
        <f t="shared" si="49"/>
        <v>0.40313497480098837</v>
      </c>
      <c r="AK34" s="288">
        <f t="shared" si="49"/>
        <v>0.38178505016987385</v>
      </c>
      <c r="AL34" s="288">
        <f t="shared" si="49"/>
        <v>0.36148120365033359</v>
      </c>
      <c r="AM34" s="288">
        <f t="shared" si="49"/>
        <v>0.34221167663670082</v>
      </c>
      <c r="AN34" s="288">
        <f t="shared" si="49"/>
        <v>0.32395596421338502</v>
      </c>
      <c r="AO34" s="288">
        <f t="shared" si="49"/>
        <v>0.30668668316405412</v>
      </c>
      <c r="AP34" s="288">
        <f t="shared" si="49"/>
        <v>0.29037121844169156</v>
      </c>
      <c r="AQ34" s="288">
        <f t="shared" si="49"/>
        <v>0.27497314715359827</v>
      </c>
      <c r="AR34" s="288">
        <f t="shared" si="50"/>
        <v>0.26045344875482218</v>
      </c>
      <c r="AS34" s="288">
        <f t="shared" si="50"/>
        <v>0.2467715164459118</v>
      </c>
      <c r="AT34" s="288">
        <f t="shared" si="50"/>
        <v>0.23388598843203667</v>
      </c>
      <c r="AU34" s="288">
        <f t="shared" si="50"/>
        <v>0.22175541936461871</v>
      </c>
      <c r="AV34" s="288">
        <f t="shared" si="50"/>
        <v>0.2103388125113336</v>
      </c>
      <c r="AW34" s="288">
        <f t="shared" si="50"/>
        <v>0.19959603244410115</v>
      </c>
      <c r="AX34" s="288">
        <f t="shared" si="50"/>
        <v>0.18948811665824797</v>
      </c>
      <c r="AY34" s="288">
        <f t="shared" si="50"/>
        <v>0.17997750281214847</v>
      </c>
      <c r="AZ34" s="288">
        <f t="shared" si="50"/>
        <v>0.17102818640339487</v>
      </c>
      <c r="BA34" s="288">
        <f t="shared" si="50"/>
        <v>0.16260582181244354</v>
      </c>
      <c r="BB34" s="288">
        <f t="shared" si="51"/>
        <v>0.15467777783809389</v>
      </c>
      <c r="BC34" s="288">
        <f t="shared" si="51"/>
        <v>0.14721315717592259</v>
      </c>
      <c r="BD34" s="288">
        <f t="shared" si="51"/>
        <v>0.14018278777995219</v>
      </c>
      <c r="BE34" s="288">
        <f t="shared" si="51"/>
        <v>0.13355919271032882</v>
      </c>
      <c r="BF34" s="288">
        <f t="shared" si="51"/>
        <v>0.12731654390445041</v>
      </c>
      <c r="BG34" s="288">
        <f t="shared" si="51"/>
        <v>0.12143060430699176</v>
      </c>
      <c r="BH34" s="288">
        <f t="shared" si="51"/>
        <v>0.11587866194235735</v>
      </c>
      <c r="BI34" s="288">
        <f t="shared" si="51"/>
        <v>0.11063945879585048</v>
      </c>
      <c r="BJ34" s="288">
        <f t="shared" si="51"/>
        <v>0.10569311677125075</v>
      </c>
      <c r="BK34" s="288">
        <f t="shared" si="51"/>
        <v>0.10102106249691709</v>
      </c>
      <c r="BL34" s="288">
        <f t="shared" si="52"/>
        <v>9.6605952345328538E-2</v>
      </c>
      <c r="BM34" s="288">
        <f t="shared" si="52"/>
        <v>9.2431598698826653E-2</v>
      </c>
      <c r="BN34" s="288">
        <f t="shared" si="52"/>
        <v>8.8482898225360013E-2</v>
      </c>
      <c r="BO34" s="288">
        <f t="shared" si="52"/>
        <v>8.4745762711864403E-2</v>
      </c>
      <c r="BP34" s="288">
        <f t="shared" si="52"/>
        <v>8.1207052830555737E-2</v>
      </c>
      <c r="BQ34" s="288">
        <f t="shared" si="52"/>
        <v>7.7854515077184494E-2</v>
      </c>
      <c r="BR34" s="288">
        <f t="shared" si="52"/>
        <v>7.4676722013691715E-2</v>
      </c>
      <c r="BS34" s="288">
        <f t="shared" si="52"/>
        <v>7.1663015865239932E-2</v>
      </c>
      <c r="BT34" s="288">
        <f t="shared" si="52"/>
        <v>6.8803455458696872E-2</v>
      </c>
      <c r="BU34" s="288">
        <f t="shared" si="52"/>
        <v>6.6088766442525274E-2</v>
      </c>
      <c r="BV34" s="288">
        <f t="shared" si="53"/>
        <v>6.3510294693543148E-2</v>
      </c>
      <c r="BW34" s="288">
        <f t="shared" si="53"/>
        <v>6.1059962791585168E-2</v>
      </c>
      <c r="BX34" s="288">
        <f t="shared" si="53"/>
        <v>5.8730229426608667E-2</v>
      </c>
      <c r="BY34" s="288">
        <f t="shared" si="53"/>
        <v>5.6514051592527613E-2</v>
      </c>
      <c r="BZ34" s="288">
        <f t="shared" si="53"/>
        <v>5.4404849416631353E-2</v>
      </c>
      <c r="CA34" s="290">
        <f t="shared" si="53"/>
        <v>5.2396473471726879E-2</v>
      </c>
      <c r="CB34" s="242"/>
      <c r="CF34" s="268"/>
      <c r="CG34" s="268"/>
      <c r="CI34" s="268"/>
      <c r="CK34" s="238"/>
      <c r="CQ34" s="238"/>
    </row>
    <row r="35" spans="2:95">
      <c r="B35" s="274">
        <f t="shared" si="19"/>
        <v>8.25</v>
      </c>
      <c r="C35" s="234"/>
      <c r="D35" s="272">
        <f t="shared" si="46"/>
        <v>0.99996243567108678</v>
      </c>
      <c r="E35" s="288">
        <f t="shared" si="46"/>
        <v>0.99969956436833396</v>
      </c>
      <c r="F35" s="288">
        <f t="shared" si="46"/>
        <v>0.99898675273013859</v>
      </c>
      <c r="G35" s="288">
        <f t="shared" si="46"/>
        <v>0.99760155898665859</v>
      </c>
      <c r="H35" s="288">
        <f t="shared" si="46"/>
        <v>0.99532622920171998</v>
      </c>
      <c r="I35" s="288">
        <f t="shared" si="46"/>
        <v>0.99195111044865114</v>
      </c>
      <c r="J35" s="288">
        <f t="shared" si="46"/>
        <v>0.98727886362793449</v>
      </c>
      <c r="K35" s="288">
        <f t="shared" si="46"/>
        <v>0.98112929382279235</v>
      </c>
      <c r="L35" s="288">
        <f t="shared" si="46"/>
        <v>0.9733445464185162</v>
      </c>
      <c r="M35" s="288">
        <f t="shared" si="46"/>
        <v>0.96379435191889939</v>
      </c>
      <c r="N35" s="288">
        <f t="shared" si="47"/>
        <v>0.95238095238095244</v>
      </c>
      <c r="O35" s="288">
        <f t="shared" si="47"/>
        <v>0.93904331875264557</v>
      </c>
      <c r="P35" s="288">
        <f t="shared" si="47"/>
        <v>0.92376028039004765</v>
      </c>
      <c r="Q35" s="288">
        <f t="shared" si="47"/>
        <v>0.90655224083912267</v>
      </c>
      <c r="R35" s="288">
        <f t="shared" si="47"/>
        <v>0.88748124687447905</v>
      </c>
      <c r="S35" s="288">
        <f t="shared" si="47"/>
        <v>0.86664930329469991</v>
      </c>
      <c r="T35" s="288">
        <f t="shared" si="47"/>
        <v>0.84419497034852375</v>
      </c>
      <c r="U35" s="288">
        <f t="shared" si="47"/>
        <v>0.82028842598299034</v>
      </c>
      <c r="V35" s="288">
        <f t="shared" si="47"/>
        <v>0.79512530242838797</v>
      </c>
      <c r="W35" s="288">
        <f t="shared" si="47"/>
        <v>0.76891969959560946</v>
      </c>
      <c r="X35" s="288">
        <f t="shared" si="48"/>
        <v>0.74189682561801518</v>
      </c>
      <c r="Y35" s="288">
        <f t="shared" si="48"/>
        <v>0.71428571428571419</v>
      </c>
      <c r="Z35" s="288">
        <f t="shared" si="48"/>
        <v>0.68631242426586236</v>
      </c>
      <c r="AA35" s="288">
        <f t="shared" si="48"/>
        <v>0.65819404608841858</v>
      </c>
      <c r="AB35" s="288">
        <f t="shared" si="48"/>
        <v>0.63013374363830044</v>
      </c>
      <c r="AC35" s="288">
        <f t="shared" si="48"/>
        <v>0.60231695176034028</v>
      </c>
      <c r="AD35" s="288">
        <f t="shared" si="48"/>
        <v>0.57490875321253476</v>
      </c>
      <c r="AE35" s="288">
        <f t="shared" si="48"/>
        <v>0.5480523758544017</v>
      </c>
      <c r="AF35" s="288">
        <f t="shared" si="48"/>
        <v>0.52186868983904811</v>
      </c>
      <c r="AG35" s="288">
        <f t="shared" si="48"/>
        <v>0.49645654606490114</v>
      </c>
      <c r="AH35" s="288">
        <f t="shared" si="49"/>
        <v>0.47189377958199641</v>
      </c>
      <c r="AI35" s="288">
        <f t="shared" si="49"/>
        <v>0.44823870142116251</v>
      </c>
      <c r="AJ35" s="288">
        <f t="shared" si="49"/>
        <v>0.42553191489361697</v>
      </c>
      <c r="AK35" s="288">
        <f t="shared" si="49"/>
        <v>0.40379831320914994</v>
      </c>
      <c r="AL35" s="288">
        <f t="shared" si="49"/>
        <v>0.38304914022591552</v>
      </c>
      <c r="AM35" s="288">
        <f t="shared" si="49"/>
        <v>0.36328402205360555</v>
      </c>
      <c r="AN35" s="288">
        <f t="shared" si="49"/>
        <v>0.34449290178975839</v>
      </c>
      <c r="AO35" s="288">
        <f t="shared" si="49"/>
        <v>0.32665783144357724</v>
      </c>
      <c r="AP35" s="288">
        <f t="shared" si="49"/>
        <v>0.30975459337437017</v>
      </c>
      <c r="AQ35" s="288">
        <f t="shared" si="49"/>
        <v>0.2937541381593467</v>
      </c>
      <c r="AR35" s="288">
        <f t="shared" si="50"/>
        <v>0.27862383688678161</v>
      </c>
      <c r="AS35" s="288">
        <f t="shared" si="50"/>
        <v>0.26432855383882115</v>
      </c>
      <c r="AT35" s="288">
        <f t="shared" si="50"/>
        <v>0.25083155087772196</v>
      </c>
      <c r="AU35" s="288">
        <f t="shared" si="50"/>
        <v>0.23809523809523805</v>
      </c>
      <c r="AV35" s="288">
        <f t="shared" si="50"/>
        <v>0.22608178691239544</v>
      </c>
      <c r="AW35" s="288">
        <f t="shared" si="50"/>
        <v>0.21475362225305752</v>
      </c>
      <c r="AX35" s="288">
        <f t="shared" si="50"/>
        <v>0.2040738100166356</v>
      </c>
      <c r="AY35" s="288">
        <f t="shared" si="50"/>
        <v>0.19400635512928896</v>
      </c>
      <c r="AZ35" s="288">
        <f t="shared" si="50"/>
        <v>0.18451642417983072</v>
      </c>
      <c r="BA35" s="288">
        <f t="shared" si="50"/>
        <v>0.17557050521039441</v>
      </c>
      <c r="BB35" s="288">
        <f t="shared" si="51"/>
        <v>0.16713651574988542</v>
      </c>
      <c r="BC35" s="288">
        <f t="shared" si="51"/>
        <v>0.15918386873011695</v>
      </c>
      <c r="BD35" s="288">
        <f t="shared" si="51"/>
        <v>0.15168350456133153</v>
      </c>
      <c r="BE35" s="288">
        <f t="shared" si="51"/>
        <v>0.14460789639512395</v>
      </c>
      <c r="BF35" s="288">
        <f t="shared" si="51"/>
        <v>0.13793103448275862</v>
      </c>
      <c r="BG35" s="288">
        <f t="shared" si="51"/>
        <v>0.13162839454894282</v>
      </c>
      <c r="BH35" s="288">
        <f t="shared" si="51"/>
        <v>0.12567689424161876</v>
      </c>
      <c r="BI35" s="288">
        <f t="shared" si="51"/>
        <v>0.12005484097920011</v>
      </c>
      <c r="BJ35" s="288">
        <f t="shared" si="51"/>
        <v>0.11474187388738744</v>
      </c>
      <c r="BK35" s="288">
        <f t="shared" si="51"/>
        <v>0.10971890198664579</v>
      </c>
      <c r="BL35" s="288">
        <f t="shared" si="52"/>
        <v>0.10496804034684405</v>
      </c>
      <c r="BM35" s="288">
        <f t="shared" si="52"/>
        <v>0.10047254555610911</v>
      </c>
      <c r="BN35" s="288">
        <f t="shared" si="52"/>
        <v>9.6216751546082474E-2</v>
      </c>
      <c r="BO35" s="288">
        <f t="shared" si="52"/>
        <v>9.2186006565915413E-2</v>
      </c>
      <c r="BP35" s="288">
        <f t="shared" si="52"/>
        <v>8.8366611893973337E-2</v>
      </c>
      <c r="BQ35" s="288">
        <f t="shared" si="52"/>
        <v>8.4745762711864403E-2</v>
      </c>
      <c r="BR35" s="288">
        <f t="shared" si="52"/>
        <v>8.1311491433580838E-2</v>
      </c>
      <c r="BS35" s="288">
        <f t="shared" si="52"/>
        <v>7.8052613677679641E-2</v>
      </c>
      <c r="BT35" s="288">
        <f t="shared" si="52"/>
        <v>7.4958676987798803E-2</v>
      </c>
      <c r="BU35" s="288">
        <f t="shared" si="52"/>
        <v>7.2019912342405706E-2</v>
      </c>
      <c r="BV35" s="288">
        <f t="shared" si="53"/>
        <v>6.922718844514486E-2</v>
      </c>
      <c r="BW35" s="288">
        <f t="shared" si="53"/>
        <v>6.6571968749687391E-2</v>
      </c>
      <c r="BX35" s="288">
        <f t="shared" si="53"/>
        <v>6.4046271145254144E-2</v>
      </c>
      <c r="BY35" s="288">
        <f t="shared" si="53"/>
        <v>6.164263020905697E-2</v>
      </c>
      <c r="BZ35" s="288">
        <f t="shared" si="53"/>
        <v>5.935406191819307E-2</v>
      </c>
      <c r="CA35" s="290">
        <f t="shared" si="53"/>
        <v>5.7174030704731135E-2</v>
      </c>
      <c r="CB35" s="242"/>
      <c r="CF35" s="268"/>
      <c r="CG35" s="268"/>
      <c r="CI35" s="268"/>
      <c r="CK35" s="238"/>
      <c r="CQ35" s="238"/>
    </row>
    <row r="36" spans="2:95">
      <c r="B36" s="274">
        <f t="shared" si="19"/>
        <v>8.5</v>
      </c>
      <c r="C36" s="234"/>
      <c r="D36" s="272">
        <f t="shared" si="46"/>
        <v>0.99996565353062628</v>
      </c>
      <c r="E36" s="288">
        <f t="shared" si="46"/>
        <v>0.99972529429120838</v>
      </c>
      <c r="F36" s="288">
        <f t="shared" si="46"/>
        <v>0.99907347272336755</v>
      </c>
      <c r="G36" s="288">
        <f t="shared" si="46"/>
        <v>0.99780657215971402</v>
      </c>
      <c r="H36" s="288">
        <f t="shared" si="46"/>
        <v>0.99572489882260551</v>
      </c>
      <c r="I36" s="288">
        <f t="shared" si="46"/>
        <v>0.9926355453636263</v>
      </c>
      <c r="J36" s="288">
        <f t="shared" si="46"/>
        <v>0.98835593789330611</v>
      </c>
      <c r="K36" s="288">
        <f t="shared" si="46"/>
        <v>0.98271792615113818</v>
      </c>
      <c r="L36" s="288">
        <f t="shared" si="46"/>
        <v>0.97557222160858714</v>
      </c>
      <c r="M36" s="288">
        <f t="shared" si="46"/>
        <v>0.96679293550450141</v>
      </c>
      <c r="N36" s="288">
        <f t="shared" si="47"/>
        <v>0.95628192604289208</v>
      </c>
      <c r="O36" s="288">
        <f t="shared" si="47"/>
        <v>0.94397263958805666</v>
      </c>
      <c r="P36" s="288">
        <f t="shared" si="47"/>
        <v>0.92983313204770768</v>
      </c>
      <c r="Q36" s="288">
        <f t="shared" si="47"/>
        <v>0.91386798857897522</v>
      </c>
      <c r="R36" s="288">
        <f t="shared" si="47"/>
        <v>0.89611892317075259</v>
      </c>
      <c r="S36" s="288">
        <f t="shared" si="47"/>
        <v>0.87666393062346104</v>
      </c>
      <c r="T36" s="288">
        <f t="shared" si="47"/>
        <v>0.85561497326203206</v>
      </c>
      <c r="U36" s="288">
        <f t="shared" si="47"/>
        <v>0.83311430097589523</v>
      </c>
      <c r="V36" s="288">
        <f t="shared" si="47"/>
        <v>0.80932961175694162</v>
      </c>
      <c r="W36" s="288">
        <f t="shared" si="47"/>
        <v>0.78444834743733038</v>
      </c>
      <c r="X36" s="288">
        <f t="shared" si="48"/>
        <v>0.75867147560096404</v>
      </c>
      <c r="Y36" s="288">
        <f t="shared" si="48"/>
        <v>0.73220712832626655</v>
      </c>
      <c r="Z36" s="288">
        <f t="shared" si="48"/>
        <v>0.70526445173960983</v>
      </c>
      <c r="AA36" s="288">
        <f t="shared" si="48"/>
        <v>0.67804797261862038</v>
      </c>
      <c r="AB36" s="288">
        <f t="shared" si="48"/>
        <v>0.65075271843735905</v>
      </c>
      <c r="AC36" s="288">
        <f t="shared" si="48"/>
        <v>0.62356024597186166</v>
      </c>
      <c r="AD36" s="288">
        <f t="shared" si="48"/>
        <v>0.59663565134825169</v>
      </c>
      <c r="AE36" s="288">
        <f t="shared" si="48"/>
        <v>0.57012555991366309</v>
      </c>
      <c r="AF36" s="288">
        <f t="shared" si="48"/>
        <v>0.5441570335522431</v>
      </c>
      <c r="AG36" s="288">
        <f t="shared" si="48"/>
        <v>0.51883728912004645</v>
      </c>
      <c r="AH36" s="288">
        <f t="shared" si="49"/>
        <v>0.49425409494371669</v>
      </c>
      <c r="AI36" s="288">
        <f t="shared" si="49"/>
        <v>0.47047670120468082</v>
      </c>
      <c r="AJ36" s="288">
        <f t="shared" si="49"/>
        <v>0.44755716163766468</v>
      </c>
      <c r="AK36" s="288">
        <f t="shared" si="49"/>
        <v>0.42553191489361702</v>
      </c>
      <c r="AL36" s="288">
        <f t="shared" si="49"/>
        <v>0.40442351076938116</v>
      </c>
      <c r="AM36" s="288">
        <f t="shared" si="49"/>
        <v>0.3842423863227542</v>
      </c>
      <c r="AN36" s="288">
        <f t="shared" si="49"/>
        <v>0.36498861732145121</v>
      </c>
      <c r="AO36" s="288">
        <f t="shared" si="49"/>
        <v>0.34665358983676303</v>
      </c>
      <c r="AP36" s="288">
        <f t="shared" si="49"/>
        <v>0.32922155402725556</v>
      </c>
      <c r="AQ36" s="288">
        <f t="shared" si="49"/>
        <v>0.31267103672118629</v>
      </c>
      <c r="AR36" s="288">
        <f t="shared" si="50"/>
        <v>0.29697610114596174</v>
      </c>
      <c r="AS36" s="288">
        <f t="shared" si="50"/>
        <v>0.28210745118530495</v>
      </c>
      <c r="AT36" s="288">
        <f t="shared" si="50"/>
        <v>0.26803338414992789</v>
      </c>
      <c r="AU36" s="288">
        <f t="shared" si="50"/>
        <v>0.25472060058689944</v>
      </c>
      <c r="AV36" s="288">
        <f t="shared" si="50"/>
        <v>0.2421348825103074</v>
      </c>
      <c r="AW36" s="288">
        <f t="shared" si="50"/>
        <v>0.23024165297854343</v>
      </c>
      <c r="AX36" s="288">
        <f t="shared" si="50"/>
        <v>0.21900643049997756</v>
      </c>
      <c r="AY36" s="288">
        <f t="shared" si="50"/>
        <v>0.20839519159802167</v>
      </c>
      <c r="AZ36" s="288">
        <f t="shared" si="50"/>
        <v>0.198374654236117</v>
      </c>
      <c r="BA36" s="288">
        <f t="shared" si="50"/>
        <v>0.1889124938717833</v>
      </c>
      <c r="BB36" s="288">
        <f t="shared" si="51"/>
        <v>0.17997750281214847</v>
      </c>
      <c r="BC36" s="288">
        <f t="shared" si="51"/>
        <v>0.1715397023805367</v>
      </c>
      <c r="BD36" s="288">
        <f t="shared" si="51"/>
        <v>0.16357041624434349</v>
      </c>
      <c r="BE36" s="288">
        <f t="shared" si="51"/>
        <v>0.15604231214497039</v>
      </c>
      <c r="BF36" s="288">
        <f t="shared" si="51"/>
        <v>0.14892941823972355</v>
      </c>
      <c r="BG36" s="288">
        <f t="shared" si="51"/>
        <v>0.14220711932893756</v>
      </c>
      <c r="BH36" s="288">
        <f t="shared" si="51"/>
        <v>0.13585213740546404</v>
      </c>
      <c r="BI36" s="288">
        <f t="shared" si="51"/>
        <v>0.12984250022794455</v>
      </c>
      <c r="BJ36" s="288">
        <f t="shared" si="51"/>
        <v>0.12415750097965461</v>
      </c>
      <c r="BK36" s="288">
        <f t="shared" si="51"/>
        <v>0.11877765152430916</v>
      </c>
      <c r="BL36" s="288">
        <f t="shared" si="52"/>
        <v>0.11368463130084645</v>
      </c>
      <c r="BM36" s="288">
        <f t="shared" si="52"/>
        <v>0.10886123350213876</v>
      </c>
      <c r="BN36" s="288">
        <f t="shared" si="52"/>
        <v>0.10429130984912599</v>
      </c>
      <c r="BO36" s="288">
        <f t="shared" si="52"/>
        <v>9.9959714993753779E-2</v>
      </c>
      <c r="BP36" s="288">
        <f t="shared" si="52"/>
        <v>9.5852251353653328E-2</v>
      </c>
      <c r="BQ36" s="288">
        <f t="shared" si="52"/>
        <v>9.1955614991778636E-2</v>
      </c>
      <c r="BR36" s="288">
        <f t="shared" si="52"/>
        <v>8.8257342999036328E-2</v>
      </c>
      <c r="BS36" s="288">
        <f t="shared" si="52"/>
        <v>8.4745762711864403E-2</v>
      </c>
      <c r="BT36" s="288">
        <f t="shared" si="52"/>
        <v>8.1409942995019691E-2</v>
      </c>
      <c r="BU36" s="288">
        <f t="shared" si="52"/>
        <v>7.8239647738447382E-2</v>
      </c>
      <c r="BV36" s="288">
        <f t="shared" si="53"/>
        <v>7.5225291652555384E-2</v>
      </c>
      <c r="BW36" s="288">
        <f t="shared" si="53"/>
        <v>7.2357898395548653E-2</v>
      </c>
      <c r="BX36" s="288">
        <f t="shared" si="53"/>
        <v>6.9629061027204023E-2</v>
      </c>
      <c r="BY36" s="288">
        <f t="shared" si="53"/>
        <v>6.7030904753491216E-2</v>
      </c>
      <c r="BZ36" s="288">
        <f t="shared" si="53"/>
        <v>6.4556051904024941E-2</v>
      </c>
      <c r="CA36" s="290">
        <f t="shared" si="53"/>
        <v>6.2197589068010962E-2</v>
      </c>
      <c r="CB36" s="242"/>
      <c r="CF36" s="268"/>
      <c r="CG36" s="268"/>
      <c r="CI36" s="268"/>
      <c r="CK36" s="238"/>
      <c r="CQ36" s="238"/>
    </row>
    <row r="37" spans="2:95">
      <c r="B37" s="274">
        <f t="shared" si="19"/>
        <v>8.75</v>
      </c>
      <c r="C37" s="234"/>
      <c r="D37" s="272">
        <f t="shared" si="46"/>
        <v>0.99996851411092602</v>
      </c>
      <c r="E37" s="288">
        <f t="shared" si="46"/>
        <v>0.99974816839140224</v>
      </c>
      <c r="F37" s="288">
        <f t="shared" si="46"/>
        <v>0.99915057636132087</v>
      </c>
      <c r="G37" s="288">
        <f t="shared" si="46"/>
        <v>0.99798889235453214</v>
      </c>
      <c r="H37" s="288">
        <f t="shared" si="46"/>
        <v>0.99607957020473359</v>
      </c>
      <c r="I37" s="288">
        <f t="shared" si="46"/>
        <v>0.99324477721201121</v>
      </c>
      <c r="J37" s="288">
        <f t="shared" si="46"/>
        <v>0.98931539374752664</v>
      </c>
      <c r="K37" s="288">
        <f t="shared" si="46"/>
        <v>0.98413448958137273</v>
      </c>
      <c r="L37" s="288">
        <f t="shared" si="46"/>
        <v>0.97756112464559841</v>
      </c>
      <c r="M37" s="288">
        <f t="shared" si="46"/>
        <v>0.96947427925381569</v>
      </c>
      <c r="N37" s="288">
        <f t="shared" si="47"/>
        <v>0.95977668263123206</v>
      </c>
      <c r="O37" s="288">
        <f t="shared" si="47"/>
        <v>0.94839828525166003</v>
      </c>
      <c r="P37" s="288">
        <f t="shared" si="47"/>
        <v>0.9352991157469468</v>
      </c>
      <c r="Q37" s="288">
        <f t="shared" si="47"/>
        <v>0.92047128129602351</v>
      </c>
      <c r="R37" s="288">
        <f t="shared" si="47"/>
        <v>0.90393991303202004</v>
      </c>
      <c r="S37" s="288">
        <f t="shared" si="47"/>
        <v>0.8857629233585238</v>
      </c>
      <c r="T37" s="288">
        <f t="shared" si="47"/>
        <v>0.86602952478965323</v>
      </c>
      <c r="U37" s="288">
        <f t="shared" si="47"/>
        <v>0.84485755159788922</v>
      </c>
      <c r="V37" s="288">
        <f t="shared" si="47"/>
        <v>0.82238971586075671</v>
      </c>
      <c r="W37" s="288">
        <f t="shared" si="47"/>
        <v>0.79878900791802521</v>
      </c>
      <c r="X37" s="288">
        <f t="shared" si="48"/>
        <v>0.77423350882626207</v>
      </c>
      <c r="Y37" s="288">
        <f t="shared" si="48"/>
        <v>0.74891091322589765</v>
      </c>
      <c r="Z37" s="288">
        <f t="shared" si="48"/>
        <v>0.723013063138644</v>
      </c>
      <c r="AA37" s="288">
        <f t="shared" si="48"/>
        <v>0.69673076860575844</v>
      </c>
      <c r="AB37" s="288">
        <f t="shared" si="48"/>
        <v>0.67024914509037614</v>
      </c>
      <c r="AC37" s="288">
        <f t="shared" si="48"/>
        <v>0.64374363763576792</v>
      </c>
      <c r="AD37" s="288">
        <f t="shared" si="48"/>
        <v>0.61737683602111249</v>
      </c>
      <c r="AE37" s="288">
        <f t="shared" si="48"/>
        <v>0.59129612109744567</v>
      </c>
      <c r="AF37" s="288">
        <f t="shared" si="48"/>
        <v>0.56563212605779811</v>
      </c>
      <c r="AG37" s="288">
        <f t="shared" si="48"/>
        <v>0.54049795146549007</v>
      </c>
      <c r="AH37" s="288">
        <f t="shared" si="49"/>
        <v>0.51598904117502287</v>
      </c>
      <c r="AI37" s="288">
        <f t="shared" si="49"/>
        <v>0.49218360773167352</v>
      </c>
      <c r="AJ37" s="288">
        <f t="shared" si="49"/>
        <v>0.46914348897225566</v>
      </c>
      <c r="AK37" s="288">
        <f t="shared" si="49"/>
        <v>0.44691532010081786</v>
      </c>
      <c r="AL37" s="288">
        <f t="shared" si="49"/>
        <v>0.42553191489361702</v>
      </c>
      <c r="AM37" s="288">
        <f t="shared" si="49"/>
        <v>0.40501376338316614</v>
      </c>
      <c r="AN37" s="288">
        <f t="shared" si="49"/>
        <v>0.38537056919345419</v>
      </c>
      <c r="AO37" s="288">
        <f t="shared" si="49"/>
        <v>0.36660276591633162</v>
      </c>
      <c r="AP37" s="288">
        <f t="shared" si="49"/>
        <v>0.34870296728942507</v>
      </c>
      <c r="AQ37" s="288">
        <f t="shared" si="49"/>
        <v>0.33165731966737577</v>
      </c>
      <c r="AR37" s="288">
        <f t="shared" si="50"/>
        <v>0.31544673695641534</v>
      </c>
      <c r="AS37" s="288">
        <f t="shared" si="50"/>
        <v>0.30004800768122902</v>
      </c>
      <c r="AT37" s="288">
        <f t="shared" si="50"/>
        <v>0.28543477124774769</v>
      </c>
      <c r="AU37" s="288">
        <f t="shared" si="50"/>
        <v>0.27157836595651957</v>
      </c>
      <c r="AV37" s="288">
        <f t="shared" si="50"/>
        <v>0.25844855517462229</v>
      </c>
      <c r="AW37" s="288">
        <f t="shared" si="50"/>
        <v>0.24601414057721371</v>
      </c>
      <c r="AX37" s="288">
        <f t="shared" si="50"/>
        <v>0.23424347280221572</v>
      </c>
      <c r="AY37" s="288">
        <f t="shared" si="50"/>
        <v>0.22310487047689023</v>
      </c>
      <c r="AZ37" s="288">
        <f t="shared" si="50"/>
        <v>0.21256695859195643</v>
      </c>
      <c r="BA37" s="288">
        <f t="shared" si="50"/>
        <v>0.2025989367985824</v>
      </c>
      <c r="BB37" s="288">
        <f t="shared" si="51"/>
        <v>0.19317078753083128</v>
      </c>
      <c r="BC37" s="288">
        <f t="shared" si="51"/>
        <v>0.18425343302285643</v>
      </c>
      <c r="BD37" s="288">
        <f t="shared" si="51"/>
        <v>0.17581884937993869</v>
      </c>
      <c r="BE37" s="288">
        <f t="shared" si="51"/>
        <v>0.16784014493559243</v>
      </c>
      <c r="BF37" s="288">
        <f t="shared" si="51"/>
        <v>0.16029160922494567</v>
      </c>
      <c r="BG37" s="288">
        <f t="shared" si="51"/>
        <v>0.15314873805439844</v>
      </c>
      <c r="BH37" s="288">
        <f t="shared" si="51"/>
        <v>0.14638823936517181</v>
      </c>
      <c r="BI37" s="288">
        <f t="shared" si="51"/>
        <v>0.139988023881712</v>
      </c>
      <c r="BJ37" s="288">
        <f t="shared" si="51"/>
        <v>0.13392718390724709</v>
      </c>
      <c r="BK37" s="288">
        <f t="shared" si="51"/>
        <v>0.12818596307646313</v>
      </c>
      <c r="BL37" s="288">
        <f t="shared" si="52"/>
        <v>0.12274571939512625</v>
      </c>
      <c r="BM37" s="288">
        <f t="shared" si="52"/>
        <v>0.11758888348292375</v>
      </c>
      <c r="BN37" s="288">
        <f t="shared" si="52"/>
        <v>0.11269891358247307</v>
      </c>
      <c r="BO37" s="288">
        <f t="shared" si="52"/>
        <v>0.10806024859780013</v>
      </c>
      <c r="BP37" s="288">
        <f t="shared" si="52"/>
        <v>0.10365826017316672</v>
      </c>
      <c r="BQ37" s="288">
        <f t="shared" si="52"/>
        <v>9.9479204611844313E-2</v>
      </c>
      <c r="BR37" s="288">
        <f t="shared" si="52"/>
        <v>9.5510175258665495E-2</v>
      </c>
      <c r="BS37" s="288">
        <f t="shared" si="52"/>
        <v>9.1739055824846982E-2</v>
      </c>
      <c r="BT37" s="288">
        <f t="shared" si="52"/>
        <v>8.8154475014143266E-2</v>
      </c>
      <c r="BU37" s="288">
        <f t="shared" si="52"/>
        <v>8.4745762711864403E-2</v>
      </c>
      <c r="BV37" s="288">
        <f t="shared" si="53"/>
        <v>8.1502907919202713E-2</v>
      </c>
      <c r="BW37" s="288">
        <f t="shared" si="53"/>
        <v>7.8416518551656503E-2</v>
      </c>
      <c r="BX37" s="288">
        <f t="shared" si="53"/>
        <v>7.5477783169537002E-2</v>
      </c>
      <c r="BY37" s="288">
        <f t="shared" si="53"/>
        <v>7.267843466840157E-2</v>
      </c>
      <c r="BZ37" s="288">
        <f t="shared" si="53"/>
        <v>7.0010715925907033E-2</v>
      </c>
      <c r="CA37" s="290">
        <f t="shared" si="53"/>
        <v>6.7467347377451747E-2</v>
      </c>
      <c r="CB37" s="242"/>
      <c r="CF37" s="268"/>
      <c r="CG37" s="268"/>
      <c r="CI37" s="268"/>
      <c r="CK37" s="238"/>
      <c r="CQ37" s="238"/>
    </row>
    <row r="38" spans="2:95">
      <c r="B38" s="274">
        <f t="shared" si="19"/>
        <v>9</v>
      </c>
      <c r="C38" s="234"/>
      <c r="D38" s="272">
        <f t="shared" si="46"/>
        <v>0.99997106565203553</v>
      </c>
      <c r="E38" s="288">
        <f t="shared" si="46"/>
        <v>0.99976857208979397</v>
      </c>
      <c r="F38" s="288">
        <f t="shared" si="46"/>
        <v>0.99921935987509769</v>
      </c>
      <c r="G38" s="288">
        <f t="shared" si="46"/>
        <v>0.99815157116451014</v>
      </c>
      <c r="H38" s="288">
        <f t="shared" si="46"/>
        <v>0.99639613665849791</v>
      </c>
      <c r="I38" s="288">
        <f t="shared" si="46"/>
        <v>0.99378881987577639</v>
      </c>
      <c r="J38" s="288">
        <f t="shared" si="46"/>
        <v>0.9901727645188092</v>
      </c>
      <c r="K38" s="288">
        <f t="shared" si="46"/>
        <v>0.98540145985401462</v>
      </c>
      <c r="L38" s="288">
        <f t="shared" si="46"/>
        <v>0.97934200459066567</v>
      </c>
      <c r="M38" s="288">
        <f t="shared" si="46"/>
        <v>0.97187851518560175</v>
      </c>
      <c r="N38" s="288">
        <f t="shared" si="47"/>
        <v>0.96291549413501998</v>
      </c>
      <c r="O38" s="288">
        <f t="shared" si="47"/>
        <v>0.95238095238095233</v>
      </c>
      <c r="P38" s="288">
        <f t="shared" si="47"/>
        <v>0.94022907201349404</v>
      </c>
      <c r="Q38" s="288">
        <f t="shared" si="47"/>
        <v>0.92644220458932014</v>
      </c>
      <c r="R38" s="288">
        <f t="shared" si="47"/>
        <v>0.91103202846975084</v>
      </c>
      <c r="S38" s="288">
        <f t="shared" si="47"/>
        <v>0.89403973509933776</v>
      </c>
      <c r="T38" s="288">
        <f t="shared" si="47"/>
        <v>0.87553517594304964</v>
      </c>
      <c r="U38" s="288">
        <f t="shared" si="47"/>
        <v>0.85561497326203217</v>
      </c>
      <c r="V38" s="288">
        <f t="shared" si="47"/>
        <v>0.83439967164827733</v>
      </c>
      <c r="W38" s="288">
        <f t="shared" si="47"/>
        <v>0.81203007518796988</v>
      </c>
      <c r="X38" s="288">
        <f t="shared" si="48"/>
        <v>0.78866296980899575</v>
      </c>
      <c r="Y38" s="288">
        <f t="shared" si="48"/>
        <v>0.76446646611219249</v>
      </c>
      <c r="Z38" s="288">
        <f t="shared" si="48"/>
        <v>0.73961521176193634</v>
      </c>
      <c r="AA38" s="288">
        <f t="shared" si="48"/>
        <v>0.7142857142857143</v>
      </c>
      <c r="AB38" s="288">
        <f t="shared" si="48"/>
        <v>0.68865198764571089</v>
      </c>
      <c r="AC38" s="288">
        <f t="shared" si="48"/>
        <v>0.66288169403099584</v>
      </c>
      <c r="AD38" s="288">
        <f t="shared" si="48"/>
        <v>0.63713290194126426</v>
      </c>
      <c r="AE38" s="288">
        <f t="shared" si="48"/>
        <v>0.61155152887882225</v>
      </c>
      <c r="AF38" s="288">
        <f t="shared" si="48"/>
        <v>0.58626948718383687</v>
      </c>
      <c r="AG38" s="288">
        <f t="shared" si="48"/>
        <v>0.56140350877192979</v>
      </c>
      <c r="AH38" s="288">
        <f t="shared" si="49"/>
        <v>0.53705459122624355</v>
      </c>
      <c r="AI38" s="288">
        <f t="shared" si="49"/>
        <v>0.51330798479087447</v>
      </c>
      <c r="AJ38" s="288">
        <f t="shared" si="49"/>
        <v>0.49023362696284944</v>
      </c>
      <c r="AK38" s="288">
        <f t="shared" si="49"/>
        <v>0.46788692732589626</v>
      </c>
      <c r="AL38" s="288">
        <f t="shared" si="49"/>
        <v>0.44630980822625427</v>
      </c>
      <c r="AM38" s="288">
        <f t="shared" si="49"/>
        <v>0.42553191489361702</v>
      </c>
      <c r="AN38" s="288">
        <f t="shared" si="49"/>
        <v>0.40557191977749874</v>
      </c>
      <c r="AO38" s="288">
        <f t="shared" si="49"/>
        <v>0.38643885857411214</v>
      </c>
      <c r="AP38" s="288">
        <f t="shared" si="49"/>
        <v>0.36813344837503592</v>
      </c>
      <c r="AQ38" s="288">
        <f t="shared" si="49"/>
        <v>0.35064935064935066</v>
      </c>
      <c r="AR38" s="288">
        <f t="shared" si="50"/>
        <v>0.3339743527797373</v>
      </c>
      <c r="AS38" s="288">
        <f t="shared" si="50"/>
        <v>0.31809145129224653</v>
      </c>
      <c r="AT38" s="288">
        <f t="shared" si="50"/>
        <v>0.30297982764515591</v>
      </c>
      <c r="AU38" s="288">
        <f t="shared" si="50"/>
        <v>0.28861571352218063</v>
      </c>
      <c r="AV38" s="288">
        <f t="shared" si="50"/>
        <v>0.27497314715359827</v>
      </c>
      <c r="AW38" s="288">
        <f t="shared" si="50"/>
        <v>0.26202462546248556</v>
      </c>
      <c r="AX38" s="288">
        <f t="shared" si="50"/>
        <v>0.2497416590188101</v>
      </c>
      <c r="AY38" s="288">
        <f t="shared" si="50"/>
        <v>0.23809523809523808</v>
      </c>
      <c r="AZ38" s="288">
        <f t="shared" si="50"/>
        <v>0.22705621875184775</v>
      </c>
      <c r="BA38" s="288">
        <f t="shared" si="50"/>
        <v>0.2165956380045124</v>
      </c>
      <c r="BB38" s="288">
        <f t="shared" si="51"/>
        <v>0.20668496689811078</v>
      </c>
      <c r="BC38" s="288">
        <f t="shared" si="51"/>
        <v>0.19729630982827912</v>
      </c>
      <c r="BD38" s="288">
        <f t="shared" si="51"/>
        <v>0.1884025578263927</v>
      </c>
      <c r="BE38" s="288">
        <f t="shared" si="51"/>
        <v>0.17997750281214847</v>
      </c>
      <c r="BF38" s="288">
        <f t="shared" si="51"/>
        <v>0.17199591907830891</v>
      </c>
      <c r="BG38" s="288">
        <f t="shared" si="51"/>
        <v>0.16443361753958588</v>
      </c>
      <c r="BH38" s="288">
        <f t="shared" si="51"/>
        <v>0.15726747757709789</v>
      </c>
      <c r="BI38" s="288">
        <f t="shared" si="51"/>
        <v>0.15047546065693684</v>
      </c>
      <c r="BJ38" s="288">
        <f t="shared" si="51"/>
        <v>0.14403660930486498</v>
      </c>
      <c r="BK38" s="288">
        <f t="shared" si="51"/>
        <v>0.13793103448275862</v>
      </c>
      <c r="BL38" s="288">
        <f t="shared" si="52"/>
        <v>0.13213989393632355</v>
      </c>
      <c r="BM38" s="288">
        <f t="shared" si="52"/>
        <v>0.12664536366567969</v>
      </c>
      <c r="BN38" s="288">
        <f t="shared" si="52"/>
        <v>0.12143060430699175</v>
      </c>
      <c r="BO38" s="288">
        <f t="shared" si="52"/>
        <v>0.11647972389991371</v>
      </c>
      <c r="BP38" s="288">
        <f t="shared" si="52"/>
        <v>0.11177773824732765</v>
      </c>
      <c r="BQ38" s="288">
        <f t="shared" si="52"/>
        <v>0.1073105298457411</v>
      </c>
      <c r="BR38" s="288">
        <f t="shared" si="52"/>
        <v>0.10306480617195957</v>
      </c>
      <c r="BS38" s="288">
        <f t="shared" si="52"/>
        <v>9.9028057949752432E-2</v>
      </c>
      <c r="BT38" s="288">
        <f t="shared" si="52"/>
        <v>9.5188517885030119E-2</v>
      </c>
      <c r="BU38" s="288">
        <f t="shared" si="52"/>
        <v>9.1535120245788734E-2</v>
      </c>
      <c r="BV38" s="288">
        <f t="shared" si="53"/>
        <v>8.8057461570409015E-2</v>
      </c>
      <c r="BW38" s="288">
        <f t="shared" si="53"/>
        <v>8.4745762711864403E-2</v>
      </c>
      <c r="BX38" s="288">
        <f t="shared" si="53"/>
        <v>8.1590832363419158E-2</v>
      </c>
      <c r="BY38" s="288">
        <f t="shared" si="53"/>
        <v>7.8584032161242795E-2</v>
      </c>
      <c r="BZ38" s="288">
        <f t="shared" si="53"/>
        <v>7.5717243419106767E-2</v>
      </c>
      <c r="CA38" s="290">
        <f t="shared" si="53"/>
        <v>7.2982835518313277E-2</v>
      </c>
      <c r="CB38" s="242"/>
      <c r="CF38" s="268"/>
      <c r="CG38" s="268"/>
      <c r="CI38" s="268"/>
      <c r="CK38" s="238"/>
      <c r="CQ38" s="238"/>
    </row>
    <row r="39" spans="2:95">
      <c r="B39" s="274">
        <f t="shared" si="19"/>
        <v>9.25</v>
      </c>
      <c r="C39" s="234"/>
      <c r="D39" s="272">
        <f t="shared" si="46"/>
        <v>0.99997334878445787</v>
      </c>
      <c r="E39" s="288">
        <f t="shared" si="46"/>
        <v>0.99978683004433144</v>
      </c>
      <c r="F39" s="288">
        <f t="shared" si="46"/>
        <v>0.99928091545676667</v>
      </c>
      <c r="G39" s="288">
        <f t="shared" si="46"/>
        <v>0.99829718128318423</v>
      </c>
      <c r="H39" s="288">
        <f t="shared" si="46"/>
        <v>0.9966795712465627</v>
      </c>
      <c r="I39" s="288">
        <f t="shared" si="46"/>
        <v>0.99427613525280401</v>
      </c>
      <c r="J39" s="288">
        <f t="shared" si="46"/>
        <v>0.99094120144259967</v>
      </c>
      <c r="K39" s="288">
        <f t="shared" si="46"/>
        <v>0.98653791470117369</v>
      </c>
      <c r="L39" s="288">
        <f t="shared" si="46"/>
        <v>0.98094104728862841</v>
      </c>
      <c r="M39" s="288">
        <f t="shared" si="46"/>
        <v>0.97403995923312114</v>
      </c>
      <c r="N39" s="288">
        <f t="shared" si="47"/>
        <v>0.96574156074802886</v>
      </c>
      <c r="O39" s="288">
        <f t="shared" si="47"/>
        <v>0.95597310977658156</v>
      </c>
      <c r="P39" s="288">
        <f t="shared" si="47"/>
        <v>0.94468466838682974</v>
      </c>
      <c r="Q39" s="288">
        <f t="shared" si="47"/>
        <v>0.9318510451198917</v>
      </c>
      <c r="R39" s="288">
        <f t="shared" si="47"/>
        <v>0.91747306837169496</v>
      </c>
      <c r="S39" s="288">
        <f t="shared" si="47"/>
        <v>0.90157806865470802</v>
      </c>
      <c r="T39" s="288">
        <f t="shared" si="47"/>
        <v>0.88421949339754957</v>
      </c>
      <c r="U39" s="288">
        <f t="shared" si="47"/>
        <v>0.86547563313524545</v>
      </c>
      <c r="V39" s="288">
        <f t="shared" si="47"/>
        <v>0.84544749731484081</v>
      </c>
      <c r="W39" s="288">
        <f t="shared" si="47"/>
        <v>0.82425593543032882</v>
      </c>
      <c r="X39" s="288">
        <f t="shared" si="48"/>
        <v>0.80203814878707824</v>
      </c>
      <c r="Y39" s="288">
        <f t="shared" si="48"/>
        <v>0.77894377481630928</v>
      </c>
      <c r="Z39" s="288">
        <f t="shared" si="48"/>
        <v>0.75513074616363385</v>
      </c>
      <c r="AA39" s="288">
        <f t="shared" si="48"/>
        <v>0.73076112956139627</v>
      </c>
      <c r="AB39" s="288">
        <f t="shared" si="48"/>
        <v>0.70599713575876255</v>
      </c>
      <c r="AC39" s="288">
        <f t="shared" si="48"/>
        <v>0.6809974643925969</v>
      </c>
      <c r="AD39" s="288">
        <f t="shared" si="48"/>
        <v>0.65591411077105155</v>
      </c>
      <c r="AE39" s="288">
        <f t="shared" si="48"/>
        <v>0.6308897197844765</v>
      </c>
      <c r="AF39" s="288">
        <f t="shared" si="48"/>
        <v>0.60605553006377866</v>
      </c>
      <c r="AG39" s="288">
        <f t="shared" si="48"/>
        <v>0.58152991286178435</v>
      </c>
      <c r="AH39" s="288">
        <f t="shared" si="49"/>
        <v>0.55741747766197847</v>
      </c>
      <c r="AI39" s="288">
        <f t="shared" si="49"/>
        <v>0.53380869176665979</v>
      </c>
      <c r="AJ39" s="288">
        <f t="shared" si="49"/>
        <v>0.51077994452844888</v>
      </c>
      <c r="AK39" s="288">
        <f t="shared" si="49"/>
        <v>0.48839397802019802</v>
      </c>
      <c r="AL39" s="288">
        <f t="shared" si="49"/>
        <v>0.46670060372647343</v>
      </c>
      <c r="AM39" s="288">
        <f t="shared" si="49"/>
        <v>0.44573762788348326</v>
      </c>
      <c r="AN39" s="288">
        <f t="shared" si="49"/>
        <v>0.42553191489361702</v>
      </c>
      <c r="AO39" s="288">
        <f t="shared" si="49"/>
        <v>0.40610052737829327</v>
      </c>
      <c r="AP39" s="288">
        <f t="shared" si="49"/>
        <v>0.38745189168970651</v>
      </c>
      <c r="AQ39" s="288">
        <f t="shared" si="49"/>
        <v>0.36958694811496284</v>
      </c>
      <c r="AR39" s="288">
        <f t="shared" si="50"/>
        <v>0.35250025487773351</v>
      </c>
      <c r="AS39" s="288">
        <f t="shared" si="50"/>
        <v>0.33618102392086646</v>
      </c>
      <c r="AT39" s="288">
        <f t="shared" si="50"/>
        <v>0.32061407409259401</v>
      </c>
      <c r="AU39" s="288">
        <f t="shared" si="50"/>
        <v>0.30578069367358196</v>
      </c>
      <c r="AV39" s="288">
        <f t="shared" si="50"/>
        <v>0.29165940920155409</v>
      </c>
      <c r="AW39" s="288">
        <f t="shared" si="50"/>
        <v>0.27822666137893381</v>
      </c>
      <c r="AX39" s="288">
        <f t="shared" si="50"/>
        <v>0.2654573916333729</v>
      </c>
      <c r="AY39" s="288">
        <f t="shared" si="50"/>
        <v>0.25332554480520841</v>
      </c>
      <c r="AZ39" s="288">
        <f t="shared" si="50"/>
        <v>0.24180449462392795</v>
      </c>
      <c r="BA39" s="288">
        <f t="shared" si="50"/>
        <v>0.23086739926072114</v>
      </c>
      <c r="BB39" s="288">
        <f t="shared" si="51"/>
        <v>0.22048749444188953</v>
      </c>
      <c r="BC39" s="288">
        <f t="shared" si="51"/>
        <v>0.21063833149390909</v>
      </c>
      <c r="BD39" s="288">
        <f t="shared" si="51"/>
        <v>0.2012939673605168</v>
      </c>
      <c r="BE39" s="288">
        <f t="shared" si="51"/>
        <v>0.19242911316137176</v>
      </c>
      <c r="BF39" s="288">
        <f t="shared" si="51"/>
        <v>0.18401924730958177</v>
      </c>
      <c r="BG39" s="288">
        <f t="shared" si="51"/>
        <v>0.17604069861601629</v>
      </c>
      <c r="BH39" s="288">
        <f t="shared" si="51"/>
        <v>0.16847070421406252</v>
      </c>
      <c r="BI39" s="288">
        <f t="shared" si="51"/>
        <v>0.16128744656177182</v>
      </c>
      <c r="BJ39" s="288">
        <f t="shared" si="51"/>
        <v>0.15447007323399548</v>
      </c>
      <c r="BK39" s="288">
        <f t="shared" si="51"/>
        <v>0.14799870271407409</v>
      </c>
      <c r="BL39" s="288">
        <f t="shared" si="52"/>
        <v>0.14185441893752151</v>
      </c>
      <c r="BM39" s="288">
        <f t="shared" si="52"/>
        <v>0.13601925693039502</v>
      </c>
      <c r="BN39" s="288">
        <f t="shared" si="52"/>
        <v>0.13047618152193191</v>
      </c>
      <c r="BO39" s="288">
        <f t="shared" si="52"/>
        <v>0.12520906079238181</v>
      </c>
      <c r="BP39" s="288">
        <f t="shared" si="52"/>
        <v>0.12020263563969109</v>
      </c>
      <c r="BQ39" s="288">
        <f t="shared" si="52"/>
        <v>0.11544248660923676</v>
      </c>
      <c r="BR39" s="288">
        <f t="shared" si="52"/>
        <v>0.1109149989254035</v>
      </c>
      <c r="BS39" s="288">
        <f t="shared" si="52"/>
        <v>0.10660732648869944</v>
      </c>
      <c r="BT39" s="288">
        <f t="shared" si="52"/>
        <v>0.10250735545371085</v>
      </c>
      <c r="BU39" s="288">
        <f t="shared" si="52"/>
        <v>9.8603667878131906E-2</v>
      </c>
      <c r="BV39" s="288">
        <f t="shared" si="53"/>
        <v>9.4885505828275638E-2</v>
      </c>
      <c r="BW39" s="288">
        <f t="shared" si="53"/>
        <v>9.1342736239080541E-2</v>
      </c>
      <c r="BX39" s="288">
        <f t="shared" si="53"/>
        <v>8.7965816754177181E-2</v>
      </c>
      <c r="BY39" s="288">
        <f t="shared" si="53"/>
        <v>8.4745762711864403E-2</v>
      </c>
      <c r="BZ39" s="288">
        <f t="shared" si="53"/>
        <v>8.1674115393933336E-2</v>
      </c>
      <c r="CA39" s="290">
        <f t="shared" si="53"/>
        <v>7.8742911614490069E-2</v>
      </c>
      <c r="CB39" s="242"/>
      <c r="CF39" s="268"/>
      <c r="CG39" s="268"/>
      <c r="CI39" s="268"/>
      <c r="CK39" s="238"/>
      <c r="CQ39" s="238"/>
    </row>
    <row r="40" spans="2:95">
      <c r="B40" s="274">
        <f t="shared" si="19"/>
        <v>9.5</v>
      </c>
      <c r="C40" s="234"/>
      <c r="D40" s="272">
        <f t="shared" si="46"/>
        <v>0.99997539789351297</v>
      </c>
      <c r="E40" s="288">
        <f t="shared" si="46"/>
        <v>0.99980321703703157</v>
      </c>
      <c r="F40" s="288">
        <f t="shared" si="46"/>
        <v>0.99933616774831568</v>
      </c>
      <c r="G40" s="288">
        <f t="shared" si="46"/>
        <v>0.99842790183120322</v>
      </c>
      <c r="H40" s="288">
        <f t="shared" si="46"/>
        <v>0.99693408974259978</v>
      </c>
      <c r="I40" s="288">
        <f t="shared" si="46"/>
        <v>0.99471390554641104</v>
      </c>
      <c r="J40" s="288">
        <f t="shared" si="46"/>
        <v>0.99163188611919562</v>
      </c>
      <c r="K40" s="288">
        <f t="shared" si="46"/>
        <v>0.98756011172862623</v>
      </c>
      <c r="L40" s="288">
        <f t="shared" si="46"/>
        <v>0.98238063310844015</v>
      </c>
      <c r="M40" s="288">
        <f t="shared" si="46"/>
        <v>0.97598804738358647</v>
      </c>
      <c r="N40" s="288">
        <f t="shared" si="47"/>
        <v>0.96829210403952082</v>
      </c>
      <c r="O40" s="288">
        <f t="shared" si="47"/>
        <v>0.95922020529745755</v>
      </c>
      <c r="P40" s="288">
        <f t="shared" si="47"/>
        <v>0.94871965552029425</v>
      </c>
      <c r="Q40" s="288">
        <f t="shared" si="47"/>
        <v>0.93675951407051306</v>
      </c>
      <c r="R40" s="288">
        <f t="shared" si="47"/>
        <v>0.92333191705964757</v>
      </c>
      <c r="S40" s="288">
        <f t="shared" si="47"/>
        <v>0.90845275621837829</v>
      </c>
      <c r="T40" s="288">
        <f t="shared" si="47"/>
        <v>0.89216163682199112</v>
      </c>
      <c r="U40" s="288">
        <f t="shared" si="47"/>
        <v>0.87452107890324682</v>
      </c>
      <c r="V40" s="288">
        <f t="shared" si="47"/>
        <v>0.85561497326203206</v>
      </c>
      <c r="W40" s="288">
        <f t="shared" si="47"/>
        <v>0.83554635156535506</v>
      </c>
      <c r="X40" s="288">
        <f t="shared" si="48"/>
        <v>0.8144345733947711</v>
      </c>
      <c r="Y40" s="288">
        <f t="shared" si="48"/>
        <v>0.79241206813888865</v>
      </c>
      <c r="Z40" s="288">
        <f t="shared" si="48"/>
        <v>0.76962079288950735</v>
      </c>
      <c r="AA40" s="288">
        <f t="shared" si="48"/>
        <v>0.74620857721012213</v>
      </c>
      <c r="AB40" s="288">
        <f t="shared" si="48"/>
        <v>0.7223255216989235</v>
      </c>
      <c r="AC40" s="288">
        <f t="shared" si="48"/>
        <v>0.69812060112265195</v>
      </c>
      <c r="AD40" s="288">
        <f t="shared" si="48"/>
        <v>0.67373859723331542</v>
      </c>
      <c r="AE40" s="288">
        <f t="shared" si="48"/>
        <v>0.64931745460741808</v>
      </c>
      <c r="AF40" s="288">
        <f t="shared" si="48"/>
        <v>0.62498611856990804</v>
      </c>
      <c r="AG40" s="288">
        <f t="shared" si="48"/>
        <v>0.60086288079542716</v>
      </c>
      <c r="AH40" s="288">
        <f t="shared" si="49"/>
        <v>0.57705422818523744</v>
      </c>
      <c r="AI40" s="288">
        <f t="shared" si="49"/>
        <v>0.55365416592673911</v>
      </c>
      <c r="AJ40" s="288">
        <f t="shared" si="49"/>
        <v>0.53074396720282391</v>
      </c>
      <c r="AK40" s="288">
        <f t="shared" si="49"/>
        <v>0.50839228998891905</v>
      </c>
      <c r="AL40" s="288">
        <f t="shared" si="49"/>
        <v>0.48665559529326208</v>
      </c>
      <c r="AM40" s="288">
        <f t="shared" si="49"/>
        <v>0.46557880017919928</v>
      </c>
      <c r="AN40" s="288">
        <f t="shared" si="49"/>
        <v>0.44519610185670105</v>
      </c>
      <c r="AO40" s="288">
        <f t="shared" si="49"/>
        <v>0.42553191489361697</v>
      </c>
      <c r="AP40" s="288">
        <f t="shared" si="49"/>
        <v>0.40660187110071561</v>
      </c>
      <c r="AQ40" s="288">
        <f t="shared" si="49"/>
        <v>0.3884138399682881</v>
      </c>
      <c r="AR40" s="288">
        <f t="shared" si="50"/>
        <v>0.37096893594883829</v>
      </c>
      <c r="AS40" s="288">
        <f t="shared" si="50"/>
        <v>0.35426248686171163</v>
      </c>
      <c r="AT40" s="288">
        <f t="shared" si="50"/>
        <v>0.33828494489584104</v>
      </c>
      <c r="AU40" s="288">
        <f t="shared" si="50"/>
        <v>0.32302272791492803</v>
      </c>
      <c r="AV40" s="288">
        <f t="shared" si="50"/>
        <v>0.30845898395503984</v>
      </c>
      <c r="AW40" s="288">
        <f t="shared" si="50"/>
        <v>0.29457427596529012</v>
      </c>
      <c r="AX40" s="288">
        <f t="shared" si="50"/>
        <v>0.28134718705368139</v>
      </c>
      <c r="AY40" s="288">
        <f t="shared" si="50"/>
        <v>0.26875484887192708</v>
      </c>
      <c r="AZ40" s="288">
        <f t="shared" si="50"/>
        <v>0.25677339742997307</v>
      </c>
      <c r="BA40" s="288">
        <f t="shared" si="50"/>
        <v>0.24537836169965388</v>
      </c>
      <c r="BB40" s="288">
        <f t="shared" si="51"/>
        <v>0.23454499096711981</v>
      </c>
      <c r="BC40" s="288">
        <f t="shared" si="51"/>
        <v>0.22424852713279669</v>
      </c>
      <c r="BD40" s="288">
        <f t="shared" si="51"/>
        <v>0.21446442812840583</v>
      </c>
      <c r="BE40" s="288">
        <f t="shared" si="51"/>
        <v>0.2051685484003643</v>
      </c>
      <c r="BF40" s="288">
        <f t="shared" si="51"/>
        <v>0.19633728206041079</v>
      </c>
      <c r="BG40" s="288">
        <f t="shared" si="51"/>
        <v>0.18794767387694483</v>
      </c>
      <c r="BH40" s="288">
        <f t="shared" si="51"/>
        <v>0.17997750281214844</v>
      </c>
      <c r="BI40" s="288">
        <f t="shared" si="51"/>
        <v>0.17240534232854038</v>
      </c>
      <c r="BJ40" s="288">
        <f t="shared" si="51"/>
        <v>0.16521060121430031</v>
      </c>
      <c r="BK40" s="288">
        <f t="shared" si="51"/>
        <v>0.15837354822323305</v>
      </c>
      <c r="BL40" s="288">
        <f t="shared" si="52"/>
        <v>0.15187532340141272</v>
      </c>
      <c r="BM40" s="288">
        <f t="shared" si="52"/>
        <v>0.14569793858340138</v>
      </c>
      <c r="BN40" s="288">
        <f t="shared" si="52"/>
        <v>0.13982426918872901</v>
      </c>
      <c r="BO40" s="288">
        <f t="shared" si="52"/>
        <v>0.13423803913433197</v>
      </c>
      <c r="BP40" s="288">
        <f t="shared" si="52"/>
        <v>0.12892380039977375</v>
      </c>
      <c r="BQ40" s="288">
        <f t="shared" si="52"/>
        <v>0.12386690853731763</v>
      </c>
      <c r="BR40" s="288">
        <f t="shared" si="52"/>
        <v>0.11905349520576008</v>
      </c>
      <c r="BS40" s="288">
        <f t="shared" si="52"/>
        <v>0.11447043862254962</v>
      </c>
      <c r="BT40" s="288">
        <f t="shared" si="52"/>
        <v>0.11010533267022386</v>
      </c>
      <c r="BU40" s="288">
        <f t="shared" si="52"/>
        <v>0.1059464552577415</v>
      </c>
      <c r="BV40" s="288">
        <f t="shared" si="53"/>
        <v>0.10198273642214963</v>
      </c>
      <c r="BW40" s="288">
        <f t="shared" si="53"/>
        <v>9.8203726558674528E-2</v>
      </c>
      <c r="BX40" s="288">
        <f t="shared" si="53"/>
        <v>9.4599565085430007E-2</v>
      </c>
      <c r="BY40" s="288">
        <f t="shared" si="53"/>
        <v>9.1160949780404316E-2</v>
      </c>
      <c r="BZ40" s="288">
        <f t="shared" si="53"/>
        <v>8.7879106971336232E-2</v>
      </c>
      <c r="CA40" s="290">
        <f t="shared" si="53"/>
        <v>8.4745762711864389E-2</v>
      </c>
      <c r="CB40" s="242"/>
      <c r="CF40" s="268"/>
      <c r="CG40" s="268"/>
      <c r="CI40" s="268"/>
      <c r="CK40" s="238"/>
      <c r="CQ40" s="238"/>
    </row>
    <row r="41" spans="2:95">
      <c r="B41" s="274">
        <f t="shared" si="19"/>
        <v>9.75</v>
      </c>
      <c r="C41" s="234"/>
      <c r="D41" s="272">
        <f t="shared" si="46"/>
        <v>0.99997724221114681</v>
      </c>
      <c r="E41" s="288">
        <f t="shared" si="46"/>
        <v>0.99981796668790379</v>
      </c>
      <c r="F41" s="288">
        <f t="shared" si="46"/>
        <v>0.99938590306366148</v>
      </c>
      <c r="G41" s="288">
        <f t="shared" si="46"/>
        <v>0.99854558676483951</v>
      </c>
      <c r="H41" s="288">
        <f t="shared" si="46"/>
        <v>0.99716328151594236</v>
      </c>
      <c r="I41" s="288">
        <f t="shared" si="46"/>
        <v>0.99510825255910862</v>
      </c>
      <c r="J41" s="288">
        <f t="shared" si="46"/>
        <v>0.99225436397714695</v>
      </c>
      <c r="K41" s="288">
        <f t="shared" si="46"/>
        <v>0.98848195806712869</v>
      </c>
      <c r="L41" s="288">
        <f t="shared" si="46"/>
        <v>0.9836799570171707</v>
      </c>
      <c r="M41" s="288">
        <f t="shared" si="46"/>
        <v>0.97774810858923011</v>
      </c>
      <c r="N41" s="288">
        <f t="shared" si="47"/>
        <v>0.97059927989220474</v>
      </c>
      <c r="O41" s="288">
        <f t="shared" si="47"/>
        <v>0.96216168870981866</v>
      </c>
      <c r="P41" s="288">
        <f t="shared" si="47"/>
        <v>0.95238095238095244</v>
      </c>
      <c r="Q41" s="288">
        <f t="shared" si="47"/>
        <v>0.94122183189101194</v>
      </c>
      <c r="R41" s="288">
        <f t="shared" si="47"/>
        <v>0.92866955510937332</v>
      </c>
      <c r="S41" s="288">
        <f t="shared" si="47"/>
        <v>0.91473061870263972</v>
      </c>
      <c r="T41" s="288">
        <f t="shared" si="47"/>
        <v>0.89943299285611933</v>
      </c>
      <c r="U41" s="288">
        <f t="shared" si="47"/>
        <v>0.88282568512416626</v>
      </c>
      <c r="V41" s="288">
        <f t="shared" si="47"/>
        <v>0.86497765704049301</v>
      </c>
      <c r="W41" s="288">
        <f t="shared" si="47"/>
        <v>0.84597612629957641</v>
      </c>
      <c r="X41" s="288">
        <f t="shared" si="48"/>
        <v>0.82592432473073807</v>
      </c>
      <c r="Y41" s="288">
        <f t="shared" si="48"/>
        <v>0.80493881439144133</v>
      </c>
      <c r="Z41" s="288">
        <f t="shared" si="48"/>
        <v>0.78314648796050401</v>
      </c>
      <c r="AA41" s="288">
        <f t="shared" si="48"/>
        <v>0.76068139325531481</v>
      </c>
      <c r="AB41" s="288">
        <f t="shared" si="48"/>
        <v>0.73768152438512546</v>
      </c>
      <c r="AC41" s="288">
        <f t="shared" si="48"/>
        <v>0.71428571428571419</v>
      </c>
      <c r="AD41" s="288">
        <f t="shared" si="48"/>
        <v>0.69063074674253022</v>
      </c>
      <c r="AE41" s="288">
        <f t="shared" si="48"/>
        <v>0.66684878285679594</v>
      </c>
      <c r="AF41" s="288">
        <f t="shared" si="48"/>
        <v>0.64306516998638941</v>
      </c>
      <c r="AG41" s="288">
        <f t="shared" si="48"/>
        <v>0.61939667324499581</v>
      </c>
      <c r="AH41" s="288">
        <f t="shared" si="49"/>
        <v>0.59595014308771066</v>
      </c>
      <c r="AI41" s="288">
        <f t="shared" si="49"/>
        <v>0.57282160921937741</v>
      </c>
      <c r="AJ41" s="288">
        <f t="shared" si="49"/>
        <v>0.55009577224983408</v>
      </c>
      <c r="AK41" s="288">
        <f t="shared" si="49"/>
        <v>0.52784585075200618</v>
      </c>
      <c r="AL41" s="288">
        <f t="shared" si="49"/>
        <v>0.5061337326498877</v>
      </c>
      <c r="AM41" s="288">
        <f t="shared" si="49"/>
        <v>0.48501037573402794</v>
      </c>
      <c r="AN41" s="288">
        <f t="shared" si="49"/>
        <v>0.46451640184791687</v>
      </c>
      <c r="AO41" s="288">
        <f t="shared" si="49"/>
        <v>0.44468283204469089</v>
      </c>
      <c r="AP41" s="288">
        <f t="shared" si="49"/>
        <v>0.42553191489361697</v>
      </c>
      <c r="AQ41" s="288">
        <f t="shared" si="49"/>
        <v>0.40707800629979618</v>
      </c>
      <c r="AR41" s="288">
        <f t="shared" si="50"/>
        <v>0.38932846598913706</v>
      </c>
      <c r="AS41" s="288">
        <f t="shared" si="50"/>
        <v>0.37228454265089644</v>
      </c>
      <c r="AT41" s="288">
        <f t="shared" si="50"/>
        <v>0.3559422262185391</v>
      </c>
      <c r="AU41" s="288">
        <f t="shared" si="50"/>
        <v>0.34029305164028373</v>
      </c>
      <c r="AV41" s="288">
        <f t="shared" si="50"/>
        <v>0.32532484359382519</v>
      </c>
      <c r="AW41" s="288">
        <f t="shared" si="50"/>
        <v>0.31102239587757297</v>
      </c>
      <c r="AX41" s="288">
        <f t="shared" si="50"/>
        <v>0.29736808267292891</v>
      </c>
      <c r="AY41" s="288">
        <f t="shared" si="50"/>
        <v>0.28434240157378404</v>
      </c>
      <c r="AZ41" s="288">
        <f t="shared" si="50"/>
        <v>0.271924450302929</v>
      </c>
      <c r="BA41" s="288">
        <f t="shared" si="50"/>
        <v>0.26009234047590862</v>
      </c>
      <c r="BB41" s="288">
        <f t="shared" si="51"/>
        <v>0.24882355272918777</v>
      </c>
      <c r="BC41" s="288">
        <f t="shared" si="51"/>
        <v>0.23809523809523808</v>
      </c>
      <c r="BD41" s="288">
        <f t="shared" si="51"/>
        <v>0.22788447076761903</v>
      </c>
      <c r="BE41" s="288">
        <f t="shared" si="51"/>
        <v>0.21816845742884947</v>
      </c>
      <c r="BF41" s="288">
        <f t="shared" si="51"/>
        <v>0.2089247081758315</v>
      </c>
      <c r="BG41" s="288">
        <f t="shared" si="51"/>
        <v>0.20013117382353479</v>
      </c>
      <c r="BH41" s="288">
        <f t="shared" si="51"/>
        <v>0.19176635403892059</v>
      </c>
      <c r="BI41" s="288">
        <f t="shared" si="51"/>
        <v>0.18380938038585745</v>
      </c>
      <c r="BJ41" s="288">
        <f t="shared" si="51"/>
        <v>0.1762400779723968</v>
      </c>
      <c r="BK41" s="288">
        <f t="shared" si="51"/>
        <v>0.16903900900207741</v>
      </c>
      <c r="BL41" s="288">
        <f t="shared" si="52"/>
        <v>0.16218750115347277</v>
      </c>
      <c r="BM41" s="288">
        <f t="shared" si="52"/>
        <v>0.15566766335539273</v>
      </c>
      <c r="BN41" s="288">
        <f t="shared" si="52"/>
        <v>0.14946239119416846</v>
      </c>
      <c r="BO41" s="288">
        <f t="shared" si="52"/>
        <v>0.14355536388703755</v>
      </c>
      <c r="BP41" s="288">
        <f t="shared" si="52"/>
        <v>0.13793103448275862</v>
      </c>
      <c r="BQ41" s="288">
        <f t="shared" si="52"/>
        <v>0.13257461470691173</v>
      </c>
      <c r="BR41" s="288">
        <f t="shared" si="52"/>
        <v>0.12747205565370767</v>
      </c>
      <c r="BS41" s="288">
        <f t="shared" si="52"/>
        <v>0.12261002533680086</v>
      </c>
      <c r="BT41" s="288">
        <f t="shared" si="52"/>
        <v>0.1179758839465269</v>
      </c>
      <c r="BU41" s="288">
        <f t="shared" si="52"/>
        <v>0.11355765751796143</v>
      </c>
      <c r="BV41" s="288">
        <f t="shared" si="53"/>
        <v>0.10934401059099018</v>
      </c>
      <c r="BW41" s="288">
        <f t="shared" si="53"/>
        <v>0.10532421833801546</v>
      </c>
      <c r="BX41" s="288">
        <f t="shared" si="53"/>
        <v>0.10148813854493632</v>
      </c>
      <c r="BY41" s="288">
        <f t="shared" si="53"/>
        <v>9.7826183754708751E-2</v>
      </c>
      <c r="BZ41" s="288">
        <f t="shared" si="53"/>
        <v>9.4329293818361373E-2</v>
      </c>
      <c r="CA41" s="290">
        <f t="shared" si="53"/>
        <v>9.0988909044222993E-2</v>
      </c>
      <c r="CB41" s="242"/>
      <c r="CF41" s="268"/>
      <c r="CG41" s="268"/>
      <c r="CI41" s="268"/>
      <c r="CK41" s="238"/>
      <c r="CQ41" s="238"/>
    </row>
    <row r="42" spans="2:95">
      <c r="B42" s="274">
        <f t="shared" si="19"/>
        <v>10</v>
      </c>
      <c r="C42" s="234"/>
      <c r="D42" s="272">
        <f t="shared" si="46"/>
        <v>0.99997890669493694</v>
      </c>
      <c r="E42" s="288">
        <f t="shared" si="46"/>
        <v>0.9998312784717579</v>
      </c>
      <c r="F42" s="288">
        <f t="shared" si="46"/>
        <v>0.9994307929312134</v>
      </c>
      <c r="G42" s="288">
        <f t="shared" si="46"/>
        <v>0.99865182004294195</v>
      </c>
      <c r="H42" s="288">
        <f t="shared" si="46"/>
        <v>0.99737021525275149</v>
      </c>
      <c r="I42" s="288">
        <f t="shared" si="46"/>
        <v>0.99546441525798079</v>
      </c>
      <c r="J42" s="288">
        <f t="shared" si="46"/>
        <v>0.9928168152142971</v>
      </c>
      <c r="K42" s="288">
        <f t="shared" si="46"/>
        <v>0.98931539374752675</v>
      </c>
      <c r="L42" s="288">
        <f t="shared" si="46"/>
        <v>0.98485553785038349</v>
      </c>
      <c r="M42" s="288">
        <f t="shared" si="46"/>
        <v>0.97934200459066567</v>
      </c>
      <c r="N42" s="288">
        <f t="shared" si="47"/>
        <v>0.972690941891595</v>
      </c>
      <c r="O42" s="288">
        <f t="shared" si="47"/>
        <v>0.96483187804525061</v>
      </c>
      <c r="P42" s="288">
        <f t="shared" si="47"/>
        <v>0.95570958076455281</v>
      </c>
      <c r="Q42" s="288">
        <f t="shared" si="47"/>
        <v>0.94528568305752658</v>
      </c>
      <c r="R42" s="288">
        <f t="shared" si="47"/>
        <v>0.93353997629683649</v>
      </c>
      <c r="S42" s="288">
        <f t="shared" si="47"/>
        <v>0.92047128129602351</v>
      </c>
      <c r="T42" s="288">
        <f t="shared" si="47"/>
        <v>0.90609782600231759</v>
      </c>
      <c r="U42" s="288">
        <f t="shared" si="47"/>
        <v>0.89045708275128976</v>
      </c>
      <c r="V42" s="288">
        <f t="shared" si="47"/>
        <v>0.87360504725316057</v>
      </c>
      <c r="W42" s="288">
        <f t="shared" si="47"/>
        <v>0.85561497326203206</v>
      </c>
      <c r="X42" s="288">
        <f t="shared" si="48"/>
        <v>0.83657560846170076</v>
      </c>
      <c r="Y42" s="288">
        <f t="shared" si="48"/>
        <v>0.8165890056497751</v>
      </c>
      <c r="Z42" s="288">
        <f t="shared" si="48"/>
        <v>0.79576800627164668</v>
      </c>
      <c r="AA42" s="288">
        <f t="shared" si="48"/>
        <v>0.77423350882626207</v>
      </c>
      <c r="AB42" s="288">
        <f t="shared" si="48"/>
        <v>0.75211164157179577</v>
      </c>
      <c r="AC42" s="288">
        <f t="shared" si="48"/>
        <v>0.72953095719021144</v>
      </c>
      <c r="AD42" s="288">
        <f t="shared" si="48"/>
        <v>0.70661975741964544</v>
      </c>
      <c r="AE42" s="288">
        <f t="shared" si="48"/>
        <v>0.68350363965688121</v>
      </c>
      <c r="AF42" s="288">
        <f t="shared" si="48"/>
        <v>0.6603033371627488</v>
      </c>
      <c r="AG42" s="288">
        <f t="shared" si="48"/>
        <v>0.63713290194126426</v>
      </c>
      <c r="AH42" s="288">
        <f t="shared" si="49"/>
        <v>0.61409825668059737</v>
      </c>
      <c r="AI42" s="288">
        <f t="shared" si="49"/>
        <v>0.59129612109744556</v>
      </c>
      <c r="AJ42" s="288">
        <f t="shared" si="49"/>
        <v>0.568813299921477</v>
      </c>
      <c r="AK42" s="288">
        <f t="shared" si="49"/>
        <v>0.54672630539448019</v>
      </c>
      <c r="AL42" s="288">
        <f t="shared" si="49"/>
        <v>0.525101276857597</v>
      </c>
      <c r="AM42" s="288">
        <f t="shared" si="49"/>
        <v>0.50399415366781741</v>
      </c>
      <c r="AN42" s="288">
        <f t="shared" si="49"/>
        <v>0.48345105492419455</v>
      </c>
      <c r="AO42" s="288">
        <f t="shared" si="49"/>
        <v>0.4635088197037599</v>
      </c>
      <c r="AP42" s="288">
        <f t="shared" si="49"/>
        <v>0.4441956640256689</v>
      </c>
      <c r="AQ42" s="288">
        <f t="shared" si="49"/>
        <v>0.42553191489361702</v>
      </c>
      <c r="AR42" s="288">
        <f t="shared" si="50"/>
        <v>0.40753078688145661</v>
      </c>
      <c r="AS42" s="288">
        <f t="shared" si="50"/>
        <v>0.39019917229000578</v>
      </c>
      <c r="AT42" s="288">
        <f t="shared" si="50"/>
        <v>0.37353842149083266</v>
      </c>
      <c r="AU42" s="288">
        <f t="shared" si="50"/>
        <v>0.35754509537515416</v>
      </c>
      <c r="AV42" s="288">
        <f t="shared" si="50"/>
        <v>0.34221167663670088</v>
      </c>
      <c r="AW42" s="288">
        <f t="shared" si="50"/>
        <v>0.3275272308186748</v>
      </c>
      <c r="AX42" s="288">
        <f t="shared" si="50"/>
        <v>0.31347801159917621</v>
      </c>
      <c r="AY42" s="288">
        <f t="shared" si="50"/>
        <v>0.30004800768122897</v>
      </c>
      <c r="AZ42" s="288">
        <f t="shared" si="50"/>
        <v>0.28721943093303903</v>
      </c>
      <c r="BA42" s="288">
        <f t="shared" si="50"/>
        <v>0.27497314715359827</v>
      </c>
      <c r="BB42" s="288">
        <f t="shared" si="51"/>
        <v>0.26328905209153325</v>
      </c>
      <c r="BC42" s="288">
        <f t="shared" si="51"/>
        <v>0.25214639619763235</v>
      </c>
      <c r="BD42" s="288">
        <f t="shared" si="51"/>
        <v>0.24152406211772448</v>
      </c>
      <c r="BE42" s="288">
        <f t="shared" si="51"/>
        <v>0.23140079920051021</v>
      </c>
      <c r="BF42" s="288">
        <f t="shared" si="51"/>
        <v>0.22175541936461876</v>
      </c>
      <c r="BG42" s="288">
        <f t="shared" si="51"/>
        <v>0.21256695859195648</v>
      </c>
      <c r="BH42" s="288">
        <f t="shared" si="51"/>
        <v>0.20381480813303882</v>
      </c>
      <c r="BI42" s="288">
        <f t="shared" si="51"/>
        <v>0.19547881925906196</v>
      </c>
      <c r="BJ42" s="288">
        <f t="shared" si="51"/>
        <v>0.18753938510231077</v>
      </c>
      <c r="BK42" s="288">
        <f t="shared" si="51"/>
        <v>0.17997750281214847</v>
      </c>
      <c r="BL42" s="288">
        <f t="shared" si="52"/>
        <v>0.17277481893401445</v>
      </c>
      <c r="BM42" s="288">
        <f t="shared" si="52"/>
        <v>0.16591366060494192</v>
      </c>
      <c r="BN42" s="288">
        <f t="shared" si="52"/>
        <v>0.15937705485895193</v>
      </c>
      <c r="BO42" s="288">
        <f t="shared" si="52"/>
        <v>0.15314873805439844</v>
      </c>
      <c r="BP42" s="288">
        <f t="shared" si="52"/>
        <v>0.14721315717592259</v>
      </c>
      <c r="BQ42" s="288">
        <f t="shared" si="52"/>
        <v>0.14155546452752765</v>
      </c>
      <c r="BR42" s="288">
        <f t="shared" si="52"/>
        <v>0.13616150712066175</v>
      </c>
      <c r="BS42" s="288">
        <f t="shared" si="52"/>
        <v>0.13101781187152392</v>
      </c>
      <c r="BT42" s="288">
        <f t="shared" si="52"/>
        <v>0.12611156755397648</v>
      </c>
      <c r="BU42" s="288">
        <f t="shared" si="52"/>
        <v>0.12143060430699175</v>
      </c>
      <c r="BV42" s="288">
        <f t="shared" si="53"/>
        <v>0.11696337136683668</v>
      </c>
      <c r="BW42" s="288">
        <f t="shared" si="53"/>
        <v>0.11269891358247305</v>
      </c>
      <c r="BX42" s="288">
        <f t="shared" si="53"/>
        <v>0.10862684717619842</v>
      </c>
      <c r="BY42" s="288">
        <f t="shared" si="53"/>
        <v>0.10473733512870581</v>
      </c>
      <c r="BZ42" s="288">
        <f t="shared" si="53"/>
        <v>0.10102106249691709</v>
      </c>
      <c r="CA42" s="290">
        <f t="shared" si="53"/>
        <v>9.7469211912687065E-2</v>
      </c>
      <c r="CB42" s="242"/>
      <c r="CE42" s="236"/>
      <c r="CF42" s="236"/>
      <c r="CG42" s="236"/>
    </row>
    <row r="43" spans="2:95">
      <c r="B43" s="274">
        <f t="shared" si="19"/>
        <v>10.25</v>
      </c>
      <c r="C43" s="234"/>
      <c r="D43" s="272">
        <f t="shared" ref="D43:M52" si="54">(POWER($B43,$F$1)/(POWER($B43,$F$1)+($G$1*POWER(D$2,$F$1))))</f>
        <v>0.99998041273984406</v>
      </c>
      <c r="E43" s="288">
        <f t="shared" si="54"/>
        <v>0.99984332340081061</v>
      </c>
      <c r="F43" s="288">
        <f t="shared" si="54"/>
        <v>0.99947141316855548</v>
      </c>
      <c r="G43" s="288">
        <f t="shared" si="54"/>
        <v>0.99874796036367119</v>
      </c>
      <c r="H43" s="288">
        <f t="shared" si="54"/>
        <v>0.99755752481373861</v>
      </c>
      <c r="I43" s="288">
        <f t="shared" si="54"/>
        <v>0.99578689429381351</v>
      </c>
      <c r="J43" s="288">
        <f t="shared" si="54"/>
        <v>0.99332627599570789</v>
      </c>
      <c r="K43" s="288">
        <f t="shared" si="54"/>
        <v>0.99007070599693736</v>
      </c>
      <c r="L43" s="288">
        <f t="shared" si="54"/>
        <v>0.98592163810534716</v>
      </c>
      <c r="M43" s="288">
        <f t="shared" si="54"/>
        <v>0.98078866104082763</v>
      </c>
      <c r="N43" s="288">
        <f t="shared" ref="N43:W52" si="55">(POWER($B43,$F$1)/(POWER($B43,$F$1)+($G$1*POWER(N$2,$F$1))))</f>
        <v>0.97459128070211398</v>
      </c>
      <c r="O43" s="288">
        <f t="shared" si="55"/>
        <v>0.96726069346476951</v>
      </c>
      <c r="P43" s="288">
        <f t="shared" si="55"/>
        <v>0.95874146837499719</v>
      </c>
      <c r="Q43" s="288">
        <f t="shared" si="55"/>
        <v>0.94899305201761375</v>
      </c>
      <c r="R43" s="288">
        <f t="shared" si="55"/>
        <v>0.9379910108230779</v>
      </c>
      <c r="S43" s="288">
        <f t="shared" si="55"/>
        <v>0.9257279323470865</v>
      </c>
      <c r="T43" s="288">
        <f t="shared" si="55"/>
        <v>0.91221391979595923</v>
      </c>
      <c r="U43" s="288">
        <f t="shared" si="55"/>
        <v>0.89747663234983899</v>
      </c>
      <c r="V43" s="288">
        <f t="shared" si="55"/>
        <v>0.88156084657776579</v>
      </c>
      <c r="W43" s="288">
        <f t="shared" si="55"/>
        <v>0.86452753979503516</v>
      </c>
      <c r="X43" s="288">
        <f t="shared" ref="X43:AG52" si="56">(POWER($B43,$F$1)/(POWER($B43,$F$1)+($G$1*POWER(X$2,$F$1))))</f>
        <v>0.84645252252578651</v>
      </c>
      <c r="Y43" s="288">
        <f t="shared" si="56"/>
        <v>0.8274246720723013</v>
      </c>
      <c r="Z43" s="288">
        <f t="shared" si="56"/>
        <v>0.80754384042921534</v>
      </c>
      <c r="AA43" s="288">
        <f t="shared" si="56"/>
        <v>0.78691852565668841</v>
      </c>
      <c r="AB43" s="288">
        <f t="shared" si="56"/>
        <v>0.76566340516415365</v>
      </c>
      <c r="AC43" s="288">
        <f t="shared" si="56"/>
        <v>0.74389683168445064</v>
      </c>
      <c r="AD43" s="288">
        <f t="shared" si="56"/>
        <v>0.72173838829108505</v>
      </c>
      <c r="AE43" s="288">
        <f t="shared" si="56"/>
        <v>0.69930658852512584</v>
      </c>
      <c r="AF43" s="288">
        <f t="shared" si="56"/>
        <v>0.67671679292737141</v>
      </c>
      <c r="AG43" s="288">
        <f t="shared" si="56"/>
        <v>0.65407939565914719</v>
      </c>
      <c r="AH43" s="288">
        <f t="shared" ref="AH43:AQ52" si="57">(POWER($B43,$F$1)/(POWER($B43,$F$1)+($G$1*POWER(AH$2,$F$1))))</f>
        <v>0.63149831613582141</v>
      </c>
      <c r="AI43" s="288">
        <f t="shared" si="57"/>
        <v>0.60906981224449397</v>
      </c>
      <c r="AJ43" s="288">
        <f t="shared" si="57"/>
        <v>0.58688161504207181</v>
      </c>
      <c r="AK43" s="288">
        <f t="shared" si="57"/>
        <v>0.56501237073848964</v>
      </c>
      <c r="AL43" s="288">
        <f t="shared" si="57"/>
        <v>0.54353136478256503</v>
      </c>
      <c r="AM43" s="288">
        <f t="shared" si="57"/>
        <v>0.52249849514732394</v>
      </c>
      <c r="AN43" s="288">
        <f t="shared" si="57"/>
        <v>0.50196445732435413</v>
      </c>
      <c r="AO43" s="288">
        <f t="shared" si="57"/>
        <v>0.48197110173414764</v>
      </c>
      <c r="AP43" s="288">
        <f t="shared" si="57"/>
        <v>0.46255192476056467</v>
      </c>
      <c r="AQ43" s="288">
        <f t="shared" si="57"/>
        <v>0.44373265688477409</v>
      </c>
      <c r="AR43" s="288">
        <f t="shared" ref="AR43:BA52" si="58">(POWER($B43,$F$1)/(POWER($B43,$F$1)+($G$1*POWER(AR$2,$F$1))))</f>
        <v>0.42553191489361702</v>
      </c>
      <c r="AS43" s="288">
        <f t="shared" si="58"/>
        <v>0.40796188938308203</v>
      </c>
      <c r="AT43" s="288">
        <f t="shared" si="58"/>
        <v>0.39102904335724087</v>
      </c>
      <c r="AU43" s="288">
        <f t="shared" si="58"/>
        <v>0.37473480231014233</v>
      </c>
      <c r="AV43" s="288">
        <f t="shared" si="58"/>
        <v>0.35907622053274529</v>
      </c>
      <c r="AW43" s="288">
        <f t="shared" si="58"/>
        <v>0.34404661234815892</v>
      </c>
      <c r="AX43" s="288">
        <f t="shared" si="58"/>
        <v>0.32963614045299439</v>
      </c>
      <c r="AY43" s="288">
        <f t="shared" si="58"/>
        <v>0.31583235649128721</v>
      </c>
      <c r="AZ43" s="288">
        <f t="shared" si="58"/>
        <v>0.3026206914115061</v>
      </c>
      <c r="BA43" s="288">
        <f t="shared" si="58"/>
        <v>0.28998489508606434</v>
      </c>
      <c r="BB43" s="288">
        <f t="shared" ref="BB43:BK52" si="59">(POWER($B43,$F$1)/(POWER($B43,$F$1)+($G$1*POWER(BB$2,$F$1))))</f>
        <v>0.27790742615368519</v>
      </c>
      <c r="BC43" s="288">
        <f t="shared" si="59"/>
        <v>0.26636979413453876</v>
      </c>
      <c r="BD43" s="288">
        <f t="shared" si="59"/>
        <v>0.25535285662600854</v>
      </c>
      <c r="BE43" s="288">
        <f t="shared" si="59"/>
        <v>0.24483707487173947</v>
      </c>
      <c r="BF43" s="288">
        <f t="shared" si="59"/>
        <v>0.23480273126259998</v>
      </c>
      <c r="BG43" s="288">
        <f t="shared" si="59"/>
        <v>0.22523011242388138</v>
      </c>
      <c r="BH43" s="288">
        <f t="shared" si="59"/>
        <v>0.21609966151044005</v>
      </c>
      <c r="BI43" s="288">
        <f t="shared" si="59"/>
        <v>0.20739210320586465</v>
      </c>
      <c r="BJ43" s="288">
        <f t="shared" si="59"/>
        <v>0.19908854473209445</v>
      </c>
      <c r="BK43" s="288">
        <f t="shared" si="59"/>
        <v>0.19117055594542343</v>
      </c>
      <c r="BL43" s="288">
        <f t="shared" ref="BL43:BU52" si="60">(POWER($B43,$F$1)/(POWER($B43,$F$1)+($G$1*POWER(BL$2,$F$1))))</f>
        <v>0.18362023134161645</v>
      </c>
      <c r="BM43" s="288">
        <f t="shared" si="60"/>
        <v>0.17642023653074584</v>
      </c>
      <c r="BN43" s="288">
        <f t="shared" si="60"/>
        <v>0.16955384148151301</v>
      </c>
      <c r="BO43" s="288">
        <f t="shared" si="60"/>
        <v>0.16300494258250764</v>
      </c>
      <c r="BP43" s="288">
        <f t="shared" si="60"/>
        <v>0.15675807532898647</v>
      </c>
      <c r="BQ43" s="288">
        <f t="shared" si="60"/>
        <v>0.15079841922139958</v>
      </c>
      <c r="BR43" s="288">
        <f t="shared" si="60"/>
        <v>0.14511179625774065</v>
      </c>
      <c r="BS43" s="288">
        <f t="shared" si="60"/>
        <v>0.1396846642164781</v>
      </c>
      <c r="BT43" s="288">
        <f t="shared" si="60"/>
        <v>0.13450410576022259</v>
      </c>
      <c r="BU43" s="288">
        <f t="shared" si="60"/>
        <v>0.12955781424175378</v>
      </c>
      <c r="BV43" s="288">
        <f t="shared" ref="BV43:CA52" si="61">(POWER($B43,$F$1)/(POWER($B43,$F$1)+($G$1*POWER(BV$2,$F$1))))</f>
        <v>0.1248340769625694</v>
      </c>
      <c r="BW43" s="288">
        <f t="shared" si="61"/>
        <v>0.12032175651852686</v>
      </c>
      <c r="BX43" s="288">
        <f t="shared" si="61"/>
        <v>0.11601027076609682</v>
      </c>
      <c r="BY43" s="288">
        <f t="shared" si="61"/>
        <v>0.11188957185488853</v>
      </c>
      <c r="BZ43" s="288">
        <f t="shared" si="61"/>
        <v>0.10795012469609121</v>
      </c>
      <c r="CA43" s="290">
        <f t="shared" si="61"/>
        <v>0.10418288517102402</v>
      </c>
      <c r="CB43" s="242"/>
      <c r="CE43" s="236"/>
      <c r="CF43" s="236"/>
      <c r="CG43" s="236"/>
    </row>
    <row r="44" spans="2:95">
      <c r="B44" s="274">
        <f t="shared" si="19"/>
        <v>10.5</v>
      </c>
      <c r="C44" s="234"/>
      <c r="D44" s="272">
        <f t="shared" si="54"/>
        <v>0.99998177875767558</v>
      </c>
      <c r="E44" s="288">
        <f t="shared" si="54"/>
        <v>0.99985424865179995</v>
      </c>
      <c r="F44" s="288">
        <f t="shared" si="54"/>
        <v>0.99950825942047461</v>
      </c>
      <c r="G44" s="288">
        <f t="shared" si="54"/>
        <v>0.99883517763541063</v>
      </c>
      <c r="H44" s="288">
        <f t="shared" si="54"/>
        <v>0.99772747932006178</v>
      </c>
      <c r="I44" s="288">
        <f t="shared" si="54"/>
        <v>0.99607957020473348</v>
      </c>
      <c r="J44" s="288">
        <f t="shared" si="54"/>
        <v>0.99378881987577639</v>
      </c>
      <c r="K44" s="288">
        <f t="shared" si="54"/>
        <v>0.99075678798382438</v>
      </c>
      <c r="L44" s="288">
        <f t="shared" si="54"/>
        <v>0.98689061123199495</v>
      </c>
      <c r="M44" s="288">
        <f t="shared" si="54"/>
        <v>0.98210450966356477</v>
      </c>
      <c r="N44" s="288">
        <f t="shared" si="55"/>
        <v>0.97632136058778518</v>
      </c>
      <c r="O44" s="288">
        <f t="shared" si="55"/>
        <v>0.96947427925381569</v>
      </c>
      <c r="P44" s="288">
        <f t="shared" si="55"/>
        <v>0.96150813812919389</v>
      </c>
      <c r="Q44" s="288">
        <f t="shared" si="55"/>
        <v>0.95238095238095244</v>
      </c>
      <c r="R44" s="288">
        <f t="shared" si="55"/>
        <v>0.94206505879323665</v>
      </c>
      <c r="S44" s="288">
        <f t="shared" si="55"/>
        <v>0.93054801953336941</v>
      </c>
      <c r="T44" s="288">
        <f t="shared" si="55"/>
        <v>0.91783319117622464</v>
      </c>
      <c r="U44" s="288">
        <f t="shared" si="55"/>
        <v>0.90393991303202004</v>
      </c>
      <c r="V44" s="288">
        <f t="shared" si="55"/>
        <v>0.88890328641539385</v>
      </c>
      <c r="W44" s="288">
        <f t="shared" si="55"/>
        <v>0.87277353689567427</v>
      </c>
      <c r="X44" s="288">
        <f t="shared" si="56"/>
        <v>0.85561497326203206</v>
      </c>
      <c r="Y44" s="288">
        <f t="shared" si="56"/>
        <v>0.83750457819558044</v>
      </c>
      <c r="Z44" s="288">
        <f t="shared" si="56"/>
        <v>0.81853028472564027</v>
      </c>
      <c r="AA44" s="288">
        <f t="shared" si="56"/>
        <v>0.79878900791802521</v>
      </c>
      <c r="AB44" s="288">
        <f t="shared" si="56"/>
        <v>0.77838451173675627</v>
      </c>
      <c r="AC44" s="288">
        <f t="shared" si="56"/>
        <v>0.7574251959810091</v>
      </c>
      <c r="AD44" s="288">
        <f t="shared" si="56"/>
        <v>0.73602188753134934</v>
      </c>
      <c r="AE44" s="288">
        <f t="shared" si="56"/>
        <v>0.7142857142857143</v>
      </c>
      <c r="AF44" s="288">
        <f t="shared" si="56"/>
        <v>0.69232613001299381</v>
      </c>
      <c r="AG44" s="288">
        <f t="shared" si="56"/>
        <v>0.67024914509037614</v>
      </c>
      <c r="AH44" s="288">
        <f t="shared" si="57"/>
        <v>0.6481558030494502</v>
      </c>
      <c r="AI44" s="288">
        <f t="shared" si="57"/>
        <v>0.62614092734574656</v>
      </c>
      <c r="AJ44" s="288">
        <f t="shared" si="57"/>
        <v>0.60429214794586916</v>
      </c>
      <c r="AK44" s="288">
        <f t="shared" si="57"/>
        <v>0.5826892041111017</v>
      </c>
      <c r="AL44" s="288">
        <f t="shared" si="57"/>
        <v>0.56140350877192979</v>
      </c>
      <c r="AM44" s="288">
        <f t="shared" si="57"/>
        <v>0.54049795146549007</v>
      </c>
      <c r="AN44" s="288">
        <f t="shared" si="57"/>
        <v>0.52002691101361664</v>
      </c>
      <c r="AO44" s="288">
        <f t="shared" si="57"/>
        <v>0.50003644580508777</v>
      </c>
      <c r="AP44" s="288">
        <f t="shared" si="57"/>
        <v>0.48056462841180736</v>
      </c>
      <c r="AQ44" s="288">
        <f t="shared" si="57"/>
        <v>0.4616419919246299</v>
      </c>
      <c r="AR44" s="288">
        <f t="shared" si="58"/>
        <v>0.443292057414722</v>
      </c>
      <c r="AS44" s="288">
        <f t="shared" si="58"/>
        <v>0.42553191489361702</v>
      </c>
      <c r="AT44" s="288">
        <f t="shared" si="58"/>
        <v>0.40837283368182931</v>
      </c>
      <c r="AU44" s="288">
        <f t="shared" si="58"/>
        <v>0.39182088188256792</v>
      </c>
      <c r="AV44" s="288">
        <f t="shared" si="58"/>
        <v>0.37587753844046434</v>
      </c>
      <c r="AW44" s="288">
        <f t="shared" si="58"/>
        <v>0.36054028485835915</v>
      </c>
      <c r="AX44" s="288">
        <f t="shared" si="58"/>
        <v>0.34580316692186031</v>
      </c>
      <c r="AY44" s="288">
        <f t="shared" si="58"/>
        <v>0.33165731966737572</v>
      </c>
      <c r="AZ44" s="288">
        <f t="shared" si="58"/>
        <v>0.31809145129224647</v>
      </c>
      <c r="BA44" s="288">
        <f t="shared" si="58"/>
        <v>0.3050922837447187</v>
      </c>
      <c r="BB44" s="288">
        <f t="shared" si="59"/>
        <v>0.2926449493683711</v>
      </c>
      <c r="BC44" s="288">
        <f t="shared" si="59"/>
        <v>0.28073334424619412</v>
      </c>
      <c r="BD44" s="288">
        <f t="shared" si="59"/>
        <v>0.26934043983764971</v>
      </c>
      <c r="BE44" s="288">
        <f t="shared" si="59"/>
        <v>0.25844855517462229</v>
      </c>
      <c r="BF44" s="288">
        <f t="shared" si="59"/>
        <v>0.24803959232559716</v>
      </c>
      <c r="BG44" s="288">
        <f t="shared" si="59"/>
        <v>0.23809523809523811</v>
      </c>
      <c r="BH44" s="288">
        <f t="shared" si="59"/>
        <v>0.22859713503809254</v>
      </c>
      <c r="BI44" s="288">
        <f t="shared" si="59"/>
        <v>0.21952702486479567</v>
      </c>
      <c r="BJ44" s="288">
        <f t="shared" si="59"/>
        <v>0.2108668672360994</v>
      </c>
      <c r="BK44" s="288">
        <f t="shared" si="59"/>
        <v>0.2025989367985824</v>
      </c>
      <c r="BL44" s="288">
        <f t="shared" si="60"/>
        <v>0.19470590113566613</v>
      </c>
      <c r="BM44" s="288">
        <f t="shared" si="60"/>
        <v>0.18717088210417177</v>
      </c>
      <c r="BN44" s="288">
        <f t="shared" si="60"/>
        <v>0.17997750281214847</v>
      </c>
      <c r="BO44" s="288">
        <f t="shared" si="60"/>
        <v>0.17310992227717775</v>
      </c>
      <c r="BP44" s="288">
        <f t="shared" si="60"/>
        <v>0.16655285959241894</v>
      </c>
      <c r="BQ44" s="288">
        <f t="shared" si="60"/>
        <v>0.16029160922494567</v>
      </c>
      <c r="BR44" s="288">
        <f t="shared" si="60"/>
        <v>0.15431204888047845</v>
      </c>
      <c r="BS44" s="288">
        <f t="shared" si="60"/>
        <v>0.14860064119227104</v>
      </c>
      <c r="BT44" s="288">
        <f t="shared" si="60"/>
        <v>0.14314443033055199</v>
      </c>
      <c r="BU44" s="288">
        <f t="shared" si="60"/>
        <v>0.13793103448275862</v>
      </c>
      <c r="BV44" s="288">
        <f t="shared" si="61"/>
        <v>0.13294863502353488</v>
      </c>
      <c r="BW44" s="288">
        <f t="shared" si="61"/>
        <v>0.1281859630764631</v>
      </c>
      <c r="BX44" s="288">
        <f t="shared" si="61"/>
        <v>0.12363228406589816</v>
      </c>
      <c r="BY44" s="288">
        <f t="shared" si="61"/>
        <v>0.11927738076608767</v>
      </c>
      <c r="BZ44" s="288">
        <f t="shared" si="61"/>
        <v>0.11511153527493156</v>
      </c>
      <c r="CA44" s="290">
        <f t="shared" si="61"/>
        <v>0.11112551027020021</v>
      </c>
      <c r="CB44" s="242"/>
      <c r="CE44" s="236"/>
      <c r="CF44" s="236"/>
      <c r="CG44" s="236"/>
    </row>
    <row r="45" spans="2:95">
      <c r="B45" s="274">
        <f t="shared" si="19"/>
        <v>10.75</v>
      </c>
      <c r="C45" s="234"/>
      <c r="D45" s="272">
        <f t="shared" si="54"/>
        <v>0.99998302065128997</v>
      </c>
      <c r="E45" s="288">
        <f t="shared" si="54"/>
        <v>0.99986418135310584</v>
      </c>
      <c r="F45" s="288">
        <f t="shared" si="54"/>
        <v>0.99954175988092042</v>
      </c>
      <c r="G45" s="288">
        <f t="shared" si="54"/>
        <v>0.99891448285913165</v>
      </c>
      <c r="H45" s="288">
        <f t="shared" si="54"/>
        <v>0.99788204064599328</v>
      </c>
      <c r="I45" s="288">
        <f t="shared" si="54"/>
        <v>0.99634580055289179</v>
      </c>
      <c r="J45" s="288">
        <f t="shared" si="54"/>
        <v>0.99420970725915514</v>
      </c>
      <c r="K45" s="288">
        <f t="shared" si="54"/>
        <v>0.99138135269868899</v>
      </c>
      <c r="L45" s="288">
        <f t="shared" si="54"/>
        <v>0.98777318997181685</v>
      </c>
      <c r="M45" s="288">
        <f t="shared" si="54"/>
        <v>0.98330385742730997</v>
      </c>
      <c r="N45" s="288">
        <f t="shared" si="55"/>
        <v>0.97789957056154164</v>
      </c>
      <c r="O45" s="288">
        <f t="shared" si="55"/>
        <v>0.97149553151400658</v>
      </c>
      <c r="P45" s="288">
        <f t="shared" si="55"/>
        <v>0.96403729950244299</v>
      </c>
      <c r="Q45" s="288">
        <f t="shared" si="55"/>
        <v>0.95548206135217051</v>
      </c>
      <c r="R45" s="288">
        <f t="shared" si="55"/>
        <v>0.94579974007666845</v>
      </c>
      <c r="S45" s="288">
        <f t="shared" si="55"/>
        <v>0.9349738818344101</v>
      </c>
      <c r="T45" s="288">
        <f t="shared" si="55"/>
        <v>0.92300226783167538</v>
      </c>
      <c r="U45" s="288">
        <f t="shared" si="55"/>
        <v>0.90989720783426908</v>
      </c>
      <c r="V45" s="288">
        <f t="shared" si="55"/>
        <v>0.89568548548356852</v>
      </c>
      <c r="W45" s="288">
        <f t="shared" si="55"/>
        <v>0.88040794179853166</v>
      </c>
      <c r="X45" s="288">
        <f t="shared" si="56"/>
        <v>0.864118700979846</v>
      </c>
      <c r="Y45" s="288">
        <f t="shared" si="56"/>
        <v>0.84688406059534438</v>
      </c>
      <c r="Z45" s="288">
        <f t="shared" si="56"/>
        <v>0.82878108502388925</v>
      </c>
      <c r="AA45" s="288">
        <f t="shared" si="56"/>
        <v>0.80989595535879821</v>
      </c>
      <c r="AB45" s="288">
        <f t="shared" si="56"/>
        <v>0.79032213974547905</v>
      </c>
      <c r="AC45" s="288">
        <f t="shared" si="56"/>
        <v>0.77015845462664645</v>
      </c>
      <c r="AD45" s="288">
        <f t="shared" si="56"/>
        <v>0.74950708928860121</v>
      </c>
      <c r="AE45" s="288">
        <f t="shared" si="56"/>
        <v>0.72847166357284354</v>
      </c>
      <c r="AF45" s="288">
        <f t="shared" si="56"/>
        <v>0.7071553821571499</v>
      </c>
      <c r="AG45" s="288">
        <f t="shared" si="56"/>
        <v>0.68565933923782096</v>
      </c>
      <c r="AH45" s="288">
        <f t="shared" si="57"/>
        <v>0.66408101576239187</v>
      </c>
      <c r="AI45" s="288">
        <f t="shared" si="57"/>
        <v>0.6425129986310425</v>
      </c>
      <c r="AJ45" s="288">
        <f t="shared" si="57"/>
        <v>0.6210419385113255</v>
      </c>
      <c r="AK45" s="288">
        <f t="shared" si="57"/>
        <v>0.59974775095536315</v>
      </c>
      <c r="AL45" s="288">
        <f t="shared" si="57"/>
        <v>0.57870305502835939</v>
      </c>
      <c r="AM45" s="288">
        <f t="shared" si="57"/>
        <v>0.5579728350805585</v>
      </c>
      <c r="AN45" s="288">
        <f t="shared" si="57"/>
        <v>0.53761430482616812</v>
      </c>
      <c r="AO45" s="288">
        <f t="shared" si="57"/>
        <v>0.51767694854027946</v>
      </c>
      <c r="AP45" s="288">
        <f t="shared" si="57"/>
        <v>0.49820271180132042</v>
      </c>
      <c r="AQ45" s="288">
        <f t="shared" si="57"/>
        <v>0.4792263135371021</v>
      </c>
      <c r="AR45" s="288">
        <f t="shared" si="58"/>
        <v>0.46077565186045694</v>
      </c>
      <c r="AS45" s="288">
        <f t="shared" si="58"/>
        <v>0.44287227796784645</v>
      </c>
      <c r="AT45" s="288">
        <f t="shared" si="58"/>
        <v>0.42553191489361697</v>
      </c>
      <c r="AU45" s="288">
        <f t="shared" si="58"/>
        <v>0.40876500086887041</v>
      </c>
      <c r="AV45" s="288">
        <f t="shared" si="58"/>
        <v>0.39257724017810081</v>
      </c>
      <c r="AW45" s="288">
        <f t="shared" si="58"/>
        <v>0.37697014754118569</v>
      </c>
      <c r="AX45" s="288">
        <f t="shared" si="58"/>
        <v>0.36194157502650021</v>
      </c>
      <c r="AY45" s="288">
        <f t="shared" si="58"/>
        <v>0.34748621322324308</v>
      </c>
      <c r="AZ45" s="288">
        <f t="shared" si="58"/>
        <v>0.33359606080815862</v>
      </c>
      <c r="BA45" s="288">
        <f t="shared" si="58"/>
        <v>0.32026085870690452</v>
      </c>
      <c r="BB45" s="288">
        <f t="shared" si="59"/>
        <v>0.30746848677141458</v>
      </c>
      <c r="BC45" s="288">
        <f t="shared" si="59"/>
        <v>0.2952053222875618</v>
      </c>
      <c r="BD45" s="288">
        <f t="shared" si="59"/>
        <v>0.28345656071969522</v>
      </c>
      <c r="BE45" s="288">
        <f t="shared" si="59"/>
        <v>0.27220649992433665</v>
      </c>
      <c r="BF45" s="288">
        <f t="shared" si="59"/>
        <v>0.26143878966141726</v>
      </c>
      <c r="BG45" s="288">
        <f t="shared" si="59"/>
        <v>0.25113664863485297</v>
      </c>
      <c r="BH45" s="288">
        <f t="shared" si="59"/>
        <v>0.24128305154004692</v>
      </c>
      <c r="BI45" s="288">
        <f t="shared" si="59"/>
        <v>0.2318608887159887</v>
      </c>
      <c r="BJ45" s="288">
        <f t="shared" si="59"/>
        <v>0.22285310102218903</v>
      </c>
      <c r="BK45" s="288">
        <f t="shared" si="59"/>
        <v>0.21424279250997691</v>
      </c>
      <c r="BL45" s="288">
        <f t="shared" si="60"/>
        <v>0.20601332335401099</v>
      </c>
      <c r="BM45" s="288">
        <f t="shared" si="60"/>
        <v>0.19814838536991169</v>
      </c>
      <c r="BN45" s="288">
        <f t="shared" si="60"/>
        <v>0.19063206228108465</v>
      </c>
      <c r="BO45" s="288">
        <f t="shared" si="60"/>
        <v>0.1834488767225948</v>
      </c>
      <c r="BP45" s="288">
        <f t="shared" si="60"/>
        <v>0.1765838257904068</v>
      </c>
      <c r="BQ45" s="288">
        <f t="shared" si="60"/>
        <v>0.1700224067664243</v>
      </c>
      <c r="BR45" s="288">
        <f t="shared" si="60"/>
        <v>0.1637506344778426</v>
      </c>
      <c r="BS45" s="288">
        <f t="shared" si="60"/>
        <v>0.15775505158632053</v>
      </c>
      <c r="BT45" s="288">
        <f t="shared" si="60"/>
        <v>0.15202273295026339</v>
      </c>
      <c r="BU45" s="288">
        <f t="shared" si="60"/>
        <v>0.14654128506313621</v>
      </c>
      <c r="BV45" s="288">
        <f t="shared" si="61"/>
        <v>0.14129884144262478</v>
      </c>
      <c r="BW45" s="288">
        <f t="shared" si="61"/>
        <v>0.13628405472960023</v>
      </c>
      <c r="BX45" s="288">
        <f t="shared" si="61"/>
        <v>0.13148608615185603</v>
      </c>
      <c r="BY45" s="288">
        <f t="shared" si="61"/>
        <v>0.12689459291489361</v>
      </c>
      <c r="BZ45" s="288">
        <f t="shared" si="61"/>
        <v>0.12249971399990678</v>
      </c>
      <c r="CA45" s="290">
        <f t="shared" si="61"/>
        <v>0.11829205477674823</v>
      </c>
      <c r="CB45" s="242"/>
      <c r="CE45" s="236"/>
      <c r="CF45" s="236"/>
      <c r="CG45" s="236"/>
    </row>
    <row r="46" spans="2:95">
      <c r="B46" s="274">
        <f t="shared" si="19"/>
        <v>11</v>
      </c>
      <c r="C46" s="234"/>
      <c r="D46" s="272">
        <f t="shared" si="54"/>
        <v>0.99998415220457504</v>
      </c>
      <c r="E46" s="288">
        <f t="shared" si="54"/>
        <v>0.99987323169958731</v>
      </c>
      <c r="F46" s="288">
        <f t="shared" si="54"/>
        <v>0.99957228576004942</v>
      </c>
      <c r="G46" s="288">
        <f t="shared" si="54"/>
        <v>0.99898675273013859</v>
      </c>
      <c r="H46" s="288">
        <f t="shared" si="54"/>
        <v>0.99802291080252248</v>
      </c>
      <c r="I46" s="288">
        <f t="shared" si="54"/>
        <v>0.9965885001099728</v>
      </c>
      <c r="J46" s="288">
        <f t="shared" si="54"/>
        <v>0.99459350905839716</v>
      </c>
      <c r="K46" s="288">
        <f t="shared" si="54"/>
        <v>0.99195111044865114</v>
      </c>
      <c r="L46" s="288">
        <f t="shared" si="54"/>
        <v>0.98857872659445523</v>
      </c>
      <c r="M46" s="288">
        <f t="shared" si="54"/>
        <v>0.98439919569186674</v>
      </c>
      <c r="N46" s="288">
        <f t="shared" si="55"/>
        <v>0.97934200459066556</v>
      </c>
      <c r="O46" s="288">
        <f t="shared" si="55"/>
        <v>0.9733445464185162</v>
      </c>
      <c r="P46" s="288">
        <f t="shared" si="55"/>
        <v>0.96635335584421778</v>
      </c>
      <c r="Q46" s="288">
        <f t="shared" si="55"/>
        <v>0.95832527078898944</v>
      </c>
      <c r="R46" s="288">
        <f t="shared" si="55"/>
        <v>0.94922846771654856</v>
      </c>
      <c r="S46" s="288">
        <f t="shared" si="55"/>
        <v>0.93904331875264568</v>
      </c>
      <c r="T46" s="288">
        <f t="shared" si="55"/>
        <v>0.92776302311511372</v>
      </c>
      <c r="U46" s="288">
        <f t="shared" si="55"/>
        <v>0.91539397273934742</v>
      </c>
      <c r="V46" s="288">
        <f t="shared" si="55"/>
        <v>0.9019558223342703</v>
      </c>
      <c r="W46" s="288">
        <f t="shared" si="55"/>
        <v>0.88748124687447905</v>
      </c>
      <c r="X46" s="288">
        <f t="shared" si="56"/>
        <v>0.87201538393030342</v>
      </c>
      <c r="Y46" s="288">
        <f t="shared" si="56"/>
        <v>0.85561497326203206</v>
      </c>
      <c r="Z46" s="288">
        <f t="shared" si="56"/>
        <v>0.83834722065713374</v>
      </c>
      <c r="AA46" s="288">
        <f t="shared" si="56"/>
        <v>0.82028842598299034</v>
      </c>
      <c r="AB46" s="288">
        <f t="shared" si="56"/>
        <v>0.80152242590758649</v>
      </c>
      <c r="AC46" s="288">
        <f t="shared" si="56"/>
        <v>0.78213890898673788</v>
      </c>
      <c r="AD46" s="288">
        <f t="shared" si="56"/>
        <v>0.76223166441548351</v>
      </c>
      <c r="AE46" s="288">
        <f t="shared" si="56"/>
        <v>0.74189682561801518</v>
      </c>
      <c r="AF46" s="288">
        <f t="shared" si="56"/>
        <v>0.72123116625595907</v>
      </c>
      <c r="AG46" s="288">
        <f t="shared" si="56"/>
        <v>0.70033049969580874</v>
      </c>
      <c r="AH46" s="288">
        <f t="shared" si="57"/>
        <v>0.67928822421678781</v>
      </c>
      <c r="AI46" s="288">
        <f t="shared" si="57"/>
        <v>0.65819404608841858</v>
      </c>
      <c r="AJ46" s="288">
        <f t="shared" si="57"/>
        <v>0.63713290194126426</v>
      </c>
      <c r="AK46" s="288">
        <f t="shared" si="57"/>
        <v>0.61618409136283281</v>
      </c>
      <c r="AL46" s="288">
        <f t="shared" si="57"/>
        <v>0.59542062101034321</v>
      </c>
      <c r="AM46" s="288">
        <f t="shared" si="57"/>
        <v>0.57490875321253476</v>
      </c>
      <c r="AN46" s="288">
        <f t="shared" si="57"/>
        <v>0.55470774532439082</v>
      </c>
      <c r="AO46" s="288">
        <f t="shared" si="57"/>
        <v>0.5348697611219807</v>
      </c>
      <c r="AP46" s="288">
        <f t="shared" si="57"/>
        <v>0.51543993225411477</v>
      </c>
      <c r="AQ46" s="288">
        <f t="shared" si="57"/>
        <v>0.49645654606490114</v>
      </c>
      <c r="AR46" s="288">
        <f t="shared" si="58"/>
        <v>0.47795133575177995</v>
      </c>
      <c r="AS46" s="288">
        <f t="shared" si="58"/>
        <v>0.45994984957030888</v>
      </c>
      <c r="AT46" s="288">
        <f t="shared" si="58"/>
        <v>0.44247187737071431</v>
      </c>
      <c r="AU46" s="288">
        <f t="shared" si="58"/>
        <v>0.42553191489361697</v>
      </c>
      <c r="AV46" s="288">
        <f t="shared" si="58"/>
        <v>0.40913964873182512</v>
      </c>
      <c r="AW46" s="288">
        <f t="shared" si="58"/>
        <v>0.39330044748637499</v>
      </c>
      <c r="AX46" s="288">
        <f t="shared" si="58"/>
        <v>0.37801584725291276</v>
      </c>
      <c r="AY46" s="288">
        <f t="shared" si="58"/>
        <v>0.36328402205360555</v>
      </c>
      <c r="AZ46" s="288">
        <f t="shared" si="58"/>
        <v>0.34910023210100066</v>
      </c>
      <c r="BA46" s="288">
        <f t="shared" si="58"/>
        <v>0.33545724479589184</v>
      </c>
      <c r="BB46" s="288">
        <f t="shared" si="59"/>
        <v>0.32234572509908227</v>
      </c>
      <c r="BC46" s="288">
        <f t="shared" si="59"/>
        <v>0.30975459337437011</v>
      </c>
      <c r="BD46" s="288">
        <f t="shared" si="59"/>
        <v>0.29767134998870415</v>
      </c>
      <c r="BE46" s="288">
        <f t="shared" si="59"/>
        <v>0.28608236689633676</v>
      </c>
      <c r="BF46" s="288">
        <f t="shared" si="59"/>
        <v>0.27497314715359827</v>
      </c>
      <c r="BG46" s="288">
        <f t="shared" si="59"/>
        <v>0.26432855383882115</v>
      </c>
      <c r="BH46" s="288">
        <f t="shared" si="59"/>
        <v>0.25413301021749901</v>
      </c>
      <c r="BI46" s="288">
        <f t="shared" si="59"/>
        <v>0.24437067322422179</v>
      </c>
      <c r="BJ46" s="288">
        <f t="shared" si="59"/>
        <v>0.23502558245629376</v>
      </c>
      <c r="BK46" s="288">
        <f t="shared" si="59"/>
        <v>0.22608178691239544</v>
      </c>
      <c r="BL46" s="288">
        <f t="shared" si="60"/>
        <v>0.21752345168329529</v>
      </c>
      <c r="BM46" s="288">
        <f t="shared" si="60"/>
        <v>0.20933494672751951</v>
      </c>
      <c r="BN46" s="288">
        <f t="shared" si="60"/>
        <v>0.20150091975717416</v>
      </c>
      <c r="BO46" s="288">
        <f t="shared" si="60"/>
        <v>0.19400635512928896</v>
      </c>
      <c r="BP46" s="288">
        <f t="shared" si="60"/>
        <v>0.18683662049524294</v>
      </c>
      <c r="BQ46" s="288">
        <f t="shared" si="60"/>
        <v>0.17997750281214847</v>
      </c>
      <c r="BR46" s="288">
        <f t="shared" si="60"/>
        <v>0.17341523517089952</v>
      </c>
      <c r="BS46" s="288">
        <f t="shared" si="60"/>
        <v>0.16713651574988542</v>
      </c>
      <c r="BT46" s="288">
        <f t="shared" si="60"/>
        <v>0.16112852006393766</v>
      </c>
      <c r="BU46" s="288">
        <f t="shared" si="60"/>
        <v>0.15537890754677747</v>
      </c>
      <c r="BV46" s="288">
        <f t="shared" si="61"/>
        <v>0.14987582338320776</v>
      </c>
      <c r="BW46" s="288">
        <f t="shared" si="61"/>
        <v>0.14460789639512395</v>
      </c>
      <c r="BX46" s="288">
        <f t="shared" si="61"/>
        <v>0.13956423368325696</v>
      </c>
      <c r="BY46" s="288">
        <f t="shared" si="61"/>
        <v>0.13473441263426147</v>
      </c>
      <c r="BZ46" s="288">
        <f t="shared" si="61"/>
        <v>0.13010847081994806</v>
      </c>
      <c r="CA46" s="290">
        <f t="shared" si="61"/>
        <v>0.12567689424161876</v>
      </c>
      <c r="CB46" s="242"/>
      <c r="CE46" s="236"/>
      <c r="CF46" s="236"/>
      <c r="CG46" s="236"/>
    </row>
    <row r="47" spans="2:95">
      <c r="B47" s="274">
        <f t="shared" si="19"/>
        <v>11.25</v>
      </c>
      <c r="C47" s="234"/>
      <c r="D47" s="272">
        <f t="shared" si="54"/>
        <v>0.99998518540466064</v>
      </c>
      <c r="E47" s="288">
        <f t="shared" si="54"/>
        <v>0.99988149552645611</v>
      </c>
      <c r="F47" s="288">
        <f t="shared" si="54"/>
        <v>0.99960015993602558</v>
      </c>
      <c r="G47" s="288">
        <f t="shared" si="54"/>
        <v>0.99905274998519933</v>
      </c>
      <c r="H47" s="288">
        <f t="shared" si="54"/>
        <v>0.99815157116451014</v>
      </c>
      <c r="I47" s="288">
        <f t="shared" si="54"/>
        <v>0.99681020733652304</v>
      </c>
      <c r="J47" s="288">
        <f t="shared" si="54"/>
        <v>0.99494420942470108</v>
      </c>
      <c r="K47" s="288">
        <f t="shared" si="54"/>
        <v>0.99247191672057877</v>
      </c>
      <c r="L47" s="288">
        <f t="shared" si="54"/>
        <v>0.98931539374752675</v>
      </c>
      <c r="M47" s="288">
        <f t="shared" si="54"/>
        <v>0.98540145985401462</v>
      </c>
      <c r="N47" s="288">
        <f t="shared" si="55"/>
        <v>0.98066278275776897</v>
      </c>
      <c r="O47" s="288">
        <f t="shared" si="55"/>
        <v>0.9750390015600624</v>
      </c>
      <c r="P47" s="288">
        <f t="shared" si="55"/>
        <v>0.96847783979224356</v>
      </c>
      <c r="Q47" s="288">
        <f t="shared" si="55"/>
        <v>0.960936165366437</v>
      </c>
      <c r="R47" s="288">
        <f t="shared" si="55"/>
        <v>0.95238095238095233</v>
      </c>
      <c r="S47" s="288">
        <f t="shared" si="55"/>
        <v>0.94279010000558683</v>
      </c>
      <c r="T47" s="288">
        <f t="shared" si="55"/>
        <v>0.93215306643834672</v>
      </c>
      <c r="U47" s="288">
        <f t="shared" si="55"/>
        <v>0.92047128129602362</v>
      </c>
      <c r="V47" s="288">
        <f t="shared" si="55"/>
        <v>0.90775830766954912</v>
      </c>
      <c r="W47" s="288">
        <f t="shared" si="55"/>
        <v>0.89403973509933776</v>
      </c>
      <c r="X47" s="288">
        <f t="shared" si="56"/>
        <v>0.87935279634189234</v>
      </c>
      <c r="Y47" s="288">
        <f t="shared" si="56"/>
        <v>0.86374571326201566</v>
      </c>
      <c r="Z47" s="288">
        <f t="shared" si="56"/>
        <v>0.84727678963686348</v>
      </c>
      <c r="AA47" s="288">
        <f t="shared" si="56"/>
        <v>0.83001328021248344</v>
      </c>
      <c r="AB47" s="288">
        <f t="shared" si="56"/>
        <v>0.81203007518796988</v>
      </c>
      <c r="AC47" s="288">
        <f t="shared" si="56"/>
        <v>0.79340824674408761</v>
      </c>
      <c r="AD47" s="288">
        <f t="shared" si="56"/>
        <v>0.77423350882626196</v>
      </c>
      <c r="AE47" s="288">
        <f t="shared" si="56"/>
        <v>0.75459464293699419</v>
      </c>
      <c r="AF47" s="288">
        <f t="shared" si="56"/>
        <v>0.73458194125521015</v>
      </c>
      <c r="AG47" s="288">
        <f t="shared" si="56"/>
        <v>0.7142857142857143</v>
      </c>
      <c r="AH47" s="288">
        <f t="shared" si="57"/>
        <v>0.69379490394794996</v>
      </c>
      <c r="AI47" s="288">
        <f t="shared" si="57"/>
        <v>0.67319583516176651</v>
      </c>
      <c r="AJ47" s="288">
        <f t="shared" si="57"/>
        <v>0.65257113025319757</v>
      </c>
      <c r="AK47" s="288">
        <f t="shared" si="57"/>
        <v>0.63199880154301336</v>
      </c>
      <c r="AL47" s="288">
        <f t="shared" si="57"/>
        <v>0.61155152887882225</v>
      </c>
      <c r="AM47" s="288">
        <f t="shared" si="57"/>
        <v>0.59129612109744556</v>
      </c>
      <c r="AN47" s="288">
        <f t="shared" si="57"/>
        <v>0.57129315379211709</v>
      </c>
      <c r="AO47" s="288">
        <f t="shared" si="57"/>
        <v>0.55159677050305622</v>
      </c>
      <c r="AP47" s="288">
        <f t="shared" si="57"/>
        <v>0.53225463061528633</v>
      </c>
      <c r="AQ47" s="288">
        <f t="shared" si="57"/>
        <v>0.51330798479087447</v>
      </c>
      <c r="AR47" s="288">
        <f t="shared" si="58"/>
        <v>0.49479185755858701</v>
      </c>
      <c r="AS47" s="288">
        <f t="shared" si="58"/>
        <v>0.47673531655225021</v>
      </c>
      <c r="AT47" s="288">
        <f t="shared" si="58"/>
        <v>0.45916180862135814</v>
      </c>
      <c r="AU47" s="288">
        <f t="shared" si="58"/>
        <v>0.44208954441853759</v>
      </c>
      <c r="AV47" s="288">
        <f t="shared" si="58"/>
        <v>0.42553191489361702</v>
      </c>
      <c r="AW47" s="288">
        <f t="shared" si="58"/>
        <v>0.40949792521051226</v>
      </c>
      <c r="AX47" s="288">
        <f t="shared" si="58"/>
        <v>0.39399263379697996</v>
      </c>
      <c r="AY47" s="288">
        <f t="shared" si="58"/>
        <v>0.37901758641600969</v>
      </c>
      <c r="AZ47" s="288">
        <f t="shared" si="58"/>
        <v>0.36457123721975271</v>
      </c>
      <c r="BA47" s="288">
        <f t="shared" si="58"/>
        <v>0.35064935064935066</v>
      </c>
      <c r="BB47" s="288">
        <f t="shared" si="59"/>
        <v>0.3372453797382976</v>
      </c>
      <c r="BC47" s="288">
        <f t="shared" si="59"/>
        <v>0.32435081784458064</v>
      </c>
      <c r="BD47" s="288">
        <f t="shared" si="59"/>
        <v>0.31195552207489702</v>
      </c>
      <c r="BE47" s="288">
        <f t="shared" si="59"/>
        <v>0.30004800768122897</v>
      </c>
      <c r="BF47" s="288">
        <f t="shared" si="59"/>
        <v>0.28861571352218063</v>
      </c>
      <c r="BG47" s="288">
        <f t="shared" si="59"/>
        <v>0.27764523930962998</v>
      </c>
      <c r="BH47" s="288">
        <f t="shared" si="59"/>
        <v>0.26712255582861411</v>
      </c>
      <c r="BI47" s="288">
        <f t="shared" si="59"/>
        <v>0.25703318964860705</v>
      </c>
      <c r="BJ47" s="288">
        <f t="shared" si="59"/>
        <v>0.24736238406033442</v>
      </c>
      <c r="BK47" s="288">
        <f t="shared" si="59"/>
        <v>0.23809523809523808</v>
      </c>
      <c r="BL47" s="288">
        <f t="shared" si="60"/>
        <v>0.2292168255337356</v>
      </c>
      <c r="BM47" s="288">
        <f t="shared" si="60"/>
        <v>0.2207122958002537</v>
      </c>
      <c r="BN47" s="288">
        <f t="shared" si="60"/>
        <v>0.21256695859195646</v>
      </c>
      <c r="BO47" s="288">
        <f t="shared" si="60"/>
        <v>0.20476635400613993</v>
      </c>
      <c r="BP47" s="288">
        <f t="shared" si="60"/>
        <v>0.19729630982827914</v>
      </c>
      <c r="BQ47" s="288">
        <f t="shared" si="60"/>
        <v>0.19014298752662001</v>
      </c>
      <c r="BR47" s="288">
        <f t="shared" si="60"/>
        <v>0.18329291837626913</v>
      </c>
      <c r="BS47" s="288">
        <f t="shared" si="60"/>
        <v>0.17673303101075583</v>
      </c>
      <c r="BT47" s="288">
        <f t="shared" si="60"/>
        <v>0.170450671575646</v>
      </c>
      <c r="BU47" s="288">
        <f t="shared" si="60"/>
        <v>0.16443361753958588</v>
      </c>
      <c r="BV47" s="288">
        <f t="shared" si="61"/>
        <v>0.15867008610496669</v>
      </c>
      <c r="BW47" s="288">
        <f t="shared" si="61"/>
        <v>0.15314873805439841</v>
      </c>
      <c r="BX47" s="288">
        <f t="shared" si="61"/>
        <v>0.1478586777710359</v>
      </c>
      <c r="BY47" s="288">
        <f t="shared" si="61"/>
        <v>0.14278945008080823</v>
      </c>
      <c r="BZ47" s="288">
        <f t="shared" si="61"/>
        <v>0.13793103448275862</v>
      </c>
      <c r="CA47" s="290">
        <f t="shared" si="61"/>
        <v>0.1332738372598109</v>
      </c>
      <c r="CB47" s="242"/>
      <c r="CE47" s="236"/>
      <c r="CF47" s="236"/>
      <c r="CG47" s="236"/>
    </row>
    <row r="48" spans="2:95">
      <c r="B48" s="274">
        <f t="shared" si="19"/>
        <v>11.5</v>
      </c>
      <c r="C48" s="234"/>
      <c r="D48" s="272">
        <f t="shared" si="54"/>
        <v>0.99998613070933196</v>
      </c>
      <c r="E48" s="288">
        <f t="shared" si="54"/>
        <v>0.99988905644561499</v>
      </c>
      <c r="F48" s="288">
        <f t="shared" si="54"/>
        <v>0.99962566413805964</v>
      </c>
      <c r="G48" s="288">
        <f t="shared" si="54"/>
        <v>0.9991131403044885</v>
      </c>
      <c r="H48" s="288">
        <f t="shared" si="54"/>
        <v>0.99826931508464978</v>
      </c>
      <c r="I48" s="288">
        <f t="shared" si="54"/>
        <v>0.99701313972688044</v>
      </c>
      <c r="J48" s="288">
        <f t="shared" si="54"/>
        <v>0.99526529143176745</v>
      </c>
      <c r="K48" s="288">
        <f t="shared" si="54"/>
        <v>0.99294889581667134</v>
      </c>
      <c r="L48" s="288">
        <f t="shared" si="54"/>
        <v>0.98999035294392868</v>
      </c>
      <c r="M48" s="288">
        <f t="shared" si="54"/>
        <v>0.9863202480595018</v>
      </c>
      <c r="N48" s="288">
        <f t="shared" si="55"/>
        <v>0.98187432319357304</v>
      </c>
      <c r="O48" s="288">
        <f t="shared" si="55"/>
        <v>0.97659448092080969</v>
      </c>
      <c r="P48" s="288">
        <f t="shared" si="55"/>
        <v>0.97042978725737639</v>
      </c>
      <c r="Q48" s="288">
        <f t="shared" si="55"/>
        <v>0.96333743730230681</v>
      </c>
      <c r="R48" s="288">
        <f t="shared" si="55"/>
        <v>0.95528364522326281</v>
      </c>
      <c r="S48" s="288">
        <f t="shared" si="55"/>
        <v>0.94624441990325237</v>
      </c>
      <c r="T48" s="288">
        <f t="shared" si="55"/>
        <v>0.93620618927550681</v>
      </c>
      <c r="U48" s="288">
        <f t="shared" si="55"/>
        <v>0.92516624021473415</v>
      </c>
      <c r="V48" s="288">
        <f t="shared" si="55"/>
        <v>0.91313294679473322</v>
      </c>
      <c r="W48" s="288">
        <f t="shared" si="55"/>
        <v>0.9001257675519716</v>
      </c>
      <c r="X48" s="288">
        <f t="shared" si="56"/>
        <v>0.88617500171843433</v>
      </c>
      <c r="Y48" s="288">
        <f t="shared" si="56"/>
        <v>0.87132130465451862</v>
      </c>
      <c r="Z48" s="288">
        <f t="shared" si="56"/>
        <v>0.85561497326203206</v>
      </c>
      <c r="AA48" s="288">
        <f t="shared" si="56"/>
        <v>0.83911502227616941</v>
      </c>
      <c r="AB48" s="288">
        <f t="shared" si="56"/>
        <v>0.82188808133091562</v>
      </c>
      <c r="AC48" s="288">
        <f t="shared" si="56"/>
        <v>0.80400714996084699</v>
      </c>
      <c r="AD48" s="288">
        <f t="shared" si="56"/>
        <v>0.78555025278825708</v>
      </c>
      <c r="AE48" s="288">
        <f t="shared" si="56"/>
        <v>0.76659903978224986</v>
      </c>
      <c r="AF48" s="288">
        <f t="shared" si="56"/>
        <v>0.74723737660845158</v>
      </c>
      <c r="AG48" s="288">
        <f t="shared" si="56"/>
        <v>0.7275499678591183</v>
      </c>
      <c r="AH48" s="288">
        <f t="shared" si="57"/>
        <v>0.7076210516826682</v>
      </c>
      <c r="AI48" s="288">
        <f t="shared" si="57"/>
        <v>0.68753319846750227</v>
      </c>
      <c r="AJ48" s="288">
        <f t="shared" si="57"/>
        <v>0.66736623930114947</v>
      </c>
      <c r="AK48" s="288">
        <f t="shared" si="57"/>
        <v>0.64719634246564417</v>
      </c>
      <c r="AL48" s="288">
        <f t="shared" si="57"/>
        <v>0.62709524875617884</v>
      </c>
      <c r="AM48" s="288">
        <f t="shared" si="57"/>
        <v>0.60712966936457713</v>
      </c>
      <c r="AN48" s="288">
        <f t="shared" si="57"/>
        <v>0.58736084379717179</v>
      </c>
      <c r="AO48" s="288">
        <f t="shared" si="57"/>
        <v>0.56784425003441974</v>
      </c>
      <c r="AP48" s="288">
        <f t="shared" si="57"/>
        <v>0.54862945501450955</v>
      </c>
      <c r="AQ48" s="288">
        <f t="shared" si="57"/>
        <v>0.52976009056472328</v>
      </c>
      <c r="AR48" s="288">
        <f t="shared" si="58"/>
        <v>0.51127393806103449</v>
      </c>
      <c r="AS48" s="288">
        <f t="shared" si="58"/>
        <v>0.49320310425690184</v>
      </c>
      <c r="AT48" s="288">
        <f t="shared" si="58"/>
        <v>0.47557427073620051</v>
      </c>
      <c r="AU48" s="288">
        <f t="shared" si="58"/>
        <v>0.45840900014317032</v>
      </c>
      <c r="AV48" s="288">
        <f t="shared" si="58"/>
        <v>0.44172408355163661</v>
      </c>
      <c r="AW48" s="288">
        <f t="shared" si="58"/>
        <v>0.42553191489361702</v>
      </c>
      <c r="AX48" s="288">
        <f t="shared" si="58"/>
        <v>0.40984088012882686</v>
      </c>
      <c r="AY48" s="288">
        <f t="shared" si="58"/>
        <v>0.39465575067954611</v>
      </c>
      <c r="AZ48" s="288">
        <f t="shared" si="58"/>
        <v>0.37997807248260523</v>
      </c>
      <c r="BA48" s="288">
        <f t="shared" si="58"/>
        <v>0.3658065437490135</v>
      </c>
      <c r="BB48" s="288">
        <f t="shared" si="59"/>
        <v>0.35213737612143492</v>
      </c>
      <c r="BC48" s="288">
        <f t="shared" si="59"/>
        <v>0.33896463534904964</v>
      </c>
      <c r="BD48" s="288">
        <f t="shared" si="59"/>
        <v>0.32628055884294699</v>
      </c>
      <c r="BE48" s="288">
        <f t="shared" si="59"/>
        <v>0.31407584853010073</v>
      </c>
      <c r="BF48" s="288">
        <f t="shared" si="59"/>
        <v>0.302339938296387</v>
      </c>
      <c r="BG48" s="288">
        <f t="shared" si="59"/>
        <v>0.2910612360115018</v>
      </c>
      <c r="BH48" s="288">
        <f t="shared" si="59"/>
        <v>0.28022734067748761</v>
      </c>
      <c r="BI48" s="288">
        <f t="shared" si="59"/>
        <v>0.26982523565631711</v>
      </c>
      <c r="BJ48" s="288">
        <f t="shared" si="59"/>
        <v>0.25984145922965612</v>
      </c>
      <c r="BK48" s="288">
        <f t="shared" si="59"/>
        <v>0.25026225394409363</v>
      </c>
      <c r="BL48" s="288">
        <f t="shared" si="60"/>
        <v>0.24107369631515327</v>
      </c>
      <c r="BM48" s="288">
        <f t="shared" si="60"/>
        <v>0.23226180851906608</v>
      </c>
      <c r="BN48" s="288">
        <f t="shared" si="60"/>
        <v>0.22381265370650619</v>
      </c>
      <c r="BO48" s="288">
        <f t="shared" si="60"/>
        <v>0.21571241653931117</v>
      </c>
      <c r="BP48" s="288">
        <f t="shared" si="60"/>
        <v>0.20794747048980436</v>
      </c>
      <c r="BQ48" s="288">
        <f t="shared" si="60"/>
        <v>0.20050443336115598</v>
      </c>
      <c r="BR48" s="288">
        <f t="shared" si="60"/>
        <v>0.19337021239314808</v>
      </c>
      <c r="BS48" s="288">
        <f t="shared" si="60"/>
        <v>0.18653204021622816</v>
      </c>
      <c r="BT48" s="288">
        <f t="shared" si="60"/>
        <v>0.17997750281214847</v>
      </c>
      <c r="BU48" s="288">
        <f t="shared" si="60"/>
        <v>0.17369456053505977</v>
      </c>
      <c r="BV48" s="288">
        <f t="shared" si="61"/>
        <v>0.16767156314508894</v>
      </c>
      <c r="BW48" s="288">
        <f t="shared" si="61"/>
        <v>0.16189725970891225</v>
      </c>
      <c r="BX48" s="288">
        <f t="shared" si="61"/>
        <v>0.15636080412980405</v>
      </c>
      <c r="BY48" s="288">
        <f t="shared" si="61"/>
        <v>0.1510517569838315</v>
      </c>
      <c r="BZ48" s="288">
        <f t="shared" si="61"/>
        <v>0.14596008425964838</v>
      </c>
      <c r="CA48" s="290">
        <f t="shared" si="61"/>
        <v>0.14107615352684585</v>
      </c>
      <c r="CB48" s="242"/>
      <c r="CE48" s="236"/>
      <c r="CF48" s="236"/>
      <c r="CG48" s="236"/>
    </row>
    <row r="49" spans="2:95">
      <c r="B49" s="274">
        <f t="shared" si="19"/>
        <v>11.75</v>
      </c>
      <c r="C49" s="234"/>
      <c r="D49" s="272">
        <f t="shared" si="54"/>
        <v>0.99998699726990825</v>
      </c>
      <c r="E49" s="288">
        <f t="shared" si="54"/>
        <v>0.99989598762637977</v>
      </c>
      <c r="F49" s="288">
        <f t="shared" si="54"/>
        <v>0.99964904493524664</v>
      </c>
      <c r="G49" s="288">
        <f t="shared" si="54"/>
        <v>0.99916850641039223</v>
      </c>
      <c r="H49" s="288">
        <f t="shared" si="54"/>
        <v>0.9983772751203821</v>
      </c>
      <c r="I49" s="288">
        <f t="shared" si="54"/>
        <v>0.99719924006815563</v>
      </c>
      <c r="J49" s="288">
        <f t="shared" si="54"/>
        <v>0.99555980881431405</v>
      </c>
      <c r="K49" s="288">
        <f t="shared" si="54"/>
        <v>0.9933865446035085</v>
      </c>
      <c r="L49" s="288">
        <f t="shared" si="54"/>
        <v>0.9906098963668033</v>
      </c>
      <c r="M49" s="288">
        <f t="shared" si="54"/>
        <v>0.98716400597111431</v>
      </c>
      <c r="N49" s="288">
        <f t="shared" si="55"/>
        <v>0.98298757288521044</v>
      </c>
      <c r="O49" s="288">
        <f t="shared" si="55"/>
        <v>0.97802475229803743</v>
      </c>
      <c r="P49" s="288">
        <f t="shared" si="55"/>
        <v>0.97222605896958447</v>
      </c>
      <c r="Q49" s="288">
        <f t="shared" si="55"/>
        <v>0.96554924605263404</v>
      </c>
      <c r="R49" s="288">
        <f t="shared" si="55"/>
        <v>0.95796012613115522</v>
      </c>
      <c r="S49" s="288">
        <f t="shared" si="55"/>
        <v>0.9494333010829189</v>
      </c>
      <c r="T49" s="288">
        <f t="shared" si="55"/>
        <v>0.93995276833079</v>
      </c>
      <c r="U49" s="288">
        <f t="shared" si="55"/>
        <v>0.92951237374234752</v>
      </c>
      <c r="V49" s="288">
        <f t="shared" si="55"/>
        <v>0.91811608588939153</v>
      </c>
      <c r="W49" s="288">
        <f t="shared" si="55"/>
        <v>0.90577807246364173</v>
      </c>
      <c r="X49" s="288">
        <f t="shared" si="56"/>
        <v>0.89252256709307121</v>
      </c>
      <c r="Y49" s="288">
        <f t="shared" si="56"/>
        <v>0.87838352321278401</v>
      </c>
      <c r="Z49" s="288">
        <f t="shared" si="56"/>
        <v>0.86340406050971974</v>
      </c>
      <c r="AA49" s="288">
        <f t="shared" si="56"/>
        <v>0.84763571821621198</v>
      </c>
      <c r="AB49" s="288">
        <f t="shared" si="56"/>
        <v>0.83113753760004161</v>
      </c>
      <c r="AC49" s="288">
        <f t="shared" si="56"/>
        <v>0.8139750028616094</v>
      </c>
      <c r="AD49" s="288">
        <f t="shared" si="56"/>
        <v>0.79621887487293419</v>
      </c>
      <c r="AE49" s="288">
        <f t="shared" si="56"/>
        <v>0.77794395548568762</v>
      </c>
      <c r="AF49" s="288">
        <f t="shared" si="56"/>
        <v>0.75922782136357969</v>
      </c>
      <c r="AG49" s="288">
        <f t="shared" si="56"/>
        <v>0.74014956549015132</v>
      </c>
      <c r="AH49" s="288">
        <f t="shared" si="57"/>
        <v>0.7207885818502181</v>
      </c>
      <c r="AI49" s="288">
        <f t="shared" si="57"/>
        <v>0.70122342458925391</v>
      </c>
      <c r="AJ49" s="288">
        <f t="shared" si="57"/>
        <v>0.68153076761240383</v>
      </c>
      <c r="AK49" s="288">
        <f t="shared" si="57"/>
        <v>0.66178448452799976</v>
      </c>
      <c r="AL49" s="288">
        <f t="shared" si="57"/>
        <v>0.64205486250361388</v>
      </c>
      <c r="AM49" s="288">
        <f t="shared" si="57"/>
        <v>0.62240795738349219</v>
      </c>
      <c r="AN49" s="288">
        <f t="shared" si="57"/>
        <v>0.60290509164827533</v>
      </c>
      <c r="AO49" s="288">
        <f t="shared" si="57"/>
        <v>0.58360249173412959</v>
      </c>
      <c r="AP49" s="288">
        <f t="shared" si="57"/>
        <v>0.56455105703448516</v>
      </c>
      <c r="AQ49" s="288">
        <f t="shared" si="57"/>
        <v>0.54579624966486706</v>
      </c>
      <c r="AR49" s="288">
        <f t="shared" si="58"/>
        <v>0.52737809178663597</v>
      </c>
      <c r="AS49" s="288">
        <f t="shared" si="58"/>
        <v>0.50933125590531481</v>
      </c>
      <c r="AT49" s="288">
        <f t="shared" si="58"/>
        <v>0.49168523298609634</v>
      </c>
      <c r="AU49" s="288">
        <f t="shared" si="58"/>
        <v>0.474464563337955</v>
      </c>
      <c r="AV49" s="288">
        <f t="shared" si="58"/>
        <v>0.4576891158704251</v>
      </c>
      <c r="AW49" s="288">
        <f t="shared" si="58"/>
        <v>0.44137440238476428</v>
      </c>
      <c r="AX49" s="288">
        <f t="shared" si="58"/>
        <v>0.42553191489361697</v>
      </c>
      <c r="AY49" s="288">
        <f t="shared" si="58"/>
        <v>0.41016947545493837</v>
      </c>
      <c r="AZ49" s="288">
        <f t="shared" si="58"/>
        <v>0.39529158955968441</v>
      </c>
      <c r="BA49" s="288">
        <f t="shared" si="58"/>
        <v>0.38089979565107329</v>
      </c>
      <c r="BB49" s="288">
        <f t="shared" si="59"/>
        <v>0.36699300481774866</v>
      </c>
      <c r="BC49" s="288">
        <f t="shared" si="59"/>
        <v>0.35356782605319775</v>
      </c>
      <c r="BD49" s="288">
        <f t="shared" si="59"/>
        <v>0.34061887368381855</v>
      </c>
      <c r="BE49" s="288">
        <f t="shared" si="59"/>
        <v>0.32813905462526161</v>
      </c>
      <c r="BF49" s="288">
        <f t="shared" si="59"/>
        <v>0.31611983402818111</v>
      </c>
      <c r="BG49" s="288">
        <f t="shared" si="59"/>
        <v>0.30455147862481174</v>
      </c>
      <c r="BH49" s="288">
        <f t="shared" si="59"/>
        <v>0.2934232776965327</v>
      </c>
      <c r="BI49" s="288">
        <f t="shared" si="59"/>
        <v>0.28272374206275075</v>
      </c>
      <c r="BJ49" s="288">
        <f t="shared" si="59"/>
        <v>0.27244078185778409</v>
      </c>
      <c r="BK49" s="288">
        <f t="shared" si="59"/>
        <v>0.26256186413031107</v>
      </c>
      <c r="BL49" s="288">
        <f t="shared" si="60"/>
        <v>0.25307415148446416</v>
      </c>
      <c r="BM49" s="288">
        <f t="shared" si="60"/>
        <v>0.24396462309706277</v>
      </c>
      <c r="BN49" s="288">
        <f t="shared" si="60"/>
        <v>0.23522017950483073</v>
      </c>
      <c r="BO49" s="288">
        <f t="shared" si="60"/>
        <v>0.2268277325703589</v>
      </c>
      <c r="BP49" s="288">
        <f t="shared" si="60"/>
        <v>0.2187742820161758</v>
      </c>
      <c r="BQ49" s="288">
        <f t="shared" si="60"/>
        <v>0.21104697987122886</v>
      </c>
      <c r="BR49" s="288">
        <f t="shared" si="60"/>
        <v>0.20363318411059814</v>
      </c>
      <c r="BS49" s="288">
        <f t="shared" si="60"/>
        <v>0.19652050269332447</v>
      </c>
      <c r="BT49" s="288">
        <f t="shared" si="60"/>
        <v>0.18969682911964997</v>
      </c>
      <c r="BU49" s="288">
        <f t="shared" si="60"/>
        <v>0.18315037054154987</v>
      </c>
      <c r="BV49" s="288">
        <f t="shared" si="61"/>
        <v>0.17686966937213333</v>
      </c>
      <c r="BW49" s="288">
        <f t="shared" si="61"/>
        <v>0.17084361925254207</v>
      </c>
      <c r="BX49" s="288">
        <f t="shared" si="61"/>
        <v>0.16506147615099906</v>
      </c>
      <c r="BY49" s="288">
        <f t="shared" si="61"/>
        <v>0.15951286528880951</v>
      </c>
      <c r="BZ49" s="288">
        <f t="shared" si="61"/>
        <v>0.15418778451312962</v>
      </c>
      <c r="CA49" s="290">
        <f t="shared" si="61"/>
        <v>0.14907660466664349</v>
      </c>
      <c r="CB49" s="242"/>
      <c r="CE49" s="236"/>
      <c r="CF49" s="236"/>
      <c r="CG49" s="236"/>
    </row>
    <row r="50" spans="2:95">
      <c r="B50" s="274">
        <f t="shared" si="19"/>
        <v>12</v>
      </c>
      <c r="C50" s="234"/>
      <c r="D50" s="272">
        <f t="shared" si="54"/>
        <v>0.99998779311775976</v>
      </c>
      <c r="E50" s="288">
        <f t="shared" si="54"/>
        <v>0.9999023532858119</v>
      </c>
      <c r="F50" s="288">
        <f t="shared" si="54"/>
        <v>0.99967051874992374</v>
      </c>
      <c r="G50" s="288">
        <f t="shared" si="54"/>
        <v>0.99921935987509758</v>
      </c>
      <c r="H50" s="288">
        <f t="shared" si="54"/>
        <v>0.99847644585288564</v>
      </c>
      <c r="I50" s="288">
        <f t="shared" si="54"/>
        <v>0.99737021525275149</v>
      </c>
      <c r="J50" s="288">
        <f t="shared" si="54"/>
        <v>0.99583044625165629</v>
      </c>
      <c r="K50" s="288">
        <f t="shared" si="54"/>
        <v>0.99378881987577639</v>
      </c>
      <c r="L50" s="288">
        <f t="shared" si="54"/>
        <v>0.99117956660092688</v>
      </c>
      <c r="M50" s="288">
        <f t="shared" si="54"/>
        <v>0.98794018330921374</v>
      </c>
      <c r="N50" s="288">
        <f t="shared" si="55"/>
        <v>0.98401220405760892</v>
      </c>
      <c r="O50" s="288">
        <f t="shared" si="55"/>
        <v>0.97934200459066567</v>
      </c>
      <c r="P50" s="288">
        <f t="shared" si="55"/>
        <v>0.97388161727118183</v>
      </c>
      <c r="Q50" s="288">
        <f t="shared" si="55"/>
        <v>0.9675895303789096</v>
      </c>
      <c r="R50" s="288">
        <f t="shared" si="55"/>
        <v>0.96043144381265022</v>
      </c>
      <c r="S50" s="288">
        <f t="shared" si="55"/>
        <v>0.95238095238095233</v>
      </c>
      <c r="T50" s="288">
        <f t="shared" si="55"/>
        <v>0.94342012829223909</v>
      </c>
      <c r="U50" s="288">
        <f t="shared" si="55"/>
        <v>0.9335399762968366</v>
      </c>
      <c r="V50" s="288">
        <f t="shared" si="55"/>
        <v>0.92274073823764635</v>
      </c>
      <c r="W50" s="288">
        <f t="shared" si="55"/>
        <v>0.91103202846975084</v>
      </c>
      <c r="X50" s="288">
        <f t="shared" si="56"/>
        <v>0.89843278753249023</v>
      </c>
      <c r="Y50" s="288">
        <f t="shared" si="56"/>
        <v>0.88497104831043127</v>
      </c>
      <c r="Z50" s="288">
        <f t="shared" si="56"/>
        <v>0.87068351632000174</v>
      </c>
      <c r="AA50" s="288">
        <f t="shared" si="56"/>
        <v>0.85561497326203217</v>
      </c>
      <c r="AB50" s="288">
        <f t="shared" si="56"/>
        <v>0.83981752011891952</v>
      </c>
      <c r="AC50" s="288">
        <f t="shared" si="56"/>
        <v>0.8233496823992924</v>
      </c>
      <c r="AD50" s="288">
        <f t="shared" si="56"/>
        <v>0.80627540525378194</v>
      </c>
      <c r="AE50" s="288">
        <f t="shared" si="56"/>
        <v>0.78866296980899564</v>
      </c>
      <c r="AF50" s="288">
        <f t="shared" si="56"/>
        <v>0.77058386401903889</v>
      </c>
      <c r="AG50" s="288">
        <f t="shared" si="56"/>
        <v>0.75211164157179577</v>
      </c>
      <c r="AH50" s="288">
        <f t="shared" si="57"/>
        <v>0.73332080099542563</v>
      </c>
      <c r="AI50" s="288">
        <f t="shared" si="57"/>
        <v>0.7142857142857143</v>
      </c>
      <c r="AJ50" s="288">
        <f t="shared" si="57"/>
        <v>0.6950796303995519</v>
      </c>
      <c r="AK50" s="288">
        <f t="shared" si="57"/>
        <v>0.6757737741701314</v>
      </c>
      <c r="AL50" s="288">
        <f t="shared" si="57"/>
        <v>0.65643655595176087</v>
      </c>
      <c r="AM50" s="288">
        <f t="shared" si="57"/>
        <v>0.63713290194126426</v>
      </c>
      <c r="AN50" s="288">
        <f t="shared" si="57"/>
        <v>0.6179237099560243</v>
      </c>
      <c r="AO50" s="288">
        <f t="shared" si="57"/>
        <v>0.59886543072694309</v>
      </c>
      <c r="AP50" s="288">
        <f t="shared" si="57"/>
        <v>0.58000977067240622</v>
      </c>
      <c r="AQ50" s="288">
        <f t="shared" si="57"/>
        <v>0.56140350877192979</v>
      </c>
      <c r="AR50" s="288">
        <f t="shared" si="58"/>
        <v>0.54308841760529303</v>
      </c>
      <c r="AS50" s="288">
        <f t="shared" si="58"/>
        <v>0.52510127685759711</v>
      </c>
      <c r="AT50" s="288">
        <f t="shared" si="58"/>
        <v>0.5074739665607364</v>
      </c>
      <c r="AU50" s="288">
        <f t="shared" si="58"/>
        <v>0.49023362696284944</v>
      </c>
      <c r="AV50" s="288">
        <f t="shared" si="58"/>
        <v>0.47340287208529575</v>
      </c>
      <c r="AW50" s="288">
        <f t="shared" si="58"/>
        <v>0.45700004462891058</v>
      </c>
      <c r="AX50" s="288">
        <f t="shared" si="58"/>
        <v>0.44103950081564308</v>
      </c>
      <c r="AY50" s="288">
        <f t="shared" si="58"/>
        <v>0.42553191489361702</v>
      </c>
      <c r="AZ50" s="288">
        <f t="shared" si="58"/>
        <v>0.41048459430071799</v>
      </c>
      <c r="BA50" s="288">
        <f t="shared" si="58"/>
        <v>0.39590179779624973</v>
      </c>
      <c r="BB50" s="288">
        <f t="shared" si="59"/>
        <v>0.38178505016987385</v>
      </c>
      <c r="BC50" s="288">
        <f t="shared" si="59"/>
        <v>0.36813344837503592</v>
      </c>
      <c r="BD50" s="288">
        <f t="shared" si="59"/>
        <v>0.35494395507740567</v>
      </c>
      <c r="BE50" s="288">
        <f t="shared" si="59"/>
        <v>0.34221167663670082</v>
      </c>
      <c r="BF50" s="288">
        <f t="shared" si="59"/>
        <v>0.32993012344187356</v>
      </c>
      <c r="BG50" s="288">
        <f t="shared" si="59"/>
        <v>0.31809145129224653</v>
      </c>
      <c r="BH50" s="288">
        <f t="shared" si="59"/>
        <v>0.30668668316405412</v>
      </c>
      <c r="BI50" s="288">
        <f t="shared" si="59"/>
        <v>0.29570591123047157</v>
      </c>
      <c r="BJ50" s="288">
        <f t="shared" si="59"/>
        <v>0.28513847942387543</v>
      </c>
      <c r="BK50" s="288">
        <f t="shared" si="59"/>
        <v>0.27497314715359827</v>
      </c>
      <c r="BL50" s="288">
        <f t="shared" si="60"/>
        <v>0.2651982350332307</v>
      </c>
      <c r="BM50" s="288">
        <f t="shared" si="60"/>
        <v>0.25580175364092828</v>
      </c>
      <c r="BN50" s="288">
        <f t="shared" si="60"/>
        <v>0.24677151644591178</v>
      </c>
      <c r="BO50" s="288">
        <f t="shared" si="60"/>
        <v>0.23809523809523808</v>
      </c>
      <c r="BP50" s="288">
        <f t="shared" si="60"/>
        <v>0.22976061927666913</v>
      </c>
      <c r="BQ50" s="288">
        <f t="shared" si="60"/>
        <v>0.22175541936461873</v>
      </c>
      <c r="BR50" s="288">
        <f t="shared" si="60"/>
        <v>0.21406751802405644</v>
      </c>
      <c r="BS50" s="288">
        <f t="shared" si="60"/>
        <v>0.20668496689811078</v>
      </c>
      <c r="BT50" s="288">
        <f t="shared" si="60"/>
        <v>0.19959603244410115</v>
      </c>
      <c r="BU50" s="288">
        <f t="shared" si="60"/>
        <v>0.19278923091405442</v>
      </c>
      <c r="BV50" s="288">
        <f t="shared" si="61"/>
        <v>0.18625335640280014</v>
      </c>
      <c r="BW50" s="288">
        <f t="shared" si="61"/>
        <v>0.17997750281214847</v>
      </c>
      <c r="BX50" s="288">
        <f t="shared" si="61"/>
        <v>0.17395108050546038</v>
      </c>
      <c r="BY50" s="288">
        <f t="shared" si="61"/>
        <v>0.16816382835465488</v>
      </c>
      <c r="BZ50" s="288">
        <f t="shared" si="61"/>
        <v>0.16260582181244354</v>
      </c>
      <c r="CA50" s="290">
        <f t="shared" si="61"/>
        <v>0.15726747757709791</v>
      </c>
      <c r="CB50" s="242"/>
      <c r="CE50" s="236"/>
      <c r="CF50" s="236"/>
      <c r="CG50" s="236"/>
    </row>
    <row r="51" spans="2:95">
      <c r="B51" s="274">
        <f t="shared" si="19"/>
        <v>12.25</v>
      </c>
      <c r="C51" s="234"/>
      <c r="D51" s="272">
        <f t="shared" si="54"/>
        <v>0.99998852532100413</v>
      </c>
      <c r="E51" s="288">
        <f t="shared" si="54"/>
        <v>0.99990820994086338</v>
      </c>
      <c r="F51" s="288">
        <f t="shared" si="54"/>
        <v>0.9996902760706613</v>
      </c>
      <c r="G51" s="288">
        <f t="shared" si="54"/>
        <v>0.99926615104717875</v>
      </c>
      <c r="H51" s="288">
        <f t="shared" si="54"/>
        <v>0.99856770308378828</v>
      </c>
      <c r="I51" s="288">
        <f t="shared" si="54"/>
        <v>0.99752756896268113</v>
      </c>
      <c r="J51" s="288">
        <f t="shared" si="54"/>
        <v>0.99607957020473348</v>
      </c>
      <c r="K51" s="288">
        <f t="shared" si="54"/>
        <v>0.99415921216966008</v>
      </c>
      <c r="L51" s="288">
        <f t="shared" si="54"/>
        <v>0.99170425804254547</v>
      </c>
      <c r="M51" s="288">
        <f t="shared" si="54"/>
        <v>0.98865536685182231</v>
      </c>
      <c r="N51" s="288">
        <f t="shared" si="55"/>
        <v>0.9849567816713598</v>
      </c>
      <c r="O51" s="288">
        <f t="shared" si="55"/>
        <v>0.98055705115275815</v>
      </c>
      <c r="P51" s="288">
        <f t="shared" si="55"/>
        <v>0.97540976470993024</v>
      </c>
      <c r="Q51" s="288">
        <f t="shared" si="55"/>
        <v>0.9694742792538158</v>
      </c>
      <c r="R51" s="288">
        <f t="shared" si="55"/>
        <v>0.96271641357470317</v>
      </c>
      <c r="S51" s="288">
        <f t="shared" si="55"/>
        <v>0.95510908550673568</v>
      </c>
      <c r="T51" s="288">
        <f t="shared" si="55"/>
        <v>0.94663286706675287</v>
      </c>
      <c r="U51" s="288">
        <f t="shared" si="55"/>
        <v>0.93727643396944926</v>
      </c>
      <c r="V51" s="288">
        <f t="shared" si="55"/>
        <v>0.92703688834449038</v>
      </c>
      <c r="W51" s="288">
        <f t="shared" si="55"/>
        <v>0.91591993709565667</v>
      </c>
      <c r="X51" s="288">
        <f t="shared" si="56"/>
        <v>0.90393991303202004</v>
      </c>
      <c r="Y51" s="288">
        <f t="shared" si="56"/>
        <v>0.89111963146038831</v>
      </c>
      <c r="Z51" s="288">
        <f t="shared" si="56"/>
        <v>0.87749008107062898</v>
      </c>
      <c r="AA51" s="288">
        <f t="shared" si="56"/>
        <v>0.86308995432517022</v>
      </c>
      <c r="AB51" s="288">
        <f t="shared" si="56"/>
        <v>0.84796502880330682</v>
      </c>
      <c r="AC51" s="288">
        <f t="shared" si="56"/>
        <v>0.83216741667291472</v>
      </c>
      <c r="AD51" s="288">
        <f t="shared" si="56"/>
        <v>0.81575470432367547</v>
      </c>
      <c r="AE51" s="288">
        <f t="shared" si="56"/>
        <v>0.7987890079180251</v>
      </c>
      <c r="AF51" s="288">
        <f t="shared" si="56"/>
        <v>0.78133597300731905</v>
      </c>
      <c r="AG51" s="288">
        <f t="shared" si="56"/>
        <v>0.7634637473312611</v>
      </c>
      <c r="AH51" s="288">
        <f t="shared" si="57"/>
        <v>0.74524195548337091</v>
      </c>
      <c r="AI51" s="288">
        <f t="shared" si="57"/>
        <v>0.72674070239638067</v>
      </c>
      <c r="AJ51" s="288">
        <f t="shared" si="57"/>
        <v>0.70802962977228212</v>
      </c>
      <c r="AK51" s="288">
        <f t="shared" si="57"/>
        <v>0.68917704590374051</v>
      </c>
      <c r="AL51" s="288">
        <f t="shared" si="57"/>
        <v>0.67024914509037614</v>
      </c>
      <c r="AM51" s="288">
        <f t="shared" si="57"/>
        <v>0.65130932833466015</v>
      </c>
      <c r="AN51" s="288">
        <f t="shared" si="57"/>
        <v>0.63241763248025662</v>
      </c>
      <c r="AO51" s="288">
        <f t="shared" si="57"/>
        <v>0.61363027066723275</v>
      </c>
      <c r="AP51" s="288">
        <f t="shared" si="57"/>
        <v>0.59499928311206729</v>
      </c>
      <c r="AQ51" s="288">
        <f t="shared" si="57"/>
        <v>0.57657229390979614</v>
      </c>
      <c r="AR51" s="288">
        <f t="shared" si="58"/>
        <v>0.55839236687995553</v>
      </c>
      <c r="AS51" s="288">
        <f t="shared" si="58"/>
        <v>0.54049795146549007</v>
      </c>
      <c r="AT51" s="288">
        <f t="shared" si="58"/>
        <v>0.5229229083294793</v>
      </c>
      <c r="AU51" s="288">
        <f t="shared" si="58"/>
        <v>0.50569660352963319</v>
      </c>
      <c r="AV51" s="288">
        <f t="shared" si="58"/>
        <v>0.48884405991247271</v>
      </c>
      <c r="AW51" s="288">
        <f t="shared" si="58"/>
        <v>0.47238615457136363</v>
      </c>
      <c r="AX51" s="288">
        <f t="shared" si="58"/>
        <v>0.45633985176295488</v>
      </c>
      <c r="AY51" s="288">
        <f t="shared" si="58"/>
        <v>0.44071846148428795</v>
      </c>
      <c r="AZ51" s="288">
        <f t="shared" si="58"/>
        <v>0.42553191489361697</v>
      </c>
      <c r="BA51" s="288">
        <f t="shared" si="58"/>
        <v>0.41078704883746103</v>
      </c>
      <c r="BB51" s="288">
        <f t="shared" si="59"/>
        <v>0.39648789286209574</v>
      </c>
      <c r="BC51" s="288">
        <f t="shared" si="59"/>
        <v>0.38263595318954896</v>
      </c>
      <c r="BD51" s="288">
        <f t="shared" si="59"/>
        <v>0.36923048918826507</v>
      </c>
      <c r="BE51" s="288">
        <f t="shared" si="59"/>
        <v>0.35626877884014974</v>
      </c>
      <c r="BF51" s="288">
        <f t="shared" si="59"/>
        <v>0.3437463705816054</v>
      </c>
      <c r="BG51" s="288">
        <f t="shared" si="59"/>
        <v>0.33165731966737577</v>
      </c>
      <c r="BH51" s="288">
        <f t="shared" si="59"/>
        <v>0.31999440786999817</v>
      </c>
      <c r="BI51" s="288">
        <f t="shared" si="59"/>
        <v>0.30874934588670994</v>
      </c>
      <c r="BJ51" s="288">
        <f t="shared" si="59"/>
        <v>0.29791295828562736</v>
      </c>
      <c r="BK51" s="288">
        <f t="shared" si="59"/>
        <v>0.28747535119206158</v>
      </c>
      <c r="BL51" s="288">
        <f t="shared" si="60"/>
        <v>0.27742606320345287</v>
      </c>
      <c r="BM51" s="288">
        <f t="shared" si="60"/>
        <v>0.26775420023769214</v>
      </c>
      <c r="BN51" s="288">
        <f t="shared" si="60"/>
        <v>0.25844855517462229</v>
      </c>
      <c r="BO51" s="288">
        <f t="shared" si="60"/>
        <v>0.24949771325396558</v>
      </c>
      <c r="BP51" s="288">
        <f t="shared" si="60"/>
        <v>0.24089014425377936</v>
      </c>
      <c r="BQ51" s="288">
        <f t="shared" si="60"/>
        <v>0.23261428249994165</v>
      </c>
      <c r="BR51" s="288">
        <f t="shared" si="60"/>
        <v>0.22465859575631295</v>
      </c>
      <c r="BS51" s="288">
        <f t="shared" si="60"/>
        <v>0.21701164402335815</v>
      </c>
      <c r="BT51" s="288">
        <f t="shared" si="60"/>
        <v>0.20966212923548055</v>
      </c>
      <c r="BU51" s="288">
        <f t="shared" si="60"/>
        <v>0.2025989367985824</v>
      </c>
      <c r="BV51" s="288">
        <f t="shared" si="61"/>
        <v>0.19581116985311206</v>
      </c>
      <c r="BW51" s="288">
        <f t="shared" si="61"/>
        <v>0.18928817708707071</v>
      </c>
      <c r="BX51" s="288">
        <f t="shared" si="61"/>
        <v>0.18301957486050374</v>
      </c>
      <c r="BY51" s="288">
        <f t="shared" si="61"/>
        <v>0.17699526433974713</v>
      </c>
      <c r="BZ51" s="288">
        <f t="shared" si="61"/>
        <v>0.17120544427753853</v>
      </c>
      <c r="CA51" s="290">
        <f t="shared" si="61"/>
        <v>0.16564062001507601</v>
      </c>
      <c r="CB51" s="242"/>
      <c r="CE51" s="236"/>
      <c r="CF51" s="236"/>
      <c r="CG51" s="236"/>
    </row>
    <row r="52" spans="2:95">
      <c r="B52" s="274">
        <f t="shared" si="19"/>
        <v>12.5</v>
      </c>
      <c r="C52" s="234"/>
      <c r="D52" s="272">
        <f t="shared" si="54"/>
        <v>0.99998920011663872</v>
      </c>
      <c r="E52" s="288">
        <f t="shared" si="54"/>
        <v>0.99991360746431501</v>
      </c>
      <c r="F52" s="288">
        <f t="shared" si="54"/>
        <v>0.99970848500577236</v>
      </c>
      <c r="G52" s="288">
        <f t="shared" si="54"/>
        <v>0.99930927742744224</v>
      </c>
      <c r="H52" s="288">
        <f t="shared" si="54"/>
        <v>0.99865182004294206</v>
      </c>
      <c r="I52" s="288">
        <f t="shared" si="54"/>
        <v>0.99767262929039136</v>
      </c>
      <c r="J52" s="288">
        <f t="shared" si="54"/>
        <v>0.99630927193305119</v>
      </c>
      <c r="K52" s="288">
        <f t="shared" si="54"/>
        <v>0.994500808330257</v>
      </c>
      <c r="L52" s="288">
        <f t="shared" si="54"/>
        <v>0.99218830305240779</v>
      </c>
      <c r="M52" s="288">
        <f t="shared" si="54"/>
        <v>0.98931539374752675</v>
      </c>
      <c r="N52" s="288">
        <f t="shared" si="55"/>
        <v>0.98582890663293288</v>
      </c>
      <c r="O52" s="288">
        <f t="shared" si="55"/>
        <v>0.98167950441677243</v>
      </c>
      <c r="P52" s="288">
        <f t="shared" si="55"/>
        <v>0.97682235000795137</v>
      </c>
      <c r="Q52" s="288">
        <f t="shared" si="55"/>
        <v>0.9712177672247414</v>
      </c>
      <c r="R52" s="288">
        <f t="shared" si="55"/>
        <v>0.96483187804525061</v>
      </c>
      <c r="S52" s="288">
        <f t="shared" si="55"/>
        <v>0.95763719493509514</v>
      </c>
      <c r="T52" s="288">
        <f t="shared" si="55"/>
        <v>0.94961314659633966</v>
      </c>
      <c r="U52" s="288">
        <f t="shared" si="55"/>
        <v>0.94074651622750105</v>
      </c>
      <c r="V52" s="288">
        <f t="shared" si="55"/>
        <v>0.93103177313511543</v>
      </c>
      <c r="W52" s="288">
        <f t="shared" si="55"/>
        <v>0.92047128129602351</v>
      </c>
      <c r="X52" s="288">
        <f t="shared" si="56"/>
        <v>0.90907537216636658</v>
      </c>
      <c r="Y52" s="288">
        <f t="shared" si="56"/>
        <v>0.89686227352433878</v>
      </c>
      <c r="Z52" s="288">
        <f t="shared" si="56"/>
        <v>0.88385789120699276</v>
      </c>
      <c r="AA52" s="288">
        <f t="shared" si="56"/>
        <v>0.8700954459900434</v>
      </c>
      <c r="AB52" s="288">
        <f t="shared" si="56"/>
        <v>0.85561497326203206</v>
      </c>
      <c r="AC52" s="288">
        <f t="shared" si="56"/>
        <v>0.84046269824834119</v>
      </c>
      <c r="AD52" s="288">
        <f t="shared" si="56"/>
        <v>0.82469030405012012</v>
      </c>
      <c r="AE52" s="288">
        <f t="shared" si="56"/>
        <v>0.80835411342307562</v>
      </c>
      <c r="AF52" s="288">
        <f t="shared" si="56"/>
        <v>0.79151420783833359</v>
      </c>
      <c r="AG52" s="288">
        <f t="shared" si="56"/>
        <v>0.77423350882626196</v>
      </c>
      <c r="AH52" s="288">
        <f t="shared" si="57"/>
        <v>0.75657684687217508</v>
      </c>
      <c r="AI52" s="288">
        <f t="shared" si="57"/>
        <v>0.73861004226031224</v>
      </c>
      <c r="AJ52" s="288">
        <f t="shared" si="57"/>
        <v>0.72039902037259607</v>
      </c>
      <c r="AK52" s="288">
        <f t="shared" si="57"/>
        <v>0.7020089812221022</v>
      </c>
      <c r="AL52" s="288">
        <f t="shared" si="57"/>
        <v>0.68350363965688121</v>
      </c>
      <c r="AM52" s="288">
        <f t="shared" si="57"/>
        <v>0.66494454894417443</v>
      </c>
      <c r="AN52" s="288">
        <f t="shared" si="57"/>
        <v>0.64639051657203084</v>
      </c>
      <c r="AO52" s="288">
        <f t="shared" si="57"/>
        <v>0.6278971172992186</v>
      </c>
      <c r="AP52" s="288">
        <f t="shared" si="57"/>
        <v>0.60951630492686648</v>
      </c>
      <c r="AQ52" s="288">
        <f t="shared" si="57"/>
        <v>0.59129612109744556</v>
      </c>
      <c r="AR52" s="288">
        <f t="shared" si="58"/>
        <v>0.57328049674525727</v>
      </c>
      <c r="AS52" s="288">
        <f t="shared" si="58"/>
        <v>0.55550913968077342</v>
      </c>
      <c r="AT52" s="288">
        <f t="shared" si="58"/>
        <v>0.53801750020283257</v>
      </c>
      <c r="AU52" s="288">
        <f t="shared" si="58"/>
        <v>0.52083680557870382</v>
      </c>
      <c r="AV52" s="288">
        <f t="shared" si="58"/>
        <v>0.50399415366781741</v>
      </c>
      <c r="AW52" s="288">
        <f t="shared" si="58"/>
        <v>0.4875126558285453</v>
      </c>
      <c r="AX52" s="288">
        <f t="shared" si="58"/>
        <v>0.47141161946673532</v>
      </c>
      <c r="AY52" s="288">
        <f t="shared" si="58"/>
        <v>0.45570676108424668</v>
      </c>
      <c r="AZ52" s="288">
        <f t="shared" si="58"/>
        <v>0.44041044139167584</v>
      </c>
      <c r="BA52" s="288">
        <f t="shared" si="58"/>
        <v>0.42553191489361702</v>
      </c>
      <c r="BB52" s="288">
        <f t="shared" si="59"/>
        <v>0.4110775872771158</v>
      </c>
      <c r="BC52" s="288">
        <f t="shared" si="59"/>
        <v>0.39705127488399744</v>
      </c>
      <c r="BD52" s="288">
        <f t="shared" si="59"/>
        <v>0.38345446148499029</v>
      </c>
      <c r="BE52" s="288">
        <f t="shared" si="59"/>
        <v>0.37028654846725062</v>
      </c>
      <c r="BF52" s="288">
        <f t="shared" si="59"/>
        <v>0.35754509537515416</v>
      </c>
      <c r="BG52" s="288">
        <f t="shared" si="59"/>
        <v>0.34522604849293642</v>
      </c>
      <c r="BH52" s="288">
        <f t="shared" si="59"/>
        <v>0.33332395581937624</v>
      </c>
      <c r="BI52" s="288">
        <f t="shared" si="59"/>
        <v>0.32183216735684644</v>
      </c>
      <c r="BJ52" s="288">
        <f t="shared" si="59"/>
        <v>0.31074302012135629</v>
      </c>
      <c r="BK52" s="288">
        <f t="shared" si="59"/>
        <v>0.30004800768122902</v>
      </c>
      <c r="BL52" s="288">
        <f t="shared" si="60"/>
        <v>0.2897379343562782</v>
      </c>
      <c r="BM52" s="288">
        <f t="shared" si="60"/>
        <v>0.27980305446444798</v>
      </c>
      <c r="BN52" s="288">
        <f t="shared" si="60"/>
        <v>0.2702331971970548</v>
      </c>
      <c r="BO52" s="288">
        <f t="shared" si="60"/>
        <v>0.26101787784530367</v>
      </c>
      <c r="BP52" s="288">
        <f t="shared" si="60"/>
        <v>0.25214639619763235</v>
      </c>
      <c r="BQ52" s="288">
        <f t="shared" si="60"/>
        <v>0.24360792298715542</v>
      </c>
      <c r="BR52" s="288">
        <f t="shared" si="60"/>
        <v>0.23539157529785742</v>
      </c>
      <c r="BS52" s="288">
        <f t="shared" si="60"/>
        <v>0.22748648184330297</v>
      </c>
      <c r="BT52" s="288">
        <f t="shared" si="60"/>
        <v>0.21988183901782124</v>
      </c>
      <c r="BU52" s="288">
        <f t="shared" si="60"/>
        <v>0.21256695859195646</v>
      </c>
      <c r="BV52" s="288">
        <f t="shared" si="61"/>
        <v>0.2055313078853237</v>
      </c>
      <c r="BW52" s="288">
        <f t="shared" si="61"/>
        <v>0.19876454320409714</v>
      </c>
      <c r="BX52" s="288">
        <f t="shared" si="61"/>
        <v>0.19225653727981146</v>
      </c>
      <c r="BY52" s="288">
        <f t="shared" si="61"/>
        <v>0.18599740139310564</v>
      </c>
      <c r="BZ52" s="288">
        <f t="shared" si="61"/>
        <v>0.17997750281214847</v>
      </c>
      <c r="CA52" s="290">
        <f t="shared" si="61"/>
        <v>0.17418747812205274</v>
      </c>
      <c r="CB52" s="242"/>
      <c r="CE52" s="236"/>
      <c r="CF52" s="236"/>
      <c r="CG52" s="236"/>
    </row>
    <row r="53" spans="2:95">
      <c r="B53" s="274">
        <f t="shared" si="19"/>
        <v>12.75</v>
      </c>
      <c r="C53" s="234"/>
      <c r="D53" s="272">
        <f t="shared" ref="D53:M62" si="62">(POWER($B53,$F$1)/(POWER($B53,$F$1)+($G$1*POWER(D$2,$F$1))))</f>
        <v>0.99998982302235873</v>
      </c>
      <c r="E53" s="288">
        <f t="shared" si="62"/>
        <v>0.99991858997842642</v>
      </c>
      <c r="F53" s="288">
        <f t="shared" si="62"/>
        <v>0.99972529429120827</v>
      </c>
      <c r="G53" s="288">
        <f t="shared" si="62"/>
        <v>0.99934909076115708</v>
      </c>
      <c r="H53" s="288">
        <f t="shared" si="62"/>
        <v>0.99872948112008941</v>
      </c>
      <c r="I53" s="288">
        <f t="shared" si="62"/>
        <v>0.99780657215971402</v>
      </c>
      <c r="J53" s="288">
        <f t="shared" si="62"/>
        <v>0.99652140401407674</v>
      </c>
      <c r="K53" s="288">
        <f t="shared" si="62"/>
        <v>0.99481634471307645</v>
      </c>
      <c r="L53" s="288">
        <f t="shared" si="62"/>
        <v>0.9926355453636263</v>
      </c>
      <c r="M53" s="288">
        <f t="shared" si="62"/>
        <v>0.98992544831754992</v>
      </c>
      <c r="N53" s="288">
        <f t="shared" ref="N53:W62" si="63">(POWER($B53,$F$1)/(POWER($B53,$F$1)+($G$1*POWER(N$2,$F$1))))</f>
        <v>0.9866353385346065</v>
      </c>
      <c r="O53" s="288">
        <f t="shared" si="63"/>
        <v>0.98271792615113818</v>
      </c>
      <c r="P53" s="288">
        <f t="shared" si="63"/>
        <v>0.97812994614611215</v>
      </c>
      <c r="Q53" s="288">
        <f t="shared" si="63"/>
        <v>0.97283275909864964</v>
      </c>
      <c r="R53" s="288">
        <f t="shared" si="63"/>
        <v>0.96679293550450141</v>
      </c>
      <c r="S53" s="288">
        <f t="shared" si="63"/>
        <v>0.9599828051115713</v>
      </c>
      <c r="T53" s="288">
        <f t="shared" si="63"/>
        <v>0.95238095238095244</v>
      </c>
      <c r="U53" s="288">
        <f t="shared" si="63"/>
        <v>0.94397263958805666</v>
      </c>
      <c r="V53" s="288">
        <f t="shared" si="63"/>
        <v>0.93475014031716441</v>
      </c>
      <c r="W53" s="288">
        <f t="shared" si="63"/>
        <v>0.92471296819122906</v>
      </c>
      <c r="X53" s="288">
        <f t="shared" ref="X53:AG62" si="64">(POWER($B53,$F$1)/(POWER($B53,$F$1)+($G$1*POWER(X$2,$F$1))))</f>
        <v>0.91386798857897522</v>
      </c>
      <c r="Y53" s="288">
        <f t="shared" si="64"/>
        <v>0.90222940463510493</v>
      </c>
      <c r="Z53" s="288">
        <f t="shared" si="64"/>
        <v>0.88981861320148148</v>
      </c>
      <c r="AA53" s="288">
        <f t="shared" si="64"/>
        <v>0.87666393062346104</v>
      </c>
      <c r="AB53" s="288">
        <f t="shared" si="64"/>
        <v>0.86280019317732803</v>
      </c>
      <c r="AC53" s="288">
        <f t="shared" si="64"/>
        <v>0.84826824130667489</v>
      </c>
      <c r="AD53" s="288">
        <f t="shared" si="64"/>
        <v>0.83311430097589523</v>
      </c>
      <c r="AE53" s="288">
        <f t="shared" si="64"/>
        <v>0.81738927894053837</v>
      </c>
      <c r="AF53" s="288">
        <f t="shared" si="64"/>
        <v>0.80114799142267779</v>
      </c>
      <c r="AG53" s="288">
        <f t="shared" si="64"/>
        <v>0.78444834743733038</v>
      </c>
      <c r="AH53" s="288">
        <f t="shared" ref="AH53:AQ62" si="65">(POWER($B53,$F$1)/(POWER($B53,$F$1)+($G$1*POWER(AH$2,$F$1))))</f>
        <v>0.76735050878165734</v>
      </c>
      <c r="AI53" s="288">
        <f t="shared" si="65"/>
        <v>0.74991604847818794</v>
      </c>
      <c r="AJ53" s="288">
        <f t="shared" si="65"/>
        <v>0.73220712832626655</v>
      </c>
      <c r="AK53" s="288">
        <f t="shared" si="65"/>
        <v>0.7142857142857143</v>
      </c>
      <c r="AL53" s="288">
        <f t="shared" si="65"/>
        <v>0.69621284585680376</v>
      </c>
      <c r="AM53" s="288">
        <f t="shared" si="65"/>
        <v>0.67804797261862038</v>
      </c>
      <c r="AN53" s="288">
        <f t="shared" si="65"/>
        <v>0.65984836783893952</v>
      </c>
      <c r="AO53" s="288">
        <f t="shared" si="65"/>
        <v>0.64166862576078154</v>
      </c>
      <c r="AP53" s="288">
        <f t="shared" si="65"/>
        <v>0.62356024597186166</v>
      </c>
      <c r="AQ53" s="288">
        <f t="shared" si="65"/>
        <v>0.60557130531246151</v>
      </c>
      <c r="AR53" s="288">
        <f t="shared" ref="AR53:BA62" si="66">(POWER($B53,$F$1)/(POWER($B53,$F$1)+($G$1*POWER(AR$2,$F$1))))</f>
        <v>0.58774621517995462</v>
      </c>
      <c r="AS53" s="288">
        <f t="shared" si="66"/>
        <v>0.57012555991366309</v>
      </c>
      <c r="AT53" s="288">
        <f t="shared" si="66"/>
        <v>0.55274601022686998</v>
      </c>
      <c r="AU53" s="288">
        <f t="shared" si="66"/>
        <v>0.53564030439807242</v>
      </c>
      <c r="AV53" s="288">
        <f t="shared" si="66"/>
        <v>0.51883728912004645</v>
      </c>
      <c r="AW53" s="288">
        <f t="shared" si="66"/>
        <v>0.50236201149307758</v>
      </c>
      <c r="AX53" s="288">
        <f t="shared" si="66"/>
        <v>0.48623585358491306</v>
      </c>
      <c r="AY53" s="288">
        <f t="shared" si="66"/>
        <v>0.47047670120468082</v>
      </c>
      <c r="AZ53" s="288">
        <f t="shared" si="66"/>
        <v>0.45509913898911114</v>
      </c>
      <c r="BA53" s="288">
        <f t="shared" si="66"/>
        <v>0.440114664516707</v>
      </c>
      <c r="BB53" s="288">
        <f t="shared" ref="BB53:BK62" si="67">(POWER($B53,$F$1)/(POWER($B53,$F$1)+($G$1*POWER(BB$2,$F$1))))</f>
        <v>0.42553191489361708</v>
      </c>
      <c r="BC53" s="288">
        <f t="shared" si="67"/>
        <v>0.41135690004521319</v>
      </c>
      <c r="BD53" s="288">
        <f t="shared" si="67"/>
        <v>0.39759323775881394</v>
      </c>
      <c r="BE53" s="288">
        <f t="shared" si="67"/>
        <v>0.3842423863227542</v>
      </c>
      <c r="BF53" s="288">
        <f t="shared" si="67"/>
        <v>0.3713038713700002</v>
      </c>
      <c r="BG53" s="288">
        <f t="shared" si="67"/>
        <v>0.35877550424279603</v>
      </c>
      <c r="BH53" s="288">
        <f t="shared" si="67"/>
        <v>0.34665358983676303</v>
      </c>
      <c r="BI53" s="288">
        <f t="shared" si="67"/>
        <v>0.33493312245204038</v>
      </c>
      <c r="BJ53" s="288">
        <f t="shared" si="67"/>
        <v>0.32360796867332586</v>
      </c>
      <c r="BK53" s="288">
        <f t="shared" si="67"/>
        <v>0.31267103672118629</v>
      </c>
      <c r="BL53" s="288">
        <f t="shared" ref="BL53:BU62" si="68">(POWER($B53,$F$1)/(POWER($B53,$F$1)+($G$1*POWER(BL$2,$F$1))))</f>
        <v>0.30211443206729777</v>
      </c>
      <c r="BM53" s="288">
        <f t="shared" si="68"/>
        <v>0.29192959939154095</v>
      </c>
      <c r="BN53" s="288">
        <f t="shared" si="68"/>
        <v>0.28210745118530489</v>
      </c>
      <c r="BO53" s="288">
        <f t="shared" si="68"/>
        <v>0.27263848347965058</v>
      </c>
      <c r="BP53" s="288">
        <f t="shared" si="68"/>
        <v>0.26351287930595224</v>
      </c>
      <c r="BQ53" s="288">
        <f t="shared" si="68"/>
        <v>0.25472060058689949</v>
      </c>
      <c r="BR53" s="288">
        <f t="shared" si="68"/>
        <v>0.24625146921355409</v>
      </c>
      <c r="BS53" s="288">
        <f t="shared" si="68"/>
        <v>0.23809523809523811</v>
      </c>
      <c r="BT53" s="288">
        <f t="shared" si="68"/>
        <v>0.23024165297854343</v>
      </c>
      <c r="BU53" s="288">
        <f t="shared" si="68"/>
        <v>0.2226805058242306</v>
      </c>
      <c r="BV53" s="288">
        <f t="shared" ref="BV53:CA62" si="69">(POWER($B53,$F$1)/(POWER($B53,$F$1)+($G$1*POWER(BV$2,$F$1))))</f>
        <v>0.21540168051015954</v>
      </c>
      <c r="BW53" s="288">
        <f t="shared" si="69"/>
        <v>0.20839519159802164</v>
      </c>
      <c r="BX53" s="288">
        <f t="shared" si="69"/>
        <v>0.20165121686432971</v>
      </c>
      <c r="BY53" s="288">
        <f t="shared" si="69"/>
        <v>0.19516012425419674</v>
      </c>
      <c r="BZ53" s="288">
        <f t="shared" si="69"/>
        <v>0.1889124938717833</v>
      </c>
      <c r="CA53" s="290">
        <f t="shared" si="69"/>
        <v>0.18289913557542678</v>
      </c>
      <c r="CB53" s="242"/>
      <c r="CE53" s="236"/>
      <c r="CF53" s="236"/>
      <c r="CG53" s="236"/>
    </row>
    <row r="54" spans="2:95">
      <c r="B54" s="274">
        <f t="shared" si="19"/>
        <v>13</v>
      </c>
      <c r="C54" s="234"/>
      <c r="D54" s="272">
        <f t="shared" si="62"/>
        <v>0.99999039893150776</v>
      </c>
      <c r="E54" s="288">
        <f t="shared" si="62"/>
        <v>0.99992319661382412</v>
      </c>
      <c r="F54" s="288">
        <f t="shared" si="62"/>
        <v>0.99974083584528217</v>
      </c>
      <c r="G54" s="288">
        <f t="shared" si="62"/>
        <v>0.99938590306366137</v>
      </c>
      <c r="H54" s="288">
        <f t="shared" si="62"/>
        <v>0.99880129353746272</v>
      </c>
      <c r="I54" s="288">
        <f t="shared" si="62"/>
        <v>0.99793044125036545</v>
      </c>
      <c r="J54" s="288">
        <f t="shared" si="62"/>
        <v>0.99671761144472948</v>
      </c>
      <c r="K54" s="288">
        <f t="shared" si="62"/>
        <v>0.99510825255910851</v>
      </c>
      <c r="L54" s="288">
        <f t="shared" si="62"/>
        <v>0.99304940280940723</v>
      </c>
      <c r="M54" s="288">
        <f t="shared" si="62"/>
        <v>0.99049014497245669</v>
      </c>
      <c r="N54" s="288">
        <f t="shared" si="63"/>
        <v>0.9873821011011914</v>
      </c>
      <c r="O54" s="288">
        <f t="shared" si="63"/>
        <v>0.98367995701717081</v>
      </c>
      <c r="P54" s="288">
        <f t="shared" si="63"/>
        <v>0.97934200459066556</v>
      </c>
      <c r="Q54" s="288">
        <f t="shared" si="63"/>
        <v>0.97433068814599444</v>
      </c>
      <c r="R54" s="288">
        <f t="shared" si="63"/>
        <v>0.96861313994320231</v>
      </c>
      <c r="S54" s="288">
        <f t="shared" si="63"/>
        <v>0.96216168870981866</v>
      </c>
      <c r="T54" s="288">
        <f t="shared" si="63"/>
        <v>0.95495432474274244</v>
      </c>
      <c r="U54" s="288">
        <f t="shared" si="63"/>
        <v>0.94697510526585171</v>
      </c>
      <c r="V54" s="288">
        <f t="shared" si="63"/>
        <v>0.93821448458022794</v>
      </c>
      <c r="W54" s="288">
        <f t="shared" si="63"/>
        <v>0.92866955510937332</v>
      </c>
      <c r="X54" s="288">
        <f t="shared" si="64"/>
        <v>0.91834418770514203</v>
      </c>
      <c r="Y54" s="288">
        <f t="shared" si="64"/>
        <v>0.90724906247661041</v>
      </c>
      <c r="Z54" s="288">
        <f t="shared" si="64"/>
        <v>0.89540158482157772</v>
      </c>
      <c r="AA54" s="288">
        <f t="shared" si="64"/>
        <v>0.88282568512416626</v>
      </c>
      <c r="AB54" s="288">
        <f t="shared" si="64"/>
        <v>0.86955150454463237</v>
      </c>
      <c r="AC54" s="288">
        <f t="shared" si="64"/>
        <v>0.85561497326203206</v>
      </c>
      <c r="AD54" s="288">
        <f t="shared" si="64"/>
        <v>0.84105729122583717</v>
      </c>
      <c r="AE54" s="288">
        <f t="shared" si="64"/>
        <v>0.82592432473073807</v>
      </c>
      <c r="AF54" s="288">
        <f t="shared" si="64"/>
        <v>0.8102659347796084</v>
      </c>
      <c r="AG54" s="288">
        <f t="shared" si="64"/>
        <v>0.7941352551141434</v>
      </c>
      <c r="AH54" s="288">
        <f t="shared" si="65"/>
        <v>0.77758793889258637</v>
      </c>
      <c r="AI54" s="288">
        <f t="shared" si="65"/>
        <v>0.76068139325531481</v>
      </c>
      <c r="AJ54" s="288">
        <f t="shared" si="65"/>
        <v>0.74347402047186761</v>
      </c>
      <c r="AK54" s="288">
        <f t="shared" si="65"/>
        <v>0.72602448308552148</v>
      </c>
      <c r="AL54" s="288">
        <f t="shared" si="65"/>
        <v>0.70839100858106929</v>
      </c>
      <c r="AM54" s="288">
        <f t="shared" si="65"/>
        <v>0.69063074674253022</v>
      </c>
      <c r="AN54" s="288">
        <f t="shared" si="65"/>
        <v>0.67279919019874446</v>
      </c>
      <c r="AO54" s="288">
        <f t="shared" si="65"/>
        <v>0.65494966583630354</v>
      </c>
      <c r="AP54" s="288">
        <f t="shared" si="65"/>
        <v>0.63713290194126426</v>
      </c>
      <c r="AQ54" s="288">
        <f t="shared" si="65"/>
        <v>0.61939667324499581</v>
      </c>
      <c r="AR54" s="288">
        <f t="shared" si="66"/>
        <v>0.60178552360172533</v>
      </c>
      <c r="AS54" s="288">
        <f t="shared" si="66"/>
        <v>0.5843405638939636</v>
      </c>
      <c r="AT54" s="288">
        <f t="shared" si="66"/>
        <v>0.56709934099626746</v>
      </c>
      <c r="AU54" s="288">
        <f t="shared" si="66"/>
        <v>0.55009577224983408</v>
      </c>
      <c r="AV54" s="288">
        <f t="shared" si="66"/>
        <v>0.53336013890851364</v>
      </c>
      <c r="AW54" s="288">
        <f t="shared" si="66"/>
        <v>0.51691913138998491</v>
      </c>
      <c r="AX54" s="288">
        <f t="shared" si="66"/>
        <v>0.50079593886861806</v>
      </c>
      <c r="AY54" s="288">
        <f t="shared" si="66"/>
        <v>0.485010375734028</v>
      </c>
      <c r="AZ54" s="288">
        <f t="shared" si="66"/>
        <v>0.46957903766153591</v>
      </c>
      <c r="BA54" s="288">
        <f t="shared" si="66"/>
        <v>0.45451548044660234</v>
      </c>
      <c r="BB54" s="288">
        <f t="shared" si="67"/>
        <v>0.43983041529546807</v>
      </c>
      <c r="BC54" s="288">
        <f t="shared" si="67"/>
        <v>0.42553191489361697</v>
      </c>
      <c r="BD54" s="288">
        <f t="shared" si="67"/>
        <v>0.41162562525258573</v>
      </c>
      <c r="BE54" s="288">
        <f t="shared" si="67"/>
        <v>0.39811497903078391</v>
      </c>
      <c r="BF54" s="288">
        <f t="shared" si="67"/>
        <v>0.38500140670852795</v>
      </c>
      <c r="BG54" s="288">
        <f t="shared" si="67"/>
        <v>0.37228454265089644</v>
      </c>
      <c r="BH54" s="288">
        <f t="shared" si="67"/>
        <v>0.35996242369954007</v>
      </c>
      <c r="BI54" s="288">
        <f t="shared" si="67"/>
        <v>0.34803167848652949</v>
      </c>
      <c r="BJ54" s="288">
        <f t="shared" si="67"/>
        <v>0.33648770615429952</v>
      </c>
      <c r="BK54" s="288">
        <f t="shared" si="67"/>
        <v>0.32532484359382519</v>
      </c>
      <c r="BL54" s="288">
        <f t="shared" si="68"/>
        <v>0.31453652067909627</v>
      </c>
      <c r="BM54" s="288">
        <f t="shared" si="68"/>
        <v>0.30411540328252917</v>
      </c>
      <c r="BN54" s="288">
        <f t="shared" si="68"/>
        <v>0.29405352410730501</v>
      </c>
      <c r="BO54" s="288">
        <f t="shared" si="68"/>
        <v>0.28434240157378404</v>
      </c>
      <c r="BP54" s="288">
        <f t="shared" si="68"/>
        <v>0.27497314715359827</v>
      </c>
      <c r="BQ54" s="288">
        <f t="shared" si="68"/>
        <v>0.26593656166237584</v>
      </c>
      <c r="BR54" s="288">
        <f t="shared" si="68"/>
        <v>0.25722322110581214</v>
      </c>
      <c r="BS54" s="288">
        <f t="shared" si="68"/>
        <v>0.2488235527291878</v>
      </c>
      <c r="BT54" s="288">
        <f t="shared" si="68"/>
        <v>0.24072790195227609</v>
      </c>
      <c r="BU54" s="288">
        <f t="shared" si="68"/>
        <v>0.23292659088424239</v>
      </c>
      <c r="BV54" s="288">
        <f t="shared" si="69"/>
        <v>0.22540996911049163</v>
      </c>
      <c r="BW54" s="288">
        <f t="shared" si="69"/>
        <v>0.21816845742884947</v>
      </c>
      <c r="BX54" s="288">
        <f t="shared" si="69"/>
        <v>0.21119258518886727</v>
      </c>
      <c r="BY54" s="288">
        <f t="shared" si="69"/>
        <v>0.20447302185788216</v>
      </c>
      <c r="BZ54" s="288">
        <f t="shared" si="69"/>
        <v>0.19800060340278333</v>
      </c>
      <c r="CA54" s="290">
        <f t="shared" si="69"/>
        <v>0.19176635403892059</v>
      </c>
      <c r="CB54" s="242"/>
      <c r="CE54" s="236"/>
      <c r="CF54" s="236"/>
      <c r="CG54" s="236"/>
    </row>
    <row r="55" spans="2:95">
      <c r="B55" s="274">
        <f t="shared" si="19"/>
        <v>13.25</v>
      </c>
      <c r="C55" s="234"/>
      <c r="D55" s="272">
        <f t="shared" si="62"/>
        <v>0.99999093219396906</v>
      </c>
      <c r="E55" s="288">
        <f t="shared" si="62"/>
        <v>0.99992746215606654</v>
      </c>
      <c r="F55" s="288">
        <f t="shared" si="62"/>
        <v>0.99975522694558472</v>
      </c>
      <c r="G55" s="288">
        <f t="shared" si="62"/>
        <v>0.99941999175636431</v>
      </c>
      <c r="H55" s="288">
        <f t="shared" si="62"/>
        <v>0.998867797303848</v>
      </c>
      <c r="I55" s="288">
        <f t="shared" si="62"/>
        <v>0.99804516500121332</v>
      </c>
      <c r="J55" s="288">
        <f t="shared" si="62"/>
        <v>0.99689935820966991</v>
      </c>
      <c r="K55" s="288">
        <f t="shared" si="62"/>
        <v>0.99537869680854607</v>
      </c>
      <c r="L55" s="288">
        <f t="shared" si="62"/>
        <v>0.99343292107394077</v>
      </c>
      <c r="M55" s="288">
        <f t="shared" si="62"/>
        <v>0.99101359941954514</v>
      </c>
      <c r="N55" s="288">
        <f t="shared" si="63"/>
        <v>0.98807457299325663</v>
      </c>
      <c r="O55" s="288">
        <f t="shared" si="63"/>
        <v>0.98457242850661808</v>
      </c>
      <c r="P55" s="288">
        <f t="shared" si="63"/>
        <v>0.98046698908312824</v>
      </c>
      <c r="Q55" s="288">
        <f t="shared" si="63"/>
        <v>0.97572181143966441</v>
      </c>
      <c r="R55" s="288">
        <f t="shared" si="63"/>
        <v>0.97030467646354357</v>
      </c>
      <c r="S55" s="288">
        <f t="shared" si="63"/>
        <v>0.96418805931870788</v>
      </c>
      <c r="T55" s="288">
        <f t="shared" si="63"/>
        <v>0.95734956470519017</v>
      </c>
      <c r="U55" s="288">
        <f t="shared" si="63"/>
        <v>0.94977231289019082</v>
      </c>
      <c r="V55" s="288">
        <f t="shared" si="63"/>
        <v>0.94144526268894657</v>
      </c>
      <c r="W55" s="288">
        <f t="shared" si="63"/>
        <v>0.93236345873231585</v>
      </c>
      <c r="X55" s="288">
        <f t="shared" si="64"/>
        <v>0.92252819211379888</v>
      </c>
      <c r="Y55" s="288">
        <f t="shared" si="64"/>
        <v>0.91194706582102014</v>
      </c>
      <c r="Z55" s="288">
        <f t="shared" si="64"/>
        <v>0.90063395914579603</v>
      </c>
      <c r="AA55" s="288">
        <f t="shared" si="64"/>
        <v>0.88860888841669483</v>
      </c>
      <c r="AB55" s="288">
        <f t="shared" si="64"/>
        <v>0.8758977647624665</v>
      </c>
      <c r="AC55" s="288">
        <f t="shared" si="64"/>
        <v>0.86253205302755542</v>
      </c>
      <c r="AD55" s="288">
        <f t="shared" si="64"/>
        <v>0.84854833924720596</v>
      </c>
      <c r="AE55" s="288">
        <f t="shared" si="64"/>
        <v>0.8339878170791688</v>
      </c>
      <c r="AF55" s="288">
        <f t="shared" si="64"/>
        <v>0.81889570612888796</v>
      </c>
      <c r="AG55" s="288">
        <f t="shared" si="64"/>
        <v>0.80332061707144664</v>
      </c>
      <c r="AH55" s="288">
        <f t="shared" si="65"/>
        <v>0.78731387978043821</v>
      </c>
      <c r="AI55" s="288">
        <f t="shared" si="65"/>
        <v>0.77092885127836541</v>
      </c>
      <c r="AJ55" s="288">
        <f t="shared" si="65"/>
        <v>0.75422022022681268</v>
      </c>
      <c r="AK55" s="288">
        <f t="shared" si="65"/>
        <v>0.73724332392117564</v>
      </c>
      <c r="AL55" s="288">
        <f t="shared" si="65"/>
        <v>0.72005349242412331</v>
      </c>
      <c r="AM55" s="288">
        <f t="shared" si="65"/>
        <v>0.70270543267192975</v>
      </c>
      <c r="AN55" s="288">
        <f t="shared" si="65"/>
        <v>0.68525266324386314</v>
      </c>
      <c r="AO55" s="288">
        <f t="shared" si="65"/>
        <v>0.66774700812992083</v>
      </c>
      <c r="AP55" s="288">
        <f t="shared" si="65"/>
        <v>0.65023815539686047</v>
      </c>
      <c r="AQ55" s="288">
        <f t="shared" si="65"/>
        <v>0.63277328425642965</v>
      </c>
      <c r="AR55" s="288">
        <f t="shared" si="66"/>
        <v>0.61539676178543889</v>
      </c>
      <c r="AS55" s="288">
        <f t="shared" si="66"/>
        <v>0.59814990851593319</v>
      </c>
      <c r="AT55" s="288">
        <f t="shared" si="66"/>
        <v>0.58107083036296769</v>
      </c>
      <c r="AU55" s="288">
        <f t="shared" si="66"/>
        <v>0.56419431292193201</v>
      </c>
      <c r="AV55" s="288">
        <f t="shared" si="66"/>
        <v>0.54755177306007907</v>
      </c>
      <c r="AW55" s="288">
        <f t="shared" si="66"/>
        <v>0.5311712619424962</v>
      </c>
      <c r="AX55" s="288">
        <f t="shared" si="66"/>
        <v>0.51507751315095007</v>
      </c>
      <c r="AY55" s="288">
        <f t="shared" si="66"/>
        <v>0.49929202934372358</v>
      </c>
      <c r="AZ55" s="288">
        <f t="shared" si="66"/>
        <v>0.48383320092758225</v>
      </c>
      <c r="BA55" s="288">
        <f t="shared" si="66"/>
        <v>0.46871645042770294</v>
      </c>
      <c r="BB55" s="288">
        <f t="shared" si="67"/>
        <v>0.45395439660551873</v>
      </c>
      <c r="BC55" s="288">
        <f t="shared" si="67"/>
        <v>0.43955703284757086</v>
      </c>
      <c r="BD55" s="288">
        <f t="shared" si="67"/>
        <v>0.42553191489361702</v>
      </c>
      <c r="BE55" s="288">
        <f t="shared" si="67"/>
        <v>0.41188435355705599</v>
      </c>
      <c r="BF55" s="288">
        <f t="shared" si="67"/>
        <v>0.39861760868793983</v>
      </c>
      <c r="BG55" s="288">
        <f t="shared" si="67"/>
        <v>0.38573308121648281</v>
      </c>
      <c r="BH55" s="288">
        <f t="shared" si="67"/>
        <v>0.37323050067619301</v>
      </c>
      <c r="BI55" s="288">
        <f t="shared" si="67"/>
        <v>0.3611081061283376</v>
      </c>
      <c r="BJ55" s="288">
        <f t="shared" si="67"/>
        <v>0.3493628188853557</v>
      </c>
      <c r="BK55" s="288">
        <f t="shared" si="67"/>
        <v>0.3379904058554703</v>
      </c>
      <c r="BL55" s="288">
        <f t="shared" si="68"/>
        <v>0.3269856327023849</v>
      </c>
      <c r="BM55" s="288">
        <f t="shared" si="68"/>
        <v>0.31634240633309518</v>
      </c>
      <c r="BN55" s="288">
        <f t="shared" si="68"/>
        <v>0.30605390649564607</v>
      </c>
      <c r="BO55" s="288">
        <f t="shared" si="68"/>
        <v>0.29611270649046462</v>
      </c>
      <c r="BP55" s="288">
        <f t="shared" si="68"/>
        <v>0.28651088317777917</v>
      </c>
      <c r="BQ55" s="288">
        <f t="shared" si="68"/>
        <v>0.2772401166040902</v>
      </c>
      <c r="BR55" s="288">
        <f t="shared" si="68"/>
        <v>0.26829177967733514</v>
      </c>
      <c r="BS55" s="288">
        <f t="shared" si="68"/>
        <v>0.25965701839785882</v>
      </c>
      <c r="BT55" s="288">
        <f t="shared" si="68"/>
        <v>0.2513268232049492</v>
      </c>
      <c r="BU55" s="288">
        <f t="shared" si="68"/>
        <v>0.24329209203058536</v>
      </c>
      <c r="BV55" s="288">
        <f t="shared" si="69"/>
        <v>0.23554368566688261</v>
      </c>
      <c r="BW55" s="288">
        <f t="shared" si="69"/>
        <v>0.22807247605481815</v>
      </c>
      <c r="BX55" s="288">
        <f t="shared" si="69"/>
        <v>0.22086938809208426</v>
      </c>
      <c r="BY55" s="288">
        <f t="shared" si="69"/>
        <v>0.21392543553986942</v>
      </c>
      <c r="BZ55" s="288">
        <f t="shared" si="69"/>
        <v>0.20723175158414453</v>
      </c>
      <c r="CA55" s="290">
        <f t="shared" si="69"/>
        <v>0.20077961457844734</v>
      </c>
      <c r="CB55" s="242"/>
      <c r="CE55" s="236"/>
      <c r="CF55" s="236"/>
      <c r="CG55" s="236"/>
    </row>
    <row r="56" spans="2:95">
      <c r="B56" s="274">
        <f t="shared" si="19"/>
        <v>13.5</v>
      </c>
      <c r="C56" s="234"/>
      <c r="D56" s="272">
        <f t="shared" si="62"/>
        <v>0.99999142668529928</v>
      </c>
      <c r="E56" s="288">
        <f t="shared" si="62"/>
        <v>0.99993141759824433</v>
      </c>
      <c r="F56" s="288">
        <f t="shared" si="62"/>
        <v>0.99976857208979397</v>
      </c>
      <c r="G56" s="288">
        <f t="shared" si="62"/>
        <v>0.99945160405813005</v>
      </c>
      <c r="H56" s="288">
        <f t="shared" si="62"/>
        <v>0.99892947372928531</v>
      </c>
      <c r="I56" s="288">
        <f t="shared" si="62"/>
        <v>0.99815157116451014</v>
      </c>
      <c r="J56" s="288">
        <f t="shared" si="62"/>
        <v>0.9970679500440236</v>
      </c>
      <c r="K56" s="288">
        <f t="shared" si="62"/>
        <v>0.99562960939633971</v>
      </c>
      <c r="L56" s="288">
        <f t="shared" si="62"/>
        <v>0.99378881987577639</v>
      </c>
      <c r="M56" s="288">
        <f t="shared" si="62"/>
        <v>0.99149948996939818</v>
      </c>
      <c r="N56" s="288">
        <f t="shared" si="63"/>
        <v>0.98871756618151918</v>
      </c>
      <c r="O56" s="288">
        <f t="shared" si="63"/>
        <v>0.98540145985401462</v>
      </c>
      <c r="P56" s="288">
        <f t="shared" si="63"/>
        <v>0.98151249190067058</v>
      </c>
      <c r="Q56" s="288">
        <f t="shared" si="63"/>
        <v>0.97701534543992496</v>
      </c>
      <c r="R56" s="288">
        <f t="shared" si="63"/>
        <v>0.97187851518560175</v>
      </c>
      <c r="S56" s="288">
        <f t="shared" si="63"/>
        <v>0.96607474158494566</v>
      </c>
      <c r="T56" s="288">
        <f t="shared" si="63"/>
        <v>0.959581417159593</v>
      </c>
      <c r="U56" s="288">
        <f t="shared" si="63"/>
        <v>0.95238095238095233</v>
      </c>
      <c r="V56" s="288">
        <f t="shared" si="63"/>
        <v>0.94446108875375512</v>
      </c>
      <c r="W56" s="288">
        <f t="shared" si="63"/>
        <v>0.93581514762516049</v>
      </c>
      <c r="X56" s="288">
        <f t="shared" si="64"/>
        <v>0.92644220458932014</v>
      </c>
      <c r="Y56" s="288">
        <f t="shared" si="64"/>
        <v>0.91634718119539948</v>
      </c>
      <c r="Z56" s="288">
        <f t="shared" si="64"/>
        <v>0.905540847935283</v>
      </c>
      <c r="AA56" s="288">
        <f t="shared" si="64"/>
        <v>0.89403973509933776</v>
      </c>
      <c r="AB56" s="288">
        <f t="shared" si="64"/>
        <v>0.88186595093184139</v>
      </c>
      <c r="AC56" s="288">
        <f t="shared" si="64"/>
        <v>0.8690469094593789</v>
      </c>
      <c r="AD56" s="288">
        <f t="shared" si="64"/>
        <v>0.85561497326203217</v>
      </c>
      <c r="AE56" s="288">
        <f t="shared" si="64"/>
        <v>0.84160701916416525</v>
      </c>
      <c r="AF56" s="288">
        <f t="shared" si="64"/>
        <v>0.82706393720440474</v>
      </c>
      <c r="AG56" s="288">
        <f t="shared" si="64"/>
        <v>0.81203007518796988</v>
      </c>
      <c r="AH56" s="288">
        <f t="shared" si="65"/>
        <v>0.79655264254153835</v>
      </c>
      <c r="AI56" s="288">
        <f t="shared" si="65"/>
        <v>0.78068108802741487</v>
      </c>
      <c r="AJ56" s="288">
        <f t="shared" si="65"/>
        <v>0.76446646611219249</v>
      </c>
      <c r="AK56" s="288">
        <f t="shared" si="65"/>
        <v>0.74796080644333862</v>
      </c>
      <c r="AL56" s="288">
        <f t="shared" si="65"/>
        <v>0.73121650001567251</v>
      </c>
      <c r="AM56" s="288">
        <f t="shared" si="65"/>
        <v>0.7142857142857143</v>
      </c>
      <c r="AN56" s="288">
        <f t="shared" si="65"/>
        <v>0.69721984781192281</v>
      </c>
      <c r="AO56" s="288">
        <f t="shared" si="65"/>
        <v>0.68006903307057232</v>
      </c>
      <c r="AP56" s="288">
        <f t="shared" si="65"/>
        <v>0.66288169403099584</v>
      </c>
      <c r="AQ56" s="288">
        <f t="shared" si="65"/>
        <v>0.64570416297608502</v>
      </c>
      <c r="AR56" s="288">
        <f t="shared" si="66"/>
        <v>0.62858035901940601</v>
      </c>
      <c r="AS56" s="288">
        <f t="shared" si="66"/>
        <v>0.61155152887882225</v>
      </c>
      <c r="AT56" s="288">
        <f t="shared" si="66"/>
        <v>0.59465604877974165</v>
      </c>
      <c r="AU56" s="288">
        <f t="shared" si="66"/>
        <v>0.57792928492151574</v>
      </c>
      <c r="AV56" s="288">
        <f t="shared" si="66"/>
        <v>0.56140350877192979</v>
      </c>
      <c r="AW56" s="288">
        <f t="shared" si="66"/>
        <v>0.54510786256402588</v>
      </c>
      <c r="AX56" s="288">
        <f t="shared" si="66"/>
        <v>0.52906836974911886</v>
      </c>
      <c r="AY56" s="288">
        <f t="shared" si="66"/>
        <v>0.51330798479087447</v>
      </c>
      <c r="AZ56" s="288">
        <f t="shared" si="66"/>
        <v>0.4978466765405119</v>
      </c>
      <c r="BA56" s="288">
        <f t="shared" si="66"/>
        <v>0.48270153948021849</v>
      </c>
      <c r="BB56" s="288">
        <f t="shared" si="67"/>
        <v>0.46788692732589626</v>
      </c>
      <c r="BC56" s="288">
        <f t="shared" si="67"/>
        <v>0.45341460380644355</v>
      </c>
      <c r="BD56" s="288">
        <f t="shared" si="67"/>
        <v>0.43929390585160272</v>
      </c>
      <c r="BE56" s="288">
        <f t="shared" si="67"/>
        <v>0.42553191489361697</v>
      </c>
      <c r="BF56" s="288">
        <f t="shared" si="67"/>
        <v>0.41213363249297741</v>
      </c>
      <c r="BG56" s="288">
        <f t="shared" si="67"/>
        <v>0.3991021570130297</v>
      </c>
      <c r="BH56" s="288">
        <f t="shared" si="67"/>
        <v>0.38643885857411214</v>
      </c>
      <c r="BI56" s="288">
        <f t="shared" si="67"/>
        <v>0.37414355000128308</v>
      </c>
      <c r="BJ56" s="288">
        <f t="shared" si="67"/>
        <v>0.36221465193047614</v>
      </c>
      <c r="BK56" s="288">
        <f t="shared" si="67"/>
        <v>0.35064935064935066</v>
      </c>
      <c r="BL56" s="288">
        <f t="shared" si="68"/>
        <v>0.33944374761728763</v>
      </c>
      <c r="BM56" s="288">
        <f t="shared" si="68"/>
        <v>0.32859299993238822</v>
      </c>
      <c r="BN56" s="288">
        <f t="shared" si="68"/>
        <v>0.31809145129224653</v>
      </c>
      <c r="BO56" s="288">
        <f t="shared" si="68"/>
        <v>0.30793275323139307</v>
      </c>
      <c r="BP56" s="288">
        <f t="shared" si="68"/>
        <v>0.2981099766143151</v>
      </c>
      <c r="BQ56" s="288">
        <f t="shared" si="68"/>
        <v>0.28861571352218063</v>
      </c>
      <c r="BR56" s="288">
        <f t="shared" si="68"/>
        <v>0.27944216979753378</v>
      </c>
      <c r="BS56" s="288">
        <f t="shared" si="68"/>
        <v>0.27058124860812116</v>
      </c>
      <c r="BT56" s="288">
        <f t="shared" si="68"/>
        <v>0.26202462546248556</v>
      </c>
      <c r="BU56" s="288">
        <f t="shared" si="68"/>
        <v>0.25376381515969021</v>
      </c>
      <c r="BV56" s="288">
        <f t="shared" si="69"/>
        <v>0.24579023118695353</v>
      </c>
      <c r="BW56" s="288">
        <f t="shared" si="69"/>
        <v>0.23809523809523808</v>
      </c>
      <c r="BX56" s="288">
        <f t="shared" si="69"/>
        <v>0.23067019738676611</v>
      </c>
      <c r="BY56" s="288">
        <f t="shared" si="69"/>
        <v>0.22350650744255207</v>
      </c>
      <c r="BZ56" s="288">
        <f t="shared" si="69"/>
        <v>0.2165956380045124</v>
      </c>
      <c r="CA56" s="290">
        <f t="shared" si="69"/>
        <v>0.20992915970742382</v>
      </c>
      <c r="CB56" s="242"/>
      <c r="CE56" s="236"/>
      <c r="CF56" s="236"/>
      <c r="CG56" s="236"/>
    </row>
    <row r="57" spans="2:95">
      <c r="B57" s="274">
        <f t="shared" si="19"/>
        <v>13.75</v>
      </c>
      <c r="C57" s="234"/>
      <c r="D57" s="272">
        <f t="shared" si="62"/>
        <v>0.99999188586598997</v>
      </c>
      <c r="E57" s="288">
        <f t="shared" si="62"/>
        <v>0.99993509061470398</v>
      </c>
      <c r="F57" s="288">
        <f t="shared" si="62"/>
        <v>0.99978096459107824</v>
      </c>
      <c r="G57" s="288">
        <f t="shared" si="62"/>
        <v>0.99948096075126125</v>
      </c>
      <c r="H57" s="288">
        <f t="shared" si="62"/>
        <v>0.99898675273013848</v>
      </c>
      <c r="I57" s="288">
        <f t="shared" si="62"/>
        <v>0.99825039930015969</v>
      </c>
      <c r="J57" s="288">
        <f t="shared" si="62"/>
        <v>0.99722455399113097</v>
      </c>
      <c r="K57" s="288">
        <f t="shared" si="62"/>
        <v>0.99586271789266767</v>
      </c>
      <c r="L57" s="288">
        <f t="shared" si="62"/>
        <v>0.99411953275336307</v>
      </c>
      <c r="M57" s="288">
        <f t="shared" si="62"/>
        <v>0.99195111044865103</v>
      </c>
      <c r="N57" s="288">
        <f t="shared" si="63"/>
        <v>0.98931539374752664</v>
      </c>
      <c r="O57" s="288">
        <f t="shared" si="63"/>
        <v>0.9861725421112717</v>
      </c>
      <c r="P57" s="288">
        <f t="shared" si="63"/>
        <v>0.98248533505923985</v>
      </c>
      <c r="Q57" s="288">
        <f t="shared" si="63"/>
        <v>0.97821958449994539</v>
      </c>
      <c r="R57" s="288">
        <f t="shared" si="63"/>
        <v>0.9733445464185162</v>
      </c>
      <c r="S57" s="288">
        <f t="shared" si="63"/>
        <v>0.96783332150506729</v>
      </c>
      <c r="T57" s="288">
        <f t="shared" si="63"/>
        <v>0.96166323377216778</v>
      </c>
      <c r="U57" s="288">
        <f t="shared" si="63"/>
        <v>0.95481617600640922</v>
      </c>
      <c r="V57" s="288">
        <f t="shared" si="63"/>
        <v>0.94727891108047302</v>
      </c>
      <c r="W57" s="288">
        <f t="shared" si="63"/>
        <v>0.93904331875264568</v>
      </c>
      <c r="X57" s="288">
        <f t="shared" si="64"/>
        <v>0.93010657861378199</v>
      </c>
      <c r="Y57" s="288">
        <f t="shared" si="64"/>
        <v>0.92047128129602362</v>
      </c>
      <c r="Z57" s="288">
        <f t="shared" si="64"/>
        <v>0.91014546189574475</v>
      </c>
      <c r="AA57" s="288">
        <f t="shared" si="64"/>
        <v>0.89914255172197621</v>
      </c>
      <c r="AB57" s="288">
        <f t="shared" si="64"/>
        <v>0.88748124687447905</v>
      </c>
      <c r="AC57" s="288">
        <f t="shared" si="64"/>
        <v>0.87518529467771611</v>
      </c>
      <c r="AD57" s="288">
        <f t="shared" si="64"/>
        <v>0.86228320153119731</v>
      </c>
      <c r="AE57" s="288">
        <f t="shared" si="64"/>
        <v>0.84880786816196296</v>
      </c>
      <c r="AF57" s="288">
        <f t="shared" si="64"/>
        <v>0.83479616046450544</v>
      </c>
      <c r="AG57" s="288">
        <f t="shared" si="64"/>
        <v>0.82028842598299023</v>
      </c>
      <c r="AH57" s="288">
        <f t="shared" si="65"/>
        <v>0.80532796754582747</v>
      </c>
      <c r="AI57" s="288">
        <f t="shared" si="65"/>
        <v>0.78996048654443862</v>
      </c>
      <c r="AJ57" s="288">
        <f t="shared" si="65"/>
        <v>0.77423350882626196</v>
      </c>
      <c r="AK57" s="288">
        <f t="shared" si="65"/>
        <v>0.75819580614613691</v>
      </c>
      <c r="AL57" s="288">
        <f t="shared" si="65"/>
        <v>0.74189682561801507</v>
      </c>
      <c r="AM57" s="288">
        <f t="shared" si="65"/>
        <v>0.72538613868292978</v>
      </c>
      <c r="AN57" s="288">
        <f t="shared" si="65"/>
        <v>0.70871291983120388</v>
      </c>
      <c r="AO57" s="288">
        <f t="shared" si="65"/>
        <v>0.69192546377200959</v>
      </c>
      <c r="AP57" s="288">
        <f t="shared" si="65"/>
        <v>0.67507074802302147</v>
      </c>
      <c r="AQ57" s="288">
        <f t="shared" si="65"/>
        <v>0.65819404608841858</v>
      </c>
      <c r="AR57" s="288">
        <f t="shared" si="66"/>
        <v>0.64133859459055231</v>
      </c>
      <c r="AS57" s="288">
        <f t="shared" si="66"/>
        <v>0.62454531599459151</v>
      </c>
      <c r="AT57" s="288">
        <f t="shared" si="66"/>
        <v>0.60785259697829208</v>
      </c>
      <c r="AU57" s="288">
        <f t="shared" si="66"/>
        <v>0.59129612109744556</v>
      </c>
      <c r="AV57" s="288">
        <f t="shared" si="66"/>
        <v>0.57490875321253487</v>
      </c>
      <c r="AW57" s="288">
        <f t="shared" si="66"/>
        <v>0.55872047218974097</v>
      </c>
      <c r="AX57" s="288">
        <f t="shared" si="66"/>
        <v>0.54275834767232101</v>
      </c>
      <c r="AY57" s="288">
        <f t="shared" si="66"/>
        <v>0.52704655622790841</v>
      </c>
      <c r="AZ57" s="288">
        <f t="shared" si="66"/>
        <v>0.51160643189607413</v>
      </c>
      <c r="BA57" s="288">
        <f t="shared" si="66"/>
        <v>0.49645654606490114</v>
      </c>
      <c r="BB57" s="288">
        <f t="shared" si="67"/>
        <v>0.48161281166789721</v>
      </c>
      <c r="BC57" s="288">
        <f t="shared" si="67"/>
        <v>0.46708860688419118</v>
      </c>
      <c r="BD57" s="288">
        <f t="shared" si="67"/>
        <v>0.45289491381658181</v>
      </c>
      <c r="BE57" s="288">
        <f t="shared" si="67"/>
        <v>0.43904046798613222</v>
      </c>
      <c r="BF57" s="288">
        <f t="shared" si="67"/>
        <v>0.42553191489361702</v>
      </c>
      <c r="BG57" s="288">
        <f t="shared" si="67"/>
        <v>0.41237397033534712</v>
      </c>
      <c r="BH57" s="288">
        <f t="shared" si="67"/>
        <v>0.39956958160531741</v>
      </c>
      <c r="BI57" s="288">
        <f t="shared" si="67"/>
        <v>0.38712008715233648</v>
      </c>
      <c r="BJ57" s="288">
        <f t="shared" si="67"/>
        <v>0.37502537267829428</v>
      </c>
      <c r="BK57" s="288">
        <f t="shared" si="67"/>
        <v>0.36328402205360555</v>
      </c>
      <c r="BL57" s="288">
        <f t="shared" si="68"/>
        <v>0.35189346178246644</v>
      </c>
      <c r="BM57" s="288">
        <f t="shared" si="68"/>
        <v>0.34085009807058869</v>
      </c>
      <c r="BN57" s="288">
        <f t="shared" si="68"/>
        <v>0.33014944583014055</v>
      </c>
      <c r="BO57" s="288">
        <f t="shared" si="68"/>
        <v>0.31978624920089477</v>
      </c>
      <c r="BP57" s="288">
        <f t="shared" si="68"/>
        <v>0.30975459337437017</v>
      </c>
      <c r="BQ57" s="288">
        <f t="shared" si="68"/>
        <v>0.30004800768122897</v>
      </c>
      <c r="BR57" s="288">
        <f t="shared" si="68"/>
        <v>0.29065956004406318</v>
      </c>
      <c r="BS57" s="288">
        <f t="shared" si="68"/>
        <v>0.2815819430110304</v>
      </c>
      <c r="BT57" s="288">
        <f t="shared" si="68"/>
        <v>0.27280755167376758</v>
      </c>
      <c r="BU57" s="288">
        <f t="shared" si="68"/>
        <v>0.26432855383882115</v>
      </c>
      <c r="BV57" s="288">
        <f t="shared" si="69"/>
        <v>0.25613695286856836</v>
      </c>
      <c r="BW57" s="288">
        <f t="shared" si="69"/>
        <v>0.24822464363818328</v>
      </c>
      <c r="BX57" s="288">
        <f t="shared" si="69"/>
        <v>0.24058346207229736</v>
      </c>
      <c r="BY57" s="288">
        <f t="shared" si="69"/>
        <v>0.23320522873105237</v>
      </c>
      <c r="BZ57" s="288">
        <f t="shared" si="69"/>
        <v>0.22608178691239544</v>
      </c>
      <c r="CA57" s="290">
        <f t="shared" si="69"/>
        <v>0.21920503572762104</v>
      </c>
      <c r="CB57" s="242"/>
      <c r="CE57" s="236"/>
      <c r="CF57" s="236"/>
      <c r="CG57" s="236"/>
    </row>
    <row r="58" spans="2:95">
      <c r="B58" s="274">
        <f t="shared" si="19"/>
        <v>14</v>
      </c>
      <c r="C58" s="234"/>
      <c r="D58" s="272">
        <f t="shared" si="62"/>
        <v>0.99999231283241663</v>
      </c>
      <c r="E58" s="288">
        <f t="shared" si="62"/>
        <v>0.99993850596833744</v>
      </c>
      <c r="F58" s="288">
        <f t="shared" si="62"/>
        <v>0.99979248794992603</v>
      </c>
      <c r="G58" s="288">
        <f t="shared" si="62"/>
        <v>0.99950825942047461</v>
      </c>
      <c r="H58" s="288">
        <f t="shared" si="62"/>
        <v>0.99904001911428608</v>
      </c>
      <c r="I58" s="288">
        <f t="shared" si="62"/>
        <v>0.99834231153173592</v>
      </c>
      <c r="J58" s="288">
        <f t="shared" si="62"/>
        <v>0.9973702152527516</v>
      </c>
      <c r="K58" s="288">
        <f t="shared" si="62"/>
        <v>0.99607957020473348</v>
      </c>
      <c r="L58" s="288">
        <f t="shared" si="62"/>
        <v>0.99442724142646544</v>
      </c>
      <c r="M58" s="288">
        <f t="shared" si="62"/>
        <v>0.99237141597821055</v>
      </c>
      <c r="N58" s="288">
        <f t="shared" si="63"/>
        <v>0.98987192866807561</v>
      </c>
      <c r="O58" s="288">
        <f t="shared" si="63"/>
        <v>0.98689061123199484</v>
      </c>
      <c r="P58" s="288">
        <f t="shared" si="63"/>
        <v>0.98339165856347732</v>
      </c>
      <c r="Q58" s="288">
        <f t="shared" si="63"/>
        <v>0.97934200459066567</v>
      </c>
      <c r="R58" s="288">
        <f t="shared" si="63"/>
        <v>0.9747116994986742</v>
      </c>
      <c r="S58" s="288">
        <f t="shared" si="63"/>
        <v>0.96947427925381569</v>
      </c>
      <c r="T58" s="288">
        <f t="shared" si="63"/>
        <v>0.96360711786184317</v>
      </c>
      <c r="U58" s="288">
        <f t="shared" si="63"/>
        <v>0.95709175253911394</v>
      </c>
      <c r="V58" s="288">
        <f t="shared" si="63"/>
        <v>0.94991417203942219</v>
      </c>
      <c r="W58" s="288">
        <f t="shared" si="63"/>
        <v>0.94206505879323665</v>
      </c>
      <c r="X58" s="288">
        <f t="shared" si="64"/>
        <v>0.93353997629683649</v>
      </c>
      <c r="Y58" s="288">
        <f t="shared" si="64"/>
        <v>0.92433949433340989</v>
      </c>
      <c r="Z58" s="288">
        <f t="shared" si="64"/>
        <v>0.91446924609244506</v>
      </c>
      <c r="AA58" s="288">
        <f t="shared" si="64"/>
        <v>0.90393991303202004</v>
      </c>
      <c r="AB58" s="288">
        <f t="shared" si="64"/>
        <v>0.89276713533518293</v>
      </c>
      <c r="AC58" s="288">
        <f t="shared" si="64"/>
        <v>0.88097134796401788</v>
      </c>
      <c r="AD58" s="288">
        <f t="shared" si="64"/>
        <v>0.8685775445185806</v>
      </c>
      <c r="AE58" s="288">
        <f t="shared" si="64"/>
        <v>0.85561497326203206</v>
      </c>
      <c r="AF58" s="288">
        <f t="shared" si="64"/>
        <v>0.84211677167791588</v>
      </c>
      <c r="AG58" s="288">
        <f t="shared" si="64"/>
        <v>0.8281195476879839</v>
      </c>
      <c r="AH58" s="288">
        <f t="shared" si="65"/>
        <v>0.81366291710035288</v>
      </c>
      <c r="AI58" s="288">
        <f t="shared" si="65"/>
        <v>0.79878900791802521</v>
      </c>
      <c r="AJ58" s="288">
        <f t="shared" si="65"/>
        <v>0.78354194277943312</v>
      </c>
      <c r="AK58" s="288">
        <f t="shared" si="65"/>
        <v>0.76796731101241755</v>
      </c>
      <c r="AL58" s="288">
        <f t="shared" si="65"/>
        <v>0.75211164157179577</v>
      </c>
      <c r="AM58" s="288">
        <f t="shared" si="65"/>
        <v>0.73602188753134934</v>
      </c>
      <c r="AN58" s="288">
        <f t="shared" si="65"/>
        <v>0.71974493186509458</v>
      </c>
      <c r="AO58" s="288">
        <f t="shared" si="65"/>
        <v>0.70332712304540124</v>
      </c>
      <c r="AP58" s="288">
        <f t="shared" si="65"/>
        <v>0.68681384758071717</v>
      </c>
      <c r="AQ58" s="288">
        <f t="shared" si="65"/>
        <v>0.67024914509037614</v>
      </c>
      <c r="AR58" s="288">
        <f t="shared" si="66"/>
        <v>0.65367536994338749</v>
      </c>
      <c r="AS58" s="288">
        <f t="shared" si="66"/>
        <v>0.63713290194126437</v>
      </c>
      <c r="AT58" s="288">
        <f t="shared" si="66"/>
        <v>0.62065990706146601</v>
      </c>
      <c r="AU58" s="288">
        <f t="shared" si="66"/>
        <v>0.60429214794586916</v>
      </c>
      <c r="AV58" s="288">
        <f t="shared" si="66"/>
        <v>0.58806284265310715</v>
      </c>
      <c r="AW58" s="288">
        <f t="shared" si="66"/>
        <v>0.57200256921707937</v>
      </c>
      <c r="AX58" s="288">
        <f t="shared" si="66"/>
        <v>0.55613921277686262</v>
      </c>
      <c r="AY58" s="288">
        <f t="shared" si="66"/>
        <v>0.54049795146549007</v>
      </c>
      <c r="AZ58" s="288">
        <f t="shared" si="66"/>
        <v>0.525101276857597</v>
      </c>
      <c r="BA58" s="288">
        <f t="shared" si="66"/>
        <v>0.50996904456305214</v>
      </c>
      <c r="BB58" s="288">
        <f t="shared" si="67"/>
        <v>0.49511855049488318</v>
      </c>
      <c r="BC58" s="288">
        <f t="shared" si="67"/>
        <v>0.48056462841180742</v>
      </c>
      <c r="BD58" s="288">
        <f t="shared" si="67"/>
        <v>0.466319764514042</v>
      </c>
      <c r="BE58" s="288">
        <f t="shared" si="67"/>
        <v>0.4523942251316615</v>
      </c>
      <c r="BF58" s="288">
        <f t="shared" si="67"/>
        <v>0.43879619386478386</v>
      </c>
      <c r="BG58" s="288">
        <f t="shared" si="67"/>
        <v>0.42553191489361702</v>
      </c>
      <c r="BH58" s="288">
        <f t="shared" si="67"/>
        <v>0.41260583955582653</v>
      </c>
      <c r="BI58" s="288">
        <f t="shared" si="67"/>
        <v>0.40002077367355993</v>
      </c>
      <c r="BJ58" s="288">
        <f t="shared" si="67"/>
        <v>0.38777802349045043</v>
      </c>
      <c r="BK58" s="288">
        <f t="shared" si="67"/>
        <v>0.37587753844046434</v>
      </c>
      <c r="BL58" s="288">
        <f t="shared" si="68"/>
        <v>0.36431804930852779</v>
      </c>
      <c r="BM58" s="288">
        <f t="shared" si="68"/>
        <v>0.35309720065272793</v>
      </c>
      <c r="BN58" s="288">
        <f t="shared" si="68"/>
        <v>0.34221167663670088</v>
      </c>
      <c r="BO58" s="288">
        <f t="shared" si="68"/>
        <v>0.33165731966737572</v>
      </c>
      <c r="BP58" s="288">
        <f t="shared" si="68"/>
        <v>0.32142924144759932</v>
      </c>
      <c r="BQ58" s="288">
        <f t="shared" si="68"/>
        <v>0.31152192623634195</v>
      </c>
      <c r="BR58" s="288">
        <f t="shared" si="68"/>
        <v>0.30192932626293945</v>
      </c>
      <c r="BS58" s="288">
        <f t="shared" si="68"/>
        <v>0.2926449493683711</v>
      </c>
      <c r="BT58" s="288">
        <f t="shared" si="68"/>
        <v>0.2836619390484445</v>
      </c>
      <c r="BU58" s="288">
        <f t="shared" si="68"/>
        <v>0.27497314715359827</v>
      </c>
      <c r="BV58" s="288">
        <f t="shared" si="69"/>
        <v>0.26657119956053149</v>
      </c>
      <c r="BW58" s="288">
        <f t="shared" si="69"/>
        <v>0.25844855517462229</v>
      </c>
      <c r="BX58" s="288">
        <f t="shared" si="69"/>
        <v>0.25059755865157401</v>
      </c>
      <c r="BY58" s="288">
        <f t="shared" si="69"/>
        <v>0.24301048724421878</v>
      </c>
      <c r="BZ58" s="288">
        <f t="shared" si="69"/>
        <v>0.23567959218798701</v>
      </c>
      <c r="CA58" s="290">
        <f t="shared" si="69"/>
        <v>0.22859713503809256</v>
      </c>
      <c r="CB58" s="242"/>
      <c r="CE58" s="236"/>
      <c r="CF58" s="236"/>
      <c r="CG58" s="236"/>
    </row>
    <row r="59" spans="2:95">
      <c r="B59" s="274">
        <f t="shared" si="19"/>
        <v>14.25</v>
      </c>
      <c r="C59" s="234"/>
      <c r="D59" s="272">
        <f t="shared" si="62"/>
        <v>0.9999927103607642</v>
      </c>
      <c r="E59" s="288">
        <f t="shared" si="62"/>
        <v>0.99994168586173726</v>
      </c>
      <c r="F59" s="288">
        <f t="shared" si="62"/>
        <v>0.99980321703703157</v>
      </c>
      <c r="G59" s="288">
        <f t="shared" si="62"/>
        <v>0.99953367724636422</v>
      </c>
      <c r="H59" s="288">
        <f t="shared" si="62"/>
        <v>0.99908961800371432</v>
      </c>
      <c r="I59" s="288">
        <f t="shared" si="62"/>
        <v>0.99842790183120322</v>
      </c>
      <c r="J59" s="288">
        <f t="shared" si="62"/>
        <v>0.99750587174508998</v>
      </c>
      <c r="K59" s="288">
        <f t="shared" si="62"/>
        <v>0.99628155593643775</v>
      </c>
      <c r="L59" s="288">
        <f t="shared" si="62"/>
        <v>0.99471390554641104</v>
      </c>
      <c r="M59" s="288">
        <f t="shared" si="62"/>
        <v>0.99276306267187731</v>
      </c>
      <c r="N59" s="288">
        <f t="shared" si="63"/>
        <v>0.99039065489383515</v>
      </c>
      <c r="O59" s="288">
        <f t="shared" si="63"/>
        <v>0.98756011172862623</v>
      </c>
      <c r="P59" s="288">
        <f t="shared" si="63"/>
        <v>0.98423699749600002</v>
      </c>
      <c r="Q59" s="288">
        <f t="shared" si="63"/>
        <v>0.98038935422086282</v>
      </c>
      <c r="R59" s="288">
        <f t="shared" si="63"/>
        <v>0.97598804738358647</v>
      </c>
      <c r="S59" s="288">
        <f t="shared" si="63"/>
        <v>0.97100710665647383</v>
      </c>
      <c r="T59" s="288">
        <f t="shared" si="63"/>
        <v>0.96542405326089253</v>
      </c>
      <c r="U59" s="288">
        <f t="shared" si="63"/>
        <v>0.95922020529745755</v>
      </c>
      <c r="V59" s="288">
        <f t="shared" si="63"/>
        <v>0.95238095238095244</v>
      </c>
      <c r="W59" s="288">
        <f t="shared" si="63"/>
        <v>0.94489599118335854</v>
      </c>
      <c r="X59" s="288">
        <f t="shared" si="64"/>
        <v>0.93675951407051306</v>
      </c>
      <c r="Y59" s="288">
        <f t="shared" si="64"/>
        <v>0.92797034391319644</v>
      </c>
      <c r="Z59" s="288">
        <f t="shared" si="64"/>
        <v>0.91853200934735879</v>
      </c>
      <c r="AA59" s="288">
        <f t="shared" si="64"/>
        <v>0.9084527562183784</v>
      </c>
      <c r="AB59" s="288">
        <f t="shared" si="64"/>
        <v>0.89774549262131476</v>
      </c>
      <c r="AC59" s="288">
        <f t="shared" si="64"/>
        <v>0.88642766677867091</v>
      </c>
      <c r="AD59" s="288">
        <f t="shared" si="64"/>
        <v>0.87452107890324682</v>
      </c>
      <c r="AE59" s="288">
        <f t="shared" si="64"/>
        <v>0.86205163009325592</v>
      </c>
      <c r="AF59" s="288">
        <f t="shared" si="64"/>
        <v>0.84904901311513969</v>
      </c>
      <c r="AG59" s="288">
        <f t="shared" si="64"/>
        <v>0.83554635156535506</v>
      </c>
      <c r="AH59" s="288">
        <f t="shared" si="65"/>
        <v>0.82157979529379355</v>
      </c>
      <c r="AI59" s="288">
        <f t="shared" si="65"/>
        <v>0.80718808106008899</v>
      </c>
      <c r="AJ59" s="288">
        <f t="shared" si="65"/>
        <v>0.79241206813888865</v>
      </c>
      <c r="AK59" s="288">
        <f t="shared" si="65"/>
        <v>0.77729425896965165</v>
      </c>
      <c r="AL59" s="288">
        <f t="shared" si="65"/>
        <v>0.76187831495931801</v>
      </c>
      <c r="AM59" s="288">
        <f t="shared" si="65"/>
        <v>0.74620857721012201</v>
      </c>
      <c r="AN59" s="288">
        <f t="shared" si="65"/>
        <v>0.73032960129476721</v>
      </c>
      <c r="AO59" s="288">
        <f t="shared" si="65"/>
        <v>0.7142857142857143</v>
      </c>
      <c r="AP59" s="288">
        <f t="shared" si="65"/>
        <v>0.69812060112265195</v>
      </c>
      <c r="AQ59" s="288">
        <f t="shared" si="65"/>
        <v>0.68187692613579876</v>
      </c>
      <c r="AR59" s="288">
        <f t="shared" si="66"/>
        <v>0.66559599419701998</v>
      </c>
      <c r="AS59" s="288">
        <f t="shared" si="66"/>
        <v>0.64931745460741808</v>
      </c>
      <c r="AT59" s="288">
        <f t="shared" si="66"/>
        <v>0.63307904950458493</v>
      </c>
      <c r="AU59" s="288">
        <f t="shared" si="66"/>
        <v>0.61691640733212205</v>
      </c>
      <c r="AV59" s="288">
        <f t="shared" si="66"/>
        <v>0.60086288079542716</v>
      </c>
      <c r="AW59" s="288">
        <f t="shared" si="66"/>
        <v>0.5849494277575944</v>
      </c>
      <c r="AX59" s="288">
        <f t="shared" si="66"/>
        <v>0.56920453272365901</v>
      </c>
      <c r="AY59" s="288">
        <f t="shared" si="66"/>
        <v>0.55365416592673911</v>
      </c>
      <c r="AZ59" s="288">
        <f t="shared" si="66"/>
        <v>0.5383217765638918</v>
      </c>
      <c r="BA59" s="288">
        <f t="shared" si="66"/>
        <v>0.52322831642383094</v>
      </c>
      <c r="BB59" s="288">
        <f t="shared" si="67"/>
        <v>0.50839228998891905</v>
      </c>
      <c r="BC59" s="288">
        <f t="shared" si="67"/>
        <v>0.49382982706236406</v>
      </c>
      <c r="BD59" s="288">
        <f t="shared" si="67"/>
        <v>0.47955477404852875</v>
      </c>
      <c r="BE59" s="288">
        <f t="shared" si="67"/>
        <v>0.46557880017919928</v>
      </c>
      <c r="BF59" s="288">
        <f t="shared" si="67"/>
        <v>0.45191151521141143</v>
      </c>
      <c r="BG59" s="288">
        <f t="shared" si="67"/>
        <v>0.4385605954040333</v>
      </c>
      <c r="BH59" s="288">
        <f t="shared" si="67"/>
        <v>0.42553191489361697</v>
      </c>
      <c r="BI59" s="288">
        <f t="shared" si="67"/>
        <v>0.4128296799200703</v>
      </c>
      <c r="BJ59" s="288">
        <f t="shared" si="67"/>
        <v>0.40045656368683935</v>
      </c>
      <c r="BK59" s="288">
        <f t="shared" si="67"/>
        <v>0.3884138399682881</v>
      </c>
      <c r="BL59" s="288">
        <f t="shared" si="68"/>
        <v>0.37670151389083395</v>
      </c>
      <c r="BM59" s="288">
        <f t="shared" si="68"/>
        <v>0.36531844860828527</v>
      </c>
      <c r="BN59" s="288">
        <f t="shared" si="68"/>
        <v>0.35426248686171158</v>
      </c>
      <c r="BO59" s="288">
        <f t="shared" si="68"/>
        <v>0.34353056665765141</v>
      </c>
      <c r="BP59" s="288">
        <f t="shared" si="68"/>
        <v>0.33311883051444252</v>
      </c>
      <c r="BQ59" s="288">
        <f t="shared" si="68"/>
        <v>0.32302272791492803</v>
      </c>
      <c r="BR59" s="288">
        <f t="shared" si="68"/>
        <v>0.31323711076555621</v>
      </c>
      <c r="BS59" s="288">
        <f t="shared" si="68"/>
        <v>0.30375632179835793</v>
      </c>
      <c r="BT59" s="288">
        <f t="shared" si="68"/>
        <v>0.29457427596529012</v>
      </c>
      <c r="BU59" s="288">
        <f t="shared" si="68"/>
        <v>0.28568453496605439</v>
      </c>
      <c r="BV59" s="288">
        <f t="shared" si="69"/>
        <v>0.27708037512295713</v>
      </c>
      <c r="BW59" s="288">
        <f t="shared" si="69"/>
        <v>0.26875484887192708</v>
      </c>
      <c r="BX59" s="288">
        <f t="shared" si="69"/>
        <v>0.26070084017962852</v>
      </c>
      <c r="BY59" s="288">
        <f t="shared" si="69"/>
        <v>0.25291111422482132</v>
      </c>
      <c r="BZ59" s="288">
        <f t="shared" si="69"/>
        <v>0.24537836169965388</v>
      </c>
      <c r="CA59" s="290">
        <f t="shared" si="69"/>
        <v>0.23809523809523805</v>
      </c>
      <c r="CB59" s="242"/>
      <c r="CE59" s="236"/>
      <c r="CF59" s="236"/>
      <c r="CG59" s="236"/>
    </row>
    <row r="60" spans="2:95">
      <c r="B60" s="274">
        <f t="shared" si="19"/>
        <v>14.5</v>
      </c>
      <c r="C60" s="234"/>
      <c r="D60" s="272">
        <f t="shared" si="62"/>
        <v>0.99999308094499939</v>
      </c>
      <c r="E60" s="288">
        <f t="shared" si="62"/>
        <v>0.9999446502407715</v>
      </c>
      <c r="F60" s="288">
        <f t="shared" si="62"/>
        <v>0.9998132191160114</v>
      </c>
      <c r="G60" s="288">
        <f t="shared" si="62"/>
        <v>0.99955737342109363</v>
      </c>
      <c r="H60" s="288">
        <f t="shared" si="62"/>
        <v>0.99913585952532447</v>
      </c>
      <c r="I60" s="288">
        <f t="shared" si="62"/>
        <v>0.99850770405458233</v>
      </c>
      <c r="J60" s="288">
        <f t="shared" si="62"/>
        <v>0.99763236670526234</v>
      </c>
      <c r="K60" s="288">
        <f t="shared" si="62"/>
        <v>0.99646992490418951</v>
      </c>
      <c r="L60" s="288">
        <f t="shared" si="62"/>
        <v>0.99498128851586332</v>
      </c>
      <c r="M60" s="288">
        <f t="shared" si="62"/>
        <v>0.99312844214148288</v>
      </c>
      <c r="N60" s="288">
        <f t="shared" si="63"/>
        <v>0.99087471182732512</v>
      </c>
      <c r="O60" s="288">
        <f t="shared" si="63"/>
        <v>0.9881850522272555</v>
      </c>
      <c r="P60" s="288">
        <f t="shared" si="63"/>
        <v>0.98502634947504242</v>
      </c>
      <c r="Q60" s="288">
        <f t="shared" si="63"/>
        <v>0.9813677342512992</v>
      </c>
      <c r="R60" s="288">
        <f t="shared" si="63"/>
        <v>0.97718089881591086</v>
      </c>
      <c r="S60" s="288">
        <f t="shared" si="63"/>
        <v>0.97244041116099544</v>
      </c>
      <c r="T60" s="288">
        <f t="shared" si="63"/>
        <v>0.96712401896358546</v>
      </c>
      <c r="U60" s="288">
        <f t="shared" si="63"/>
        <v>0.96121293572142197</v>
      </c>
      <c r="V60" s="288">
        <f t="shared" si="63"/>
        <v>0.9546921013751174</v>
      </c>
      <c r="W60" s="288">
        <f t="shared" si="63"/>
        <v>0.94755040988383388</v>
      </c>
      <c r="X60" s="288">
        <f t="shared" si="64"/>
        <v>0.93978089664803999</v>
      </c>
      <c r="Y60" s="288">
        <f t="shared" si="64"/>
        <v>0.93138087936805569</v>
      </c>
      <c r="Z60" s="288">
        <f t="shared" si="64"/>
        <v>0.92235204688342409</v>
      </c>
      <c r="AA60" s="288">
        <f t="shared" si="64"/>
        <v>0.91270049173334133</v>
      </c>
      <c r="AB60" s="288">
        <f t="shared" si="64"/>
        <v>0.90243668357571438</v>
      </c>
      <c r="AC60" s="288">
        <f t="shared" si="64"/>
        <v>0.89157538215204191</v>
      </c>
      <c r="AD60" s="288">
        <f t="shared" si="64"/>
        <v>0.88013549012660142</v>
      </c>
      <c r="AE60" s="288">
        <f t="shared" si="64"/>
        <v>0.8681398477934319</v>
      </c>
      <c r="AF60" s="288">
        <f t="shared" si="64"/>
        <v>0.85561497326203206</v>
      </c>
      <c r="AG60" s="288">
        <f t="shared" si="64"/>
        <v>0.84259075323239563</v>
      </c>
      <c r="AH60" s="288">
        <f t="shared" si="65"/>
        <v>0.82910009078746272</v>
      </c>
      <c r="AI60" s="288">
        <f t="shared" si="65"/>
        <v>0.81517851771139027</v>
      </c>
      <c r="AJ60" s="288">
        <f t="shared" si="65"/>
        <v>0.80086377964342614</v>
      </c>
      <c r="AK60" s="288">
        <f t="shared" si="65"/>
        <v>0.78619540287316403</v>
      </c>
      <c r="AL60" s="288">
        <f t="shared" si="65"/>
        <v>0.77121425176363401</v>
      </c>
      <c r="AM60" s="288">
        <f t="shared" si="65"/>
        <v>0.75596208566061829</v>
      </c>
      <c r="AN60" s="288">
        <f t="shared" si="65"/>
        <v>0.74048112373149177</v>
      </c>
      <c r="AO60" s="288">
        <f t="shared" si="65"/>
        <v>0.72481362550949291</v>
      </c>
      <c r="AP60" s="288">
        <f t="shared" si="65"/>
        <v>0.70900149404426316</v>
      </c>
      <c r="AQ60" s="288">
        <f t="shared" si="65"/>
        <v>0.69308590752792065</v>
      </c>
      <c r="AR60" s="288">
        <f t="shared" si="66"/>
        <v>0.67710698413199688</v>
      </c>
      <c r="AS60" s="288">
        <f t="shared" si="66"/>
        <v>0.66110348360794602</v>
      </c>
      <c r="AT60" s="288">
        <f t="shared" si="66"/>
        <v>0.64511254802296403</v>
      </c>
      <c r="AU60" s="288">
        <f t="shared" si="66"/>
        <v>0.62916948286803664</v>
      </c>
      <c r="AV60" s="288">
        <f t="shared" si="66"/>
        <v>0.61330757872352804</v>
      </c>
      <c r="AW60" s="288">
        <f t="shared" si="66"/>
        <v>0.5975579727277962</v>
      </c>
      <c r="AX60" s="288">
        <f t="shared" si="66"/>
        <v>0.58194954828609091</v>
      </c>
      <c r="AY60" s="288">
        <f t="shared" si="66"/>
        <v>0.56650887079165835</v>
      </c>
      <c r="AZ60" s="288">
        <f t="shared" si="66"/>
        <v>0.55126015661210859</v>
      </c>
      <c r="BA60" s="288">
        <f t="shared" si="66"/>
        <v>0.5362252722185884</v>
      </c>
      <c r="BB60" s="288">
        <f t="shared" si="67"/>
        <v>0.52142376009461489</v>
      </c>
      <c r="BC60" s="288">
        <f t="shared" si="67"/>
        <v>0.50687288794303831</v>
      </c>
      <c r="BD60" s="288">
        <f t="shared" si="67"/>
        <v>0.49258771769819915</v>
      </c>
      <c r="BE60" s="288">
        <f t="shared" si="67"/>
        <v>0.47858119092915075</v>
      </c>
      <c r="BF60" s="288">
        <f t="shared" si="67"/>
        <v>0.46486422737157607</v>
      </c>
      <c r="BG60" s="288">
        <f t="shared" si="67"/>
        <v>0.45144583353386075</v>
      </c>
      <c r="BH60" s="288">
        <f t="shared" si="67"/>
        <v>0.43833321857093061</v>
      </c>
      <c r="BI60" s="288">
        <f t="shared" si="67"/>
        <v>0.42553191489361702</v>
      </c>
      <c r="BJ60" s="288">
        <f t="shared" si="67"/>
        <v>0.41304590126904833</v>
      </c>
      <c r="BK60" s="288">
        <f t="shared" si="67"/>
        <v>0.40087772645835729</v>
      </c>
      <c r="BL60" s="288">
        <f t="shared" si="68"/>
        <v>0.38902863172330376</v>
      </c>
      <c r="BM60" s="288">
        <f t="shared" si="68"/>
        <v>0.37749867080657851</v>
      </c>
      <c r="BN60" s="288">
        <f t="shared" si="68"/>
        <v>0.36628682624663861</v>
      </c>
      <c r="BO60" s="288">
        <f t="shared" si="68"/>
        <v>0.35539112112354243</v>
      </c>
      <c r="BP60" s="288">
        <f t="shared" si="68"/>
        <v>0.34480872554533554</v>
      </c>
      <c r="BQ60" s="288">
        <f t="shared" si="68"/>
        <v>0.33453605737412029</v>
      </c>
      <c r="BR60" s="288">
        <f t="shared" si="68"/>
        <v>0.32456887685697577</v>
      </c>
      <c r="BS60" s="288">
        <f t="shared" si="68"/>
        <v>0.31490237496998041</v>
      </c>
      <c r="BT60" s="288">
        <f t="shared" si="68"/>
        <v>0.30553125540489678</v>
      </c>
      <c r="BU60" s="288">
        <f t="shared" si="68"/>
        <v>0.29644981022909256</v>
      </c>
      <c r="BV60" s="288">
        <f t="shared" si="69"/>
        <v>0.28765198933173086</v>
      </c>
      <c r="BW60" s="288">
        <f t="shared" si="69"/>
        <v>0.27913146383502757</v>
      </c>
      <c r="BX60" s="288">
        <f t="shared" si="69"/>
        <v>0.27088168370031884</v>
      </c>
      <c r="BY60" s="288">
        <f t="shared" si="69"/>
        <v>0.26289592979668652</v>
      </c>
      <c r="BZ60" s="288">
        <f t="shared" si="69"/>
        <v>0.25516736072671797</v>
      </c>
      <c r="CA60" s="290">
        <f t="shared" si="69"/>
        <v>0.2476890547213155</v>
      </c>
      <c r="CB60" s="242"/>
      <c r="CF60" s="268"/>
      <c r="CG60" s="268"/>
      <c r="CI60" s="268"/>
      <c r="CK60" s="238"/>
      <c r="CQ60" s="238"/>
    </row>
    <row r="61" spans="2:95">
      <c r="B61" s="274">
        <f t="shared" si="19"/>
        <v>14.75</v>
      </c>
      <c r="C61" s="234"/>
      <c r="D61" s="272">
        <f t="shared" si="62"/>
        <v>0.99999342682978187</v>
      </c>
      <c r="E61" s="288">
        <f t="shared" si="62"/>
        <v>0.99994741705771173</v>
      </c>
      <c r="F61" s="288">
        <f t="shared" si="62"/>
        <v>0.99982255472993875</v>
      </c>
      <c r="G61" s="288">
        <f t="shared" si="62"/>
        <v>0.99957949124280787</v>
      </c>
      <c r="H61" s="288">
        <f t="shared" si="62"/>
        <v>0.99917902287911198</v>
      </c>
      <c r="I61" s="288">
        <f t="shared" si="62"/>
        <v>0.99858219891418609</v>
      </c>
      <c r="J61" s="288">
        <f t="shared" si="62"/>
        <v>0.99775045963640574</v>
      </c>
      <c r="K61" s="288">
        <f t="shared" si="62"/>
        <v>0.99664580322627916</v>
      </c>
      <c r="L61" s="288">
        <f t="shared" si="62"/>
        <v>0.99523097994966647</v>
      </c>
      <c r="M61" s="288">
        <f t="shared" si="62"/>
        <v>0.99346971155474073</v>
      </c>
      <c r="N61" s="288">
        <f t="shared" si="63"/>
        <v>0.99132693313433973</v>
      </c>
      <c r="O61" s="288">
        <f t="shared" si="63"/>
        <v>0.98876905404507598</v>
      </c>
      <c r="P61" s="288">
        <f t="shared" si="63"/>
        <v>0.98576423378632405</v>
      </c>
      <c r="Q61" s="288">
        <f t="shared" si="63"/>
        <v>0.98228266806451403</v>
      </c>
      <c r="R61" s="288">
        <f t="shared" si="63"/>
        <v>0.97829687963312495</v>
      </c>
      <c r="S61" s="288">
        <f t="shared" si="63"/>
        <v>0.97378200794088055</v>
      </c>
      <c r="T61" s="288">
        <f t="shared" si="63"/>
        <v>0.96871609117522139</v>
      </c>
      <c r="U61" s="288">
        <f t="shared" si="63"/>
        <v>0.96308033398952031</v>
      </c>
      <c r="V61" s="288">
        <f t="shared" si="63"/>
        <v>0.95685935408184875</v>
      </c>
      <c r="W61" s="288">
        <f t="shared" si="63"/>
        <v>0.95004140087612576</v>
      </c>
      <c r="X61" s="288">
        <f t="shared" si="64"/>
        <v>0.94261853986125932</v>
      </c>
      <c r="Y61" s="288">
        <f t="shared" si="64"/>
        <v>0.93458679667882882</v>
      </c>
      <c r="Z61" s="288">
        <f t="shared" si="64"/>
        <v>0.92594625581227064</v>
      </c>
      <c r="AA61" s="288">
        <f t="shared" si="64"/>
        <v>0.91670110970561691</v>
      </c>
      <c r="AB61" s="288">
        <f t="shared" si="64"/>
        <v>0.9068596553006929</v>
      </c>
      <c r="AC61" s="288">
        <f t="shared" si="64"/>
        <v>0.89643423629000651</v>
      </c>
      <c r="AD61" s="288">
        <f t="shared" si="64"/>
        <v>0.88544113079031117</v>
      </c>
      <c r="AE61" s="288">
        <f t="shared" si="64"/>
        <v>0.87390038559372152</v>
      </c>
      <c r="AF61" s="288">
        <f t="shared" si="64"/>
        <v>0.8618355995898519</v>
      </c>
      <c r="AG61" s="288">
        <f t="shared" si="64"/>
        <v>0.84927366031369278</v>
      </c>
      <c r="AH61" s="288">
        <f t="shared" si="65"/>
        <v>0.83624443880285926</v>
      </c>
      <c r="AI61" s="288">
        <f t="shared" si="65"/>
        <v>0.82278044899401404</v>
      </c>
      <c r="AJ61" s="288">
        <f t="shared" si="65"/>
        <v>0.80891647871089478</v>
      </c>
      <c r="AK61" s="288">
        <f t="shared" si="65"/>
        <v>0.79468919986658382</v>
      </c>
      <c r="AL61" s="288">
        <f t="shared" si="65"/>
        <v>0.78013676580494018</v>
      </c>
      <c r="AM61" s="288">
        <f t="shared" si="65"/>
        <v>0.76529840373879421</v>
      </c>
      <c r="AN61" s="288">
        <f t="shared" si="65"/>
        <v>0.75021401001714827</v>
      </c>
      <c r="AO61" s="288">
        <f t="shared" si="65"/>
        <v>0.73492375549370526</v>
      </c>
      <c r="AP61" s="288">
        <f t="shared" si="65"/>
        <v>0.71946770760771261</v>
      </c>
      <c r="AQ61" s="288">
        <f t="shared" si="65"/>
        <v>0.7038854749656418</v>
      </c>
      <c r="AR61" s="288">
        <f t="shared" si="66"/>
        <v>0.68821587927311745</v>
      </c>
      <c r="AS61" s="288">
        <f t="shared" si="66"/>
        <v>0.67249665845660977</v>
      </c>
      <c r="AT61" s="288">
        <f t="shared" si="66"/>
        <v>0.65676420377825129</v>
      </c>
      <c r="AU61" s="288">
        <f t="shared" si="66"/>
        <v>0.64105333272571652</v>
      </c>
      <c r="AV61" s="288">
        <f t="shared" si="66"/>
        <v>0.62539709848803771</v>
      </c>
      <c r="AW61" s="288">
        <f t="shared" si="66"/>
        <v>0.60982663593665476</v>
      </c>
      <c r="AX61" s="288">
        <f t="shared" si="66"/>
        <v>0.59437104324086298</v>
      </c>
      <c r="AY61" s="288">
        <f t="shared" si="66"/>
        <v>0.57905729757284208</v>
      </c>
      <c r="AZ61" s="288">
        <f t="shared" si="66"/>
        <v>0.56391020280740123</v>
      </c>
      <c r="BA61" s="288">
        <f t="shared" si="66"/>
        <v>0.54895236669704839</v>
      </c>
      <c r="BB61" s="288">
        <f t="shared" si="67"/>
        <v>0.53420420470020313</v>
      </c>
      <c r="BC61" s="288">
        <f t="shared" si="67"/>
        <v>0.51968396745140044</v>
      </c>
      <c r="BD61" s="288">
        <f t="shared" si="67"/>
        <v>0.50540778877601911</v>
      </c>
      <c r="BE61" s="288">
        <f t="shared" si="67"/>
        <v>0.49138975115526679</v>
      </c>
      <c r="BF61" s="288">
        <f t="shared" si="67"/>
        <v>0.47764196562556505</v>
      </c>
      <c r="BG61" s="288">
        <f t="shared" si="67"/>
        <v>0.4641746632355514</v>
      </c>
      <c r="BH61" s="288">
        <f t="shared" si="67"/>
        <v>0.45099629536953578</v>
      </c>
      <c r="BI61" s="288">
        <f t="shared" si="67"/>
        <v>0.4381136404651903</v>
      </c>
      <c r="BJ61" s="288">
        <f t="shared" si="67"/>
        <v>0.42553191489361702</v>
      </c>
      <c r="BK61" s="288">
        <f t="shared" si="67"/>
        <v>0.41325488602134092</v>
      </c>
      <c r="BL61" s="288">
        <f t="shared" si="68"/>
        <v>0.40128498572742827</v>
      </c>
      <c r="BM61" s="288">
        <f t="shared" si="68"/>
        <v>0.38962342289770596</v>
      </c>
      <c r="BN61" s="288">
        <f t="shared" si="68"/>
        <v>0.37827029365635351</v>
      </c>
      <c r="BO61" s="288">
        <f t="shared" si="68"/>
        <v>0.36722468831880795</v>
      </c>
      <c r="BP61" s="288">
        <f t="shared" si="68"/>
        <v>0.3564847942560852</v>
      </c>
      <c r="BQ61" s="288">
        <f t="shared" si="68"/>
        <v>0.34604799404750064</v>
      </c>
      <c r="BR61" s="288">
        <f t="shared" si="68"/>
        <v>0.33591095846553137</v>
      </c>
      <c r="BS61" s="288">
        <f t="shared" si="68"/>
        <v>0.32606973398308392</v>
      </c>
      <c r="BT61" s="288">
        <f t="shared" si="68"/>
        <v>0.31651982462022404</v>
      </c>
      <c r="BU61" s="288">
        <f t="shared" si="68"/>
        <v>0.30725626805539558</v>
      </c>
      <c r="BV61" s="288">
        <f t="shared" si="69"/>
        <v>0.29827370601655906</v>
      </c>
      <c r="BW61" s="288">
        <f t="shared" si="69"/>
        <v>0.28956644904195022</v>
      </c>
      <c r="BX61" s="288">
        <f t="shared" si="69"/>
        <v>0.28112853575984564</v>
      </c>
      <c r="BY61" s="288">
        <f t="shared" si="69"/>
        <v>0.27295378688342881</v>
      </c>
      <c r="BZ61" s="288">
        <f t="shared" si="69"/>
        <v>0.26503585415214215</v>
      </c>
      <c r="CA61" s="290">
        <f t="shared" si="69"/>
        <v>0.25736826447631478</v>
      </c>
      <c r="CB61" s="242"/>
      <c r="CF61" s="268"/>
      <c r="CG61" s="268"/>
      <c r="CI61" s="268"/>
      <c r="CK61" s="238"/>
      <c r="CQ61" s="238"/>
    </row>
    <row r="62" spans="2:95">
      <c r="B62" s="274">
        <f t="shared" si="19"/>
        <v>15</v>
      </c>
      <c r="C62" s="234"/>
      <c r="D62" s="272">
        <f t="shared" si="62"/>
        <v>0.99999375003906221</v>
      </c>
      <c r="E62" s="288">
        <f t="shared" si="62"/>
        <v>0.99995000249987509</v>
      </c>
      <c r="F62" s="288">
        <f t="shared" si="62"/>
        <v>0.99983127847175779</v>
      </c>
      <c r="G62" s="288">
        <f t="shared" si="62"/>
        <v>0.99960015993602558</v>
      </c>
      <c r="H62" s="288">
        <f t="shared" si="62"/>
        <v>0.99921935987509758</v>
      </c>
      <c r="I62" s="288">
        <f t="shared" si="62"/>
        <v>0.99865182004294195</v>
      </c>
      <c r="J62" s="288">
        <f t="shared" si="62"/>
        <v>0.99786083583318264</v>
      </c>
      <c r="K62" s="288">
        <f t="shared" si="62"/>
        <v>0.99681020733652304</v>
      </c>
      <c r="L62" s="288">
        <f t="shared" si="62"/>
        <v>0.99546441525798091</v>
      </c>
      <c r="M62" s="288">
        <f t="shared" si="62"/>
        <v>0.99378881987577639</v>
      </c>
      <c r="N62" s="288">
        <f t="shared" si="63"/>
        <v>0.9917498806800924</v>
      </c>
      <c r="O62" s="288">
        <f t="shared" si="63"/>
        <v>0.98931539374752675</v>
      </c>
      <c r="P62" s="288">
        <f t="shared" si="63"/>
        <v>0.98645474330597971</v>
      </c>
      <c r="Q62" s="288">
        <f t="shared" si="63"/>
        <v>0.98313916334857199</v>
      </c>
      <c r="R62" s="288">
        <f t="shared" si="63"/>
        <v>0.97934200459066567</v>
      </c>
      <c r="S62" s="288">
        <f t="shared" si="63"/>
        <v>0.9750390015600624</v>
      </c>
      <c r="T62" s="288">
        <f t="shared" si="63"/>
        <v>0.97020853419681896</v>
      </c>
      <c r="U62" s="288">
        <f t="shared" si="63"/>
        <v>0.96483187804525061</v>
      </c>
      <c r="V62" s="288">
        <f t="shared" si="63"/>
        <v>0.9588934369737323</v>
      </c>
      <c r="W62" s="288">
        <f t="shared" si="63"/>
        <v>0.95238095238095233</v>
      </c>
      <c r="X62" s="288">
        <f t="shared" si="64"/>
        <v>0.94528568305752647</v>
      </c>
      <c r="Y62" s="288">
        <f t="shared" si="64"/>
        <v>0.9376025502789368</v>
      </c>
      <c r="Z62" s="288">
        <f t="shared" si="64"/>
        <v>0.92933024331027425</v>
      </c>
      <c r="AA62" s="288">
        <f t="shared" si="64"/>
        <v>0.92047128129602362</v>
      </c>
      <c r="AB62" s="288">
        <f t="shared" si="64"/>
        <v>0.91103202846975084</v>
      </c>
      <c r="AC62" s="288">
        <f t="shared" si="64"/>
        <v>0.9010226607199171</v>
      </c>
      <c r="AD62" s="288">
        <f t="shared" si="64"/>
        <v>0.89045708275128976</v>
      </c>
      <c r="AE62" s="288">
        <f t="shared" si="64"/>
        <v>0.87935279634189234</v>
      </c>
      <c r="AF62" s="288">
        <f t="shared" si="64"/>
        <v>0.86773072146386176</v>
      </c>
      <c r="AG62" s="288">
        <f t="shared" si="64"/>
        <v>0.85561497326203206</v>
      </c>
      <c r="AH62" s="288">
        <f t="shared" si="65"/>
        <v>0.84303259901681327</v>
      </c>
      <c r="AI62" s="288">
        <f t="shared" si="65"/>
        <v>0.83001328021248344</v>
      </c>
      <c r="AJ62" s="288">
        <f t="shared" si="65"/>
        <v>0.8165890056497751</v>
      </c>
      <c r="AK62" s="288">
        <f t="shared" si="65"/>
        <v>0.80279372215309275</v>
      </c>
      <c r="AL62" s="288">
        <f t="shared" si="65"/>
        <v>0.78866296980899564</v>
      </c>
      <c r="AM62" s="288">
        <f t="shared" si="65"/>
        <v>0.77423350882626207</v>
      </c>
      <c r="AN62" s="288">
        <f t="shared" si="65"/>
        <v>0.75954294503282649</v>
      </c>
      <c r="AO62" s="288">
        <f t="shared" si="65"/>
        <v>0.74462936073569375</v>
      </c>
      <c r="AP62" s="288">
        <f t="shared" si="65"/>
        <v>0.72953095719021144</v>
      </c>
      <c r="AQ62" s="288">
        <f t="shared" si="65"/>
        <v>0.7142857142857143</v>
      </c>
      <c r="AR62" s="288">
        <f t="shared" si="66"/>
        <v>0.69893107229131457</v>
      </c>
      <c r="AS62" s="288">
        <f t="shared" si="66"/>
        <v>0.68350363965688121</v>
      </c>
      <c r="AT62" s="288">
        <f t="shared" si="66"/>
        <v>0.66803892996864389</v>
      </c>
      <c r="AU62" s="288">
        <f t="shared" si="66"/>
        <v>0.65257113025319757</v>
      </c>
      <c r="AV62" s="288">
        <f t="shared" si="66"/>
        <v>0.63713290194126426</v>
      </c>
      <c r="AW62" s="288">
        <f t="shared" si="66"/>
        <v>0.62175521497186559</v>
      </c>
      <c r="AX62" s="288">
        <f t="shared" si="66"/>
        <v>0.60646721476141197</v>
      </c>
      <c r="AY62" s="288">
        <f t="shared" si="66"/>
        <v>0.59129612109744556</v>
      </c>
      <c r="AZ62" s="288">
        <f t="shared" si="66"/>
        <v>0.57626715745419577</v>
      </c>
      <c r="BA62" s="288">
        <f t="shared" si="66"/>
        <v>0.56140350877192979</v>
      </c>
      <c r="BB62" s="288">
        <f t="shared" si="67"/>
        <v>0.54672630539448019</v>
      </c>
      <c r="BC62" s="288">
        <f t="shared" si="67"/>
        <v>0.53225463061528633</v>
      </c>
      <c r="BD62" s="288">
        <f t="shared" si="67"/>
        <v>0.51800554913444508</v>
      </c>
      <c r="BE62" s="288">
        <f t="shared" si="67"/>
        <v>0.50399415366781741</v>
      </c>
      <c r="BF62" s="288">
        <f t="shared" si="67"/>
        <v>0.4902336269628495</v>
      </c>
      <c r="BG62" s="288">
        <f t="shared" si="67"/>
        <v>0.47673531655225021</v>
      </c>
      <c r="BH62" s="288">
        <f t="shared" si="67"/>
        <v>0.4635088197037599</v>
      </c>
      <c r="BI62" s="288">
        <f t="shared" si="67"/>
        <v>0.45056207619004707</v>
      </c>
      <c r="BJ62" s="288">
        <f t="shared" si="67"/>
        <v>0.43790146669622498</v>
      </c>
      <c r="BK62" s="288">
        <f t="shared" si="67"/>
        <v>0.42553191489361702</v>
      </c>
      <c r="BL62" s="288">
        <f t="shared" si="68"/>
        <v>0.41345699142851972</v>
      </c>
      <c r="BM62" s="288">
        <f t="shared" si="68"/>
        <v>0.40167901829647923</v>
      </c>
      <c r="BN62" s="288">
        <f t="shared" si="68"/>
        <v>0.39019917229000584</v>
      </c>
      <c r="BO62" s="288">
        <f t="shared" si="68"/>
        <v>0.37901758641600969</v>
      </c>
      <c r="BP62" s="288">
        <f t="shared" si="68"/>
        <v>0.36813344837503598</v>
      </c>
      <c r="BQ62" s="288">
        <f t="shared" si="68"/>
        <v>0.35754509537515411</v>
      </c>
      <c r="BR62" s="288">
        <f t="shared" si="68"/>
        <v>0.3472501047176097</v>
      </c>
      <c r="BS62" s="288">
        <f t="shared" si="68"/>
        <v>0.3372453797382976</v>
      </c>
      <c r="BT62" s="288">
        <f t="shared" si="68"/>
        <v>0.3275272308186748</v>
      </c>
      <c r="BU62" s="288">
        <f t="shared" si="68"/>
        <v>0.31809145129224653</v>
      </c>
      <c r="BV62" s="288">
        <f t="shared" si="69"/>
        <v>0.30893338816900967</v>
      </c>
      <c r="BW62" s="288">
        <f t="shared" si="69"/>
        <v>0.30004800768122897</v>
      </c>
      <c r="BX62" s="288">
        <f t="shared" si="69"/>
        <v>0.29142995572086106</v>
      </c>
      <c r="BY62" s="288">
        <f t="shared" si="69"/>
        <v>0.28307361329313685</v>
      </c>
      <c r="BZ62" s="288">
        <f t="shared" si="69"/>
        <v>0.27497314715359827</v>
      </c>
      <c r="CA62" s="290">
        <f t="shared" si="69"/>
        <v>0.26712255582861416</v>
      </c>
      <c r="CB62" s="242"/>
      <c r="CF62" s="268"/>
      <c r="CG62" s="268"/>
      <c r="CI62" s="268"/>
      <c r="CK62" s="238"/>
      <c r="CQ62" s="238"/>
    </row>
    <row r="63" spans="2:95">
      <c r="B63" s="274">
        <f t="shared" si="19"/>
        <v>15.25</v>
      </c>
      <c r="C63" s="234"/>
      <c r="D63" s="272">
        <f t="shared" ref="D63:M72" si="70">(POWER($B63,$F$1)/(POWER($B63,$F$1)+($G$1*POWER(D$2,$F$1))))</f>
        <v>0.9999940524009906</v>
      </c>
      <c r="E63" s="288">
        <f t="shared" si="70"/>
        <v>0.99995242118878314</v>
      </c>
      <c r="F63" s="288">
        <f t="shared" si="70"/>
        <v>0.99983943965540967</v>
      </c>
      <c r="G63" s="288">
        <f t="shared" si="70"/>
        <v>0.99961949623768098</v>
      </c>
      <c r="H63" s="288">
        <f t="shared" si="70"/>
        <v>0.99925709801573637</v>
      </c>
      <c r="I63" s="288">
        <f t="shared" si="70"/>
        <v>0.99871695928149717</v>
      </c>
      <c r="J63" s="288">
        <f t="shared" si="70"/>
        <v>0.99796411469106361</v>
      </c>
      <c r="K63" s="288">
        <f t="shared" si="70"/>
        <v>0.99696405621766726</v>
      </c>
      <c r="L63" s="288">
        <f t="shared" si="70"/>
        <v>0.99568289275795008</v>
      </c>
      <c r="M63" s="288">
        <f t="shared" si="70"/>
        <v>0.99408753082148282</v>
      </c>
      <c r="N63" s="288">
        <f t="shared" ref="N63:W72" si="71">(POWER($B63,$F$1)/(POWER($B63,$F$1)+($G$1*POWER(N$2,$F$1))))</f>
        <v>0.99214587426186585</v>
      </c>
      <c r="O63" s="288">
        <f t="shared" si="71"/>
        <v>0.98982704050083337</v>
      </c>
      <c r="P63" s="288">
        <f t="shared" si="71"/>
        <v>0.9871015901711242</v>
      </c>
      <c r="Q63" s="288">
        <f t="shared" si="71"/>
        <v>0.98394176657907262</v>
      </c>
      <c r="R63" s="288">
        <f t="shared" si="71"/>
        <v>0.98032174088618573</v>
      </c>
      <c r="S63" s="288">
        <f t="shared" si="71"/>
        <v>0.97621785845462528</v>
      </c>
      <c r="T63" s="288">
        <f t="shared" si="71"/>
        <v>0.97160888141976354</v>
      </c>
      <c r="U63" s="288">
        <f t="shared" si="71"/>
        <v>0.96647622226896512</v>
      </c>
      <c r="V63" s="288">
        <f t="shared" si="71"/>
        <v>0.96080416304306648</v>
      </c>
      <c r="W63" s="288">
        <f t="shared" si="71"/>
        <v>0.95458005475626728</v>
      </c>
      <c r="X63" s="288">
        <f t="shared" ref="X63:AG72" si="72">(POWER($B63,$F$1)/(POWER($B63,$F$1)+($G$1*POWER(X$2,$F$1))))</f>
        <v>0.94779449176738173</v>
      </c>
      <c r="Y63" s="288">
        <f t="shared" si="72"/>
        <v>0.94044145614068531</v>
      </c>
      <c r="Z63" s="288">
        <f t="shared" si="72"/>
        <v>0.93251842751085678</v>
      </c>
      <c r="AA63" s="288">
        <f t="shared" si="72"/>
        <v>0.92402645460859123</v>
      </c>
      <c r="AB63" s="288">
        <f t="shared" si="72"/>
        <v>0.9149701853977481</v>
      </c>
      <c r="AC63" s="288">
        <f t="shared" si="72"/>
        <v>0.90535785369947419</v>
      </c>
      <c r="AD63" s="288">
        <f t="shared" si="72"/>
        <v>0.89520122120400447</v>
      </c>
      <c r="AE63" s="288">
        <f t="shared" si="72"/>
        <v>0.88451547486090121</v>
      </c>
      <c r="AF63" s="288">
        <f t="shared" si="72"/>
        <v>0.87331908075280251</v>
      </c>
      <c r="AG63" s="288">
        <f t="shared" si="72"/>
        <v>0.86163359665339312</v>
      </c>
      <c r="AH63" s="288">
        <f t="shared" ref="AH63:AQ72" si="73">(POWER($B63,$F$1)/(POWER($B63,$F$1)+($G$1*POWER(AH$2,$F$1))))</f>
        <v>0.84948344650435437</v>
      </c>
      <c r="AI63" s="288">
        <f t="shared" si="73"/>
        <v>0.83689566097800372</v>
      </c>
      <c r="AJ63" s="288">
        <f t="shared" si="73"/>
        <v>0.82389958908651828</v>
      </c>
      <c r="AK63" s="288">
        <f t="shared" si="73"/>
        <v>0.81052658642614983</v>
      </c>
      <c r="AL63" s="288">
        <f t="shared" si="73"/>
        <v>0.7968096860851166</v>
      </c>
      <c r="AM63" s="288">
        <f t="shared" si="73"/>
        <v>0.78278325848563257</v>
      </c>
      <c r="AN63" s="288">
        <f t="shared" si="73"/>
        <v>0.7684826664721035</v>
      </c>
      <c r="AO63" s="288">
        <f t="shared" si="73"/>
        <v>0.75394392180648129</v>
      </c>
      <c r="AP63" s="288">
        <f t="shared" si="73"/>
        <v>0.73920334890403927</v>
      </c>
      <c r="AQ63" s="288">
        <f t="shared" si="73"/>
        <v>0.72429726116133397</v>
      </c>
      <c r="AR63" s="288">
        <f t="shared" ref="AR63:BA72" si="74">(POWER($B63,$F$1)/(POWER($B63,$F$1)+($G$1*POWER(AR$2,$F$1))))</f>
        <v>0.70926165462096868</v>
      </c>
      <c r="AS63" s="288">
        <f t="shared" si="74"/>
        <v>0.69413192301646676</v>
      </c>
      <c r="AT63" s="288">
        <f t="shared" si="74"/>
        <v>0.67894259747792085</v>
      </c>
      <c r="AU63" s="288">
        <f t="shared" si="74"/>
        <v>0.66372711338753143</v>
      </c>
      <c r="AV63" s="288">
        <f t="shared" si="74"/>
        <v>0.64851760608400433</v>
      </c>
      <c r="AW63" s="288">
        <f t="shared" si="74"/>
        <v>0.63334473635306876</v>
      </c>
      <c r="AX63" s="288">
        <f t="shared" si="74"/>
        <v>0.61823754593079161</v>
      </c>
      <c r="AY63" s="288">
        <f t="shared" si="74"/>
        <v>0.60322334260479293</v>
      </c>
      <c r="AZ63" s="288">
        <f t="shared" si="74"/>
        <v>0.58832761393872557</v>
      </c>
      <c r="BA63" s="288">
        <f t="shared" si="74"/>
        <v>0.57357396817535145</v>
      </c>
      <c r="BB63" s="288">
        <f t="shared" ref="BB63:BK72" si="75">(POWER($B63,$F$1)/(POWER($B63,$F$1)+($G$1*POWER(BB$2,$F$1))))</f>
        <v>0.55898410049651548</v>
      </c>
      <c r="BC63" s="288">
        <f t="shared" si="75"/>
        <v>0.5445777825335687</v>
      </c>
      <c r="BD63" s="288">
        <f t="shared" si="75"/>
        <v>0.53037287282521617</v>
      </c>
      <c r="BE63" s="288">
        <f t="shared" si="75"/>
        <v>0.51638534580466622</v>
      </c>
      <c r="BF63" s="288">
        <f t="shared" si="75"/>
        <v>0.50262933685572386</v>
      </c>
      <c r="BG63" s="288">
        <f t="shared" si="75"/>
        <v>0.48911720099831363</v>
      </c>
      <c r="BH63" s="288">
        <f t="shared" si="75"/>
        <v>0.4758595828374737</v>
      </c>
      <c r="BI63" s="288">
        <f t="shared" si="75"/>
        <v>0.4628654955257348</v>
      </c>
      <c r="BJ63" s="288">
        <f t="shared" si="75"/>
        <v>0.45014240663696337</v>
      </c>
      <c r="BK63" s="288">
        <f t="shared" si="75"/>
        <v>0.43769632902092442</v>
      </c>
      <c r="BL63" s="288">
        <f t="shared" ref="BL63:BU72" si="76">(POWER($B63,$F$1)/(POWER($B63,$F$1)+($G$1*POWER(BL$2,$F$1))))</f>
        <v>0.42553191489361697</v>
      </c>
      <c r="BM63" s="288">
        <f t="shared" si="76"/>
        <v>0.41365255161157577</v>
      </c>
      <c r="BN63" s="288">
        <f t="shared" si="76"/>
        <v>0.40206045777263422</v>
      </c>
      <c r="BO63" s="288">
        <f t="shared" si="76"/>
        <v>0.39075677847607249</v>
      </c>
      <c r="BP63" s="288">
        <f t="shared" si="76"/>
        <v>0.37974167875765558</v>
      </c>
      <c r="BQ63" s="288">
        <f t="shared" si="76"/>
        <v>0.36901443438683035</v>
      </c>
      <c r="BR63" s="288">
        <f t="shared" si="76"/>
        <v>0.35857351937221316</v>
      </c>
      <c r="BS63" s="288">
        <f t="shared" si="76"/>
        <v>0.34841668966613976</v>
      </c>
      <c r="BT63" s="288">
        <f t="shared" si="76"/>
        <v>0.33854106268880929</v>
      </c>
      <c r="BU63" s="288">
        <f t="shared" si="76"/>
        <v>0.32894319240729764</v>
      </c>
      <c r="BV63" s="288">
        <f t="shared" ref="BV63:CA72" si="77">(POWER($B63,$F$1)/(POWER($B63,$F$1)+($G$1*POWER(BV$2,$F$1))))</f>
        <v>0.31961913980473572</v>
      </c>
      <c r="BW63" s="288">
        <f t="shared" si="77"/>
        <v>0.31056453866085948</v>
      </c>
      <c r="BX63" s="288">
        <f t="shared" si="77"/>
        <v>0.30177465663778003</v>
      </c>
      <c r="BY63" s="288">
        <f t="shared" si="77"/>
        <v>0.2932444517252098</v>
      </c>
      <c r="BZ63" s="288">
        <f t="shared" si="77"/>
        <v>0.28496862414859281</v>
      </c>
      <c r="CA63" s="290">
        <f t="shared" si="77"/>
        <v>0.27694166388278357</v>
      </c>
      <c r="CB63" s="242"/>
      <c r="CF63" s="268"/>
      <c r="CG63" s="268"/>
      <c r="CI63" s="268"/>
      <c r="CK63" s="238"/>
      <c r="CQ63" s="238"/>
    </row>
    <row r="64" spans="2:95">
      <c r="B64" s="274">
        <f t="shared" si="19"/>
        <v>15.5</v>
      </c>
      <c r="C64" s="234"/>
      <c r="D64" s="272">
        <f t="shared" si="70"/>
        <v>0.99999433556966444</v>
      </c>
      <c r="E64" s="288">
        <f t="shared" si="70"/>
        <v>0.99995468635404727</v>
      </c>
      <c r="F64" s="288">
        <f t="shared" si="70"/>
        <v>0.99984708290183366</v>
      </c>
      <c r="G64" s="288">
        <f t="shared" si="70"/>
        <v>0.99963760578220107</v>
      </c>
      <c r="H64" s="288">
        <f t="shared" si="70"/>
        <v>0.99929244318842925</v>
      </c>
      <c r="I64" s="288">
        <f t="shared" si="70"/>
        <v>0.99877797129825041</v>
      </c>
      <c r="J64" s="288">
        <f t="shared" si="70"/>
        <v>0.99806085697097946</v>
      </c>
      <c r="K64" s="288">
        <f t="shared" si="70"/>
        <v>0.99710818210419916</v>
      </c>
      <c r="L64" s="288">
        <f t="shared" si="70"/>
        <v>0.99588758865774263</v>
      </c>
      <c r="M64" s="288">
        <f t="shared" si="70"/>
        <v>0.99436744298600621</v>
      </c>
      <c r="N64" s="288">
        <f t="shared" si="71"/>
        <v>0.99251701770974554</v>
      </c>
      <c r="O64" s="288">
        <f t="shared" si="71"/>
        <v>0.99030668891651652</v>
      </c>
      <c r="P64" s="288">
        <f t="shared" si="71"/>
        <v>0.98770814601858015</v>
      </c>
      <c r="Q64" s="288">
        <f t="shared" si="71"/>
        <v>0.98469461113470758</v>
      </c>
      <c r="R64" s="288">
        <f t="shared" si="71"/>
        <v>0.98124106441648651</v>
      </c>
      <c r="S64" s="288">
        <f t="shared" si="71"/>
        <v>0.97732447133080946</v>
      </c>
      <c r="T64" s="288">
        <f t="shared" si="71"/>
        <v>0.97292400755958464</v>
      </c>
      <c r="U64" s="288">
        <f t="shared" si="71"/>
        <v>0.96802127690685502</v>
      </c>
      <c r="V64" s="288">
        <f t="shared" si="71"/>
        <v>0.96260051743291719</v>
      </c>
      <c r="W64" s="288">
        <f t="shared" si="71"/>
        <v>0.95664879098294853</v>
      </c>
      <c r="X64" s="288">
        <f t="shared" si="72"/>
        <v>0.95015615135887665</v>
      </c>
      <c r="Y64" s="288">
        <f t="shared" si="72"/>
        <v>0.94311578660782547</v>
      </c>
      <c r="Z64" s="288">
        <f t="shared" si="72"/>
        <v>0.93552413127280509</v>
      </c>
      <c r="AA64" s="288">
        <f t="shared" si="72"/>
        <v>0.92738094496915058</v>
      </c>
      <c r="AB64" s="288">
        <f t="shared" si="72"/>
        <v>0.91868935430433263</v>
      </c>
      <c r="AC64" s="288">
        <f t="shared" si="72"/>
        <v>0.90945585593286304</v>
      </c>
      <c r="AD64" s="288">
        <f t="shared" si="72"/>
        <v>0.89969027940915836</v>
      </c>
      <c r="AE64" s="288">
        <f t="shared" si="72"/>
        <v>0.8894057094406993</v>
      </c>
      <c r="AF64" s="288">
        <f t="shared" si="72"/>
        <v>0.87861836811848992</v>
      </c>
      <c r="AG64" s="288">
        <f t="shared" si="72"/>
        <v>0.86734745867573093</v>
      </c>
      <c r="AH64" s="288">
        <f t="shared" si="73"/>
        <v>0.85561497326203217</v>
      </c>
      <c r="AI64" s="288">
        <f t="shared" si="73"/>
        <v>0.84344546808378118</v>
      </c>
      <c r="AJ64" s="288">
        <f t="shared" si="73"/>
        <v>0.83086581001903648</v>
      </c>
      <c r="AK64" s="288">
        <f t="shared" si="73"/>
        <v>0.81790489944005995</v>
      </c>
      <c r="AL64" s="288">
        <f t="shared" si="73"/>
        <v>0.80459337444728685</v>
      </c>
      <c r="AM64" s="288">
        <f t="shared" si="73"/>
        <v>0.79096330202154841</v>
      </c>
      <c r="AN64" s="288">
        <f t="shared" si="73"/>
        <v>0.77704786173107432</v>
      </c>
      <c r="AO64" s="288">
        <f t="shared" si="73"/>
        <v>0.76288102758852927</v>
      </c>
      <c r="AP64" s="288">
        <f t="shared" si="73"/>
        <v>0.74849725345087192</v>
      </c>
      <c r="AQ64" s="288">
        <f t="shared" si="73"/>
        <v>0.73393116700746475</v>
      </c>
      <c r="AR64" s="288">
        <f t="shared" si="74"/>
        <v>0.719217276931153</v>
      </c>
      <c r="AS64" s="288">
        <f t="shared" si="74"/>
        <v>0.70438969719825928</v>
      </c>
      <c r="AT64" s="288">
        <f t="shared" si="74"/>
        <v>0.68948189194400489</v>
      </c>
      <c r="AU64" s="288">
        <f t="shared" si="74"/>
        <v>0.67452644353775992</v>
      </c>
      <c r="AV64" s="288">
        <f t="shared" si="74"/>
        <v>0.65955484586480995</v>
      </c>
      <c r="AW64" s="288">
        <f t="shared" si="74"/>
        <v>0.64459732411295112</v>
      </c>
      <c r="AX64" s="288">
        <f t="shared" si="74"/>
        <v>0.62968268170505848</v>
      </c>
      <c r="AY64" s="288">
        <f t="shared" si="74"/>
        <v>0.61483817441087729</v>
      </c>
      <c r="AZ64" s="288">
        <f t="shared" si="74"/>
        <v>0.60008941112663683</v>
      </c>
      <c r="BA64" s="288">
        <f t="shared" si="74"/>
        <v>0.58546028033939446</v>
      </c>
      <c r="BB64" s="288">
        <f t="shared" si="75"/>
        <v>0.57097290089992536</v>
      </c>
      <c r="BC64" s="288">
        <f t="shared" si="75"/>
        <v>0.55664759541542563</v>
      </c>
      <c r="BD64" s="288">
        <f t="shared" si="75"/>
        <v>0.54250288433993199</v>
      </c>
      <c r="BE64" s="288">
        <f t="shared" si="75"/>
        <v>0.52855549868220397</v>
      </c>
      <c r="BF64" s="288">
        <f t="shared" si="75"/>
        <v>0.51482040916177618</v>
      </c>
      <c r="BG64" s="288">
        <f t="shared" si="75"/>
        <v>0.50131086961643179</v>
      </c>
      <c r="BH64" s="288">
        <f t="shared" si="75"/>
        <v>0.48803847249003784</v>
      </c>
      <c r="BI64" s="288">
        <f t="shared" si="75"/>
        <v>0.47501321429966603</v>
      </c>
      <c r="BJ64" s="288">
        <f t="shared" si="75"/>
        <v>0.46224356908638486</v>
      </c>
      <c r="BK64" s="288">
        <f t="shared" si="75"/>
        <v>0.44973656798659439</v>
      </c>
      <c r="BL64" s="288">
        <f t="shared" si="76"/>
        <v>0.43749788321243582</v>
      </c>
      <c r="BM64" s="288">
        <f t="shared" si="76"/>
        <v>0.42553191489361697</v>
      </c>
      <c r="BN64" s="288">
        <f t="shared" si="76"/>
        <v>0.41384187940279371</v>
      </c>
      <c r="BO64" s="288">
        <f t="shared" si="76"/>
        <v>0.40242989795725387</v>
      </c>
      <c r="BP64" s="288">
        <f t="shared" si="76"/>
        <v>0.39129708445679839</v>
      </c>
      <c r="BQ64" s="288">
        <f t="shared" si="76"/>
        <v>0.38044363167805251</v>
      </c>
      <c r="BR64" s="288">
        <f t="shared" si="76"/>
        <v>0.36986889509644516</v>
      </c>
      <c r="BS64" s="288">
        <f t="shared" si="76"/>
        <v>0.35957147374697351</v>
      </c>
      <c r="BT64" s="288">
        <f t="shared" si="76"/>
        <v>0.34954928766249915</v>
      </c>
      <c r="BU64" s="288">
        <f t="shared" si="76"/>
        <v>0.33979965154310515</v>
      </c>
      <c r="BV64" s="288">
        <f t="shared" si="77"/>
        <v>0.33031934441184524</v>
      </c>
      <c r="BW64" s="288">
        <f t="shared" si="77"/>
        <v>0.32110467510126472</v>
      </c>
      <c r="BX64" s="288">
        <f t="shared" si="77"/>
        <v>0.31215154349185809</v>
      </c>
      <c r="BY64" s="288">
        <f t="shared" si="77"/>
        <v>0.30345549748886019</v>
      </c>
      <c r="BZ64" s="288">
        <f t="shared" si="77"/>
        <v>0.29501178577827758</v>
      </c>
      <c r="CA64" s="290">
        <f t="shared" si="77"/>
        <v>0.28681540644778669</v>
      </c>
      <c r="CB64" s="242"/>
      <c r="CF64" s="268"/>
      <c r="CG64" s="268"/>
      <c r="CI64" s="268"/>
      <c r="CK64" s="238"/>
      <c r="CQ64" s="238"/>
    </row>
    <row r="65" spans="2:95">
      <c r="B65" s="274">
        <f t="shared" si="19"/>
        <v>15.75</v>
      </c>
      <c r="C65" s="234"/>
      <c r="D65" s="272">
        <f t="shared" si="70"/>
        <v>0.99999460104415805</v>
      </c>
      <c r="E65" s="288">
        <f t="shared" si="70"/>
        <v>0.99995680998553138</v>
      </c>
      <c r="F65" s="288">
        <f t="shared" si="70"/>
        <v>0.99985424865179995</v>
      </c>
      <c r="G65" s="288">
        <f t="shared" si="70"/>
        <v>0.99965458431381016</v>
      </c>
      <c r="H65" s="288">
        <f t="shared" si="70"/>
        <v>0.99932558202271438</v>
      </c>
      <c r="I65" s="288">
        <f t="shared" si="70"/>
        <v>0.99883517763541063</v>
      </c>
      <c r="J65" s="288">
        <f t="shared" si="70"/>
        <v>0.99815157116451025</v>
      </c>
      <c r="K65" s="288">
        <f t="shared" si="70"/>
        <v>0.99724333986604352</v>
      </c>
      <c r="L65" s="288">
        <f t="shared" si="70"/>
        <v>0.99607957020473359</v>
      </c>
      <c r="M65" s="288">
        <f t="shared" si="70"/>
        <v>0.99463000751798947</v>
      </c>
      <c r="N65" s="288">
        <f t="shared" si="71"/>
        <v>0.99286522184282044</v>
      </c>
      <c r="O65" s="288">
        <f t="shared" si="71"/>
        <v>0.99075678798382438</v>
      </c>
      <c r="P65" s="288">
        <f t="shared" si="71"/>
        <v>0.98827747749670514</v>
      </c>
      <c r="Q65" s="288">
        <f t="shared" si="71"/>
        <v>0.98540145985401462</v>
      </c>
      <c r="R65" s="288">
        <f t="shared" si="71"/>
        <v>0.98210450966356477</v>
      </c>
      <c r="S65" s="288">
        <f t="shared" si="71"/>
        <v>0.97836421644235039</v>
      </c>
      <c r="T65" s="288">
        <f t="shared" si="71"/>
        <v>0.97416019312796831</v>
      </c>
      <c r="U65" s="288">
        <f t="shared" si="71"/>
        <v>0.96947427925381569</v>
      </c>
      <c r="V65" s="288">
        <f t="shared" si="71"/>
        <v>0.96429073454151681</v>
      </c>
      <c r="W65" s="288">
        <f t="shared" si="71"/>
        <v>0.95859641859020805</v>
      </c>
      <c r="X65" s="288">
        <f t="shared" si="72"/>
        <v>0.95238095238095244</v>
      </c>
      <c r="Y65" s="288">
        <f t="shared" si="72"/>
        <v>0.94563685747544268</v>
      </c>
      <c r="Z65" s="288">
        <f t="shared" si="72"/>
        <v>0.93835966907648427</v>
      </c>
      <c r="AA65" s="288">
        <f t="shared" si="72"/>
        <v>0.93054801953336941</v>
      </c>
      <c r="AB65" s="288">
        <f t="shared" si="72"/>
        <v>0.9222036894122333</v>
      </c>
      <c r="AC65" s="288">
        <f t="shared" si="72"/>
        <v>0.91333162389790734</v>
      </c>
      <c r="AD65" s="288">
        <f t="shared" si="72"/>
        <v>0.90393991303202004</v>
      </c>
      <c r="AE65" s="288">
        <f t="shared" si="72"/>
        <v>0.89403973509933776</v>
      </c>
      <c r="AF65" s="288">
        <f t="shared" si="72"/>
        <v>0.8836452633236167</v>
      </c>
      <c r="AG65" s="288">
        <f t="shared" si="72"/>
        <v>0.87277353689567427</v>
      </c>
      <c r="AH65" s="288">
        <f t="shared" si="73"/>
        <v>0.86144429819869683</v>
      </c>
      <c r="AI65" s="288">
        <f t="shared" si="73"/>
        <v>0.84967979888801226</v>
      </c>
      <c r="AJ65" s="288">
        <f t="shared" si="73"/>
        <v>0.83750457819558044</v>
      </c>
      <c r="AK65" s="288">
        <f t="shared" si="73"/>
        <v>0.82494521743777938</v>
      </c>
      <c r="AL65" s="288">
        <f t="shared" si="73"/>
        <v>0.81203007518796988</v>
      </c>
      <c r="AM65" s="288">
        <f t="shared" si="73"/>
        <v>0.79878900791802521</v>
      </c>
      <c r="AN65" s="288">
        <f t="shared" si="73"/>
        <v>0.78525308110720604</v>
      </c>
      <c r="AO65" s="288">
        <f t="shared" si="73"/>
        <v>0.77145427586091997</v>
      </c>
      <c r="AP65" s="288">
        <f t="shared" si="73"/>
        <v>0.7574251959810091</v>
      </c>
      <c r="AQ65" s="288">
        <f t="shared" si="73"/>
        <v>0.74319878019420593</v>
      </c>
      <c r="AR65" s="288">
        <f t="shared" si="74"/>
        <v>0.72880802389224886</v>
      </c>
      <c r="AS65" s="288">
        <f t="shared" si="74"/>
        <v>0.7142857142857143</v>
      </c>
      <c r="AT65" s="288">
        <f t="shared" si="74"/>
        <v>0.69966418234634165</v>
      </c>
      <c r="AU65" s="288">
        <f t="shared" si="74"/>
        <v>0.68497507433321991</v>
      </c>
      <c r="AV65" s="288">
        <f t="shared" si="74"/>
        <v>0.67024914509037614</v>
      </c>
      <c r="AW65" s="288">
        <f t="shared" si="74"/>
        <v>0.65551607468961914</v>
      </c>
      <c r="AX65" s="288">
        <f t="shared" si="74"/>
        <v>0.64080430939341193</v>
      </c>
      <c r="AY65" s="288">
        <f t="shared" si="74"/>
        <v>0.62614092734574656</v>
      </c>
      <c r="AZ65" s="288">
        <f t="shared" si="74"/>
        <v>0.61155152887882214</v>
      </c>
      <c r="BA65" s="288">
        <f t="shared" si="74"/>
        <v>0.59706015086067954</v>
      </c>
      <c r="BB65" s="288">
        <f t="shared" si="75"/>
        <v>0.5826892041111017</v>
      </c>
      <c r="BC65" s="288">
        <f t="shared" si="75"/>
        <v>0.56845943258406273</v>
      </c>
      <c r="BD65" s="288">
        <f t="shared" si="75"/>
        <v>0.55438989275569672</v>
      </c>
      <c r="BE65" s="288">
        <f t="shared" si="75"/>
        <v>0.54049795146549007</v>
      </c>
      <c r="BF65" s="288">
        <f t="shared" si="75"/>
        <v>0.52679930033134714</v>
      </c>
      <c r="BG65" s="288">
        <f t="shared" si="75"/>
        <v>0.51330798479087458</v>
      </c>
      <c r="BH65" s="288">
        <f t="shared" si="75"/>
        <v>0.50003644580508777</v>
      </c>
      <c r="BI65" s="288">
        <f t="shared" si="75"/>
        <v>0.48699557228947338</v>
      </c>
      <c r="BJ65" s="288">
        <f t="shared" si="75"/>
        <v>0.47419476240338554</v>
      </c>
      <c r="BK65" s="288">
        <f t="shared" si="75"/>
        <v>0.4616419919246299</v>
      </c>
      <c r="BL65" s="288">
        <f t="shared" si="76"/>
        <v>0.44934388805461406</v>
      </c>
      <c r="BM65" s="288">
        <f t="shared" si="76"/>
        <v>0.43730580713402017</v>
      </c>
      <c r="BN65" s="288">
        <f t="shared" si="76"/>
        <v>0.42553191489361708</v>
      </c>
      <c r="BO65" s="288">
        <f t="shared" si="76"/>
        <v>0.41402526801441331</v>
      </c>
      <c r="BP65" s="288">
        <f t="shared" si="76"/>
        <v>0.40278789592145181</v>
      </c>
      <c r="BQ65" s="288">
        <f t="shared" si="76"/>
        <v>0.39182088188256792</v>
      </c>
      <c r="BR65" s="288">
        <f t="shared" si="76"/>
        <v>0.38112444262453621</v>
      </c>
      <c r="BS65" s="288">
        <f t="shared" si="76"/>
        <v>0.37069800581204521</v>
      </c>
      <c r="BT65" s="288">
        <f t="shared" si="76"/>
        <v>0.36054028485835915</v>
      </c>
      <c r="BU65" s="288">
        <f t="shared" si="76"/>
        <v>0.35064935064935066</v>
      </c>
      <c r="BV65" s="288">
        <f t="shared" si="77"/>
        <v>0.34102269986430528</v>
      </c>
      <c r="BW65" s="288">
        <f t="shared" si="77"/>
        <v>0.33165731966737572</v>
      </c>
      <c r="BX65" s="288">
        <f t="shared" si="77"/>
        <v>0.32254974862295532</v>
      </c>
      <c r="BY65" s="288">
        <f t="shared" si="77"/>
        <v>0.31369613375696931</v>
      </c>
      <c r="BZ65" s="288">
        <f t="shared" si="77"/>
        <v>0.3050922837447187</v>
      </c>
      <c r="CA65" s="290">
        <f t="shared" si="77"/>
        <v>0.29673371825516343</v>
      </c>
      <c r="CB65" s="242"/>
      <c r="CF65" s="268"/>
      <c r="CG65" s="268"/>
      <c r="CI65" s="268"/>
      <c r="CK65" s="238"/>
      <c r="CQ65" s="238"/>
    </row>
    <row r="66" spans="2:95">
      <c r="B66" s="274">
        <f t="shared" si="19"/>
        <v>16</v>
      </c>
      <c r="C66" s="234"/>
      <c r="D66" s="272">
        <f t="shared" si="70"/>
        <v>0.99999485018521217</v>
      </c>
      <c r="E66" s="288">
        <f t="shared" si="70"/>
        <v>0.99995880296679673</v>
      </c>
      <c r="F66" s="288">
        <f t="shared" si="70"/>
        <v>0.99986097361569093</v>
      </c>
      <c r="G66" s="288">
        <f t="shared" si="70"/>
        <v>0.99967051874992363</v>
      </c>
      <c r="H66" s="288">
        <f t="shared" si="70"/>
        <v>0.99935668395836652</v>
      </c>
      <c r="I66" s="288">
        <f t="shared" si="70"/>
        <v>0.99888887025998008</v>
      </c>
      <c r="J66" s="288">
        <f t="shared" si="70"/>
        <v>0.99823671908275124</v>
      </c>
      <c r="K66" s="288">
        <f t="shared" si="70"/>
        <v>0.99737021525275149</v>
      </c>
      <c r="L66" s="288">
        <f t="shared" si="70"/>
        <v>0.99625980724601293</v>
      </c>
      <c r="M66" s="288">
        <f t="shared" si="70"/>
        <v>0.99487654367841394</v>
      </c>
      <c r="N66" s="288">
        <f t="shared" si="71"/>
        <v>0.99319222469731394</v>
      </c>
      <c r="O66" s="288">
        <f t="shared" si="71"/>
        <v>0.99117956660092688</v>
      </c>
      <c r="P66" s="288">
        <f t="shared" si="71"/>
        <v>0.98881237765689289</v>
      </c>
      <c r="Q66" s="288">
        <f t="shared" si="71"/>
        <v>0.98606574273157177</v>
      </c>
      <c r="R66" s="288">
        <f t="shared" si="71"/>
        <v>0.98291621398930074</v>
      </c>
      <c r="S66" s="288">
        <f t="shared" si="71"/>
        <v>0.97934200459066578</v>
      </c>
      <c r="T66" s="288">
        <f t="shared" si="71"/>
        <v>0.97532318202611057</v>
      </c>
      <c r="U66" s="288">
        <f t="shared" si="71"/>
        <v>0.97084185748167151</v>
      </c>
      <c r="V66" s="288">
        <f t="shared" si="71"/>
        <v>0.96588236746263356</v>
      </c>
      <c r="W66" s="288">
        <f t="shared" si="71"/>
        <v>0.96043144381265022</v>
      </c>
      <c r="X66" s="288">
        <f t="shared" si="72"/>
        <v>0.95447836827250765</v>
      </c>
      <c r="Y66" s="288">
        <f t="shared" si="72"/>
        <v>0.94801510783353615</v>
      </c>
      <c r="Z66" s="288">
        <f t="shared" si="72"/>
        <v>0.94103642736129178</v>
      </c>
      <c r="AA66" s="288">
        <f t="shared" si="72"/>
        <v>0.93353997629683649</v>
      </c>
      <c r="AB66" s="288">
        <f t="shared" si="72"/>
        <v>0.92552634668224842</v>
      </c>
      <c r="AC66" s="288">
        <f t="shared" si="72"/>
        <v>0.91699910029537746</v>
      </c>
      <c r="AD66" s="288">
        <f t="shared" si="72"/>
        <v>0.9079647633029061</v>
      </c>
      <c r="AE66" s="288">
        <f t="shared" si="72"/>
        <v>0.89843278753249034</v>
      </c>
      <c r="AF66" s="288">
        <f t="shared" si="72"/>
        <v>0.88841547820231281</v>
      </c>
      <c r="AG66" s="288">
        <f t="shared" si="72"/>
        <v>0.87792788870506444</v>
      </c>
      <c r="AH66" s="288">
        <f t="shared" si="73"/>
        <v>0.86698768379674884</v>
      </c>
      <c r="AI66" s="288">
        <f t="shared" si="73"/>
        <v>0.85561497326203206</v>
      </c>
      <c r="AJ66" s="288">
        <f t="shared" si="73"/>
        <v>0.84383211879136266</v>
      </c>
      <c r="AK66" s="288">
        <f t="shared" si="73"/>
        <v>0.83166351738744759</v>
      </c>
      <c r="AL66" s="288">
        <f t="shared" si="73"/>
        <v>0.81913536510009755</v>
      </c>
      <c r="AM66" s="288">
        <f t="shared" si="73"/>
        <v>0.80627540525378194</v>
      </c>
      <c r="AN66" s="288">
        <f t="shared" si="73"/>
        <v>0.79311266557154203</v>
      </c>
      <c r="AO66" s="288">
        <f t="shared" si="73"/>
        <v>0.77967718870791014</v>
      </c>
      <c r="AP66" s="288">
        <f t="shared" si="73"/>
        <v>0.76599976068351583</v>
      </c>
      <c r="AQ66" s="288">
        <f t="shared" si="73"/>
        <v>0.75211164157179577</v>
      </c>
      <c r="AR66" s="288">
        <f t="shared" si="74"/>
        <v>0.73804430253498621</v>
      </c>
      <c r="AS66" s="288">
        <f t="shared" si="74"/>
        <v>0.72382917295757598</v>
      </c>
      <c r="AT66" s="288">
        <f t="shared" si="74"/>
        <v>0.7094974009986238</v>
      </c>
      <c r="AU66" s="288">
        <f t="shared" si="74"/>
        <v>0.69507963039955201</v>
      </c>
      <c r="AV66" s="288">
        <f t="shared" si="74"/>
        <v>0.68060579586161951</v>
      </c>
      <c r="AW66" s="288">
        <f t="shared" si="74"/>
        <v>0.66610493876725463</v>
      </c>
      <c r="AX66" s="288">
        <f t="shared" si="74"/>
        <v>0.65160504448055023</v>
      </c>
      <c r="AY66" s="288">
        <f t="shared" si="74"/>
        <v>0.63713290194126426</v>
      </c>
      <c r="AZ66" s="288">
        <f t="shared" si="74"/>
        <v>0.62271398577785142</v>
      </c>
      <c r="BA66" s="288">
        <f t="shared" si="74"/>
        <v>0.60837236071980583</v>
      </c>
      <c r="BB66" s="288">
        <f t="shared" si="75"/>
        <v>0.59413060769631498</v>
      </c>
      <c r="BC66" s="288">
        <f t="shared" si="75"/>
        <v>0.58000977067240633</v>
      </c>
      <c r="BD66" s="288">
        <f t="shared" si="75"/>
        <v>0.56602932299810449</v>
      </c>
      <c r="BE66" s="288">
        <f t="shared" si="75"/>
        <v>0.55220715183084612</v>
      </c>
      <c r="BF66" s="288">
        <f t="shared" si="75"/>
        <v>0.53855955903463837</v>
      </c>
      <c r="BG66" s="288">
        <f t="shared" si="75"/>
        <v>0.52510127685759711</v>
      </c>
      <c r="BH66" s="288">
        <f t="shared" si="75"/>
        <v>0.51184549663768486</v>
      </c>
      <c r="BI66" s="288">
        <f t="shared" si="75"/>
        <v>0.49880390877892145</v>
      </c>
      <c r="BJ66" s="288">
        <f t="shared" si="75"/>
        <v>0.48598675227076316</v>
      </c>
      <c r="BK66" s="288">
        <f t="shared" si="75"/>
        <v>0.47340287208529575</v>
      </c>
      <c r="BL66" s="288">
        <f t="shared" si="76"/>
        <v>0.46105978287394989</v>
      </c>
      <c r="BM66" s="288">
        <f t="shared" si="76"/>
        <v>0.44896373749158225</v>
      </c>
      <c r="BN66" s="288">
        <f t="shared" si="76"/>
        <v>0.43711979899532682</v>
      </c>
      <c r="BO66" s="288">
        <f t="shared" si="76"/>
        <v>0.42553191489361702</v>
      </c>
      <c r="BP66" s="288">
        <f t="shared" si="76"/>
        <v>0.41420299255278681</v>
      </c>
      <c r="BQ66" s="288">
        <f t="shared" si="76"/>
        <v>0.40313497480098837</v>
      </c>
      <c r="BR66" s="288">
        <f t="shared" si="76"/>
        <v>0.39232891489874527</v>
      </c>
      <c r="BS66" s="288">
        <f t="shared" si="76"/>
        <v>0.38178505016987385</v>
      </c>
      <c r="BT66" s="288">
        <f t="shared" si="76"/>
        <v>0.37150287370391738</v>
      </c>
      <c r="BU66" s="288">
        <f t="shared" si="76"/>
        <v>0.36148120365033359</v>
      </c>
      <c r="BV66" s="288">
        <f t="shared" si="77"/>
        <v>0.35171824972459953</v>
      </c>
      <c r="BW66" s="288">
        <f t="shared" si="77"/>
        <v>0.34221167663670082</v>
      </c>
      <c r="BX66" s="288">
        <f t="shared" si="77"/>
        <v>0.33295866423300041</v>
      </c>
      <c r="BY66" s="288">
        <f t="shared" si="77"/>
        <v>0.32395596421338502</v>
      </c>
      <c r="BZ66" s="288">
        <f t="shared" si="77"/>
        <v>0.31519995334717488</v>
      </c>
      <c r="CA66" s="290">
        <f t="shared" si="77"/>
        <v>0.30668668316405412</v>
      </c>
      <c r="CB66" s="242"/>
      <c r="CF66" s="268"/>
      <c r="CG66" s="268"/>
      <c r="CI66" s="268"/>
      <c r="CK66" s="238"/>
      <c r="CQ66" s="238"/>
    </row>
    <row r="67" spans="2:95">
      <c r="B67" s="274">
        <f t="shared" si="19"/>
        <v>16.25</v>
      </c>
      <c r="C67" s="234"/>
      <c r="D67" s="272">
        <f t="shared" si="70"/>
        <v>0.99999508422990013</v>
      </c>
      <c r="E67" s="288">
        <f t="shared" si="70"/>
        <v>0.99996067519238208</v>
      </c>
      <c r="F67" s="288">
        <f t="shared" si="70"/>
        <v>0.99986729116881889</v>
      </c>
      <c r="G67" s="288">
        <f t="shared" si="70"/>
        <v>0.99968548811589175</v>
      </c>
      <c r="H67" s="288">
        <f t="shared" si="70"/>
        <v>0.99938590306366137</v>
      </c>
      <c r="I67" s="288">
        <f t="shared" si="70"/>
        <v>0.99893931468670871</v>
      </c>
      <c r="J67" s="288">
        <f t="shared" si="70"/>
        <v>0.99831672077358513</v>
      </c>
      <c r="K67" s="288">
        <f t="shared" si="70"/>
        <v>0.99748943215110475</v>
      </c>
      <c r="L67" s="288">
        <f t="shared" si="70"/>
        <v>0.99642918241284795</v>
      </c>
      <c r="M67" s="288">
        <f t="shared" si="70"/>
        <v>0.99510825255910862</v>
      </c>
      <c r="N67" s="288">
        <f t="shared" si="71"/>
        <v>0.99349960938326698</v>
      </c>
      <c r="O67" s="288">
        <f t="shared" si="71"/>
        <v>0.99157705614357139</v>
      </c>
      <c r="P67" s="288">
        <f t="shared" si="71"/>
        <v>0.98931539374752664</v>
      </c>
      <c r="Q67" s="288">
        <f t="shared" si="71"/>
        <v>0.9866905903580433</v>
      </c>
      <c r="R67" s="288">
        <f t="shared" si="71"/>
        <v>0.9836799570171707</v>
      </c>
      <c r="S67" s="288">
        <f t="shared" si="71"/>
        <v>0.98026232658682033</v>
      </c>
      <c r="T67" s="288">
        <f t="shared" si="71"/>
        <v>0.97641823303943309</v>
      </c>
      <c r="U67" s="288">
        <f t="shared" si="71"/>
        <v>0.97213008790852473</v>
      </c>
      <c r="V67" s="288">
        <f t="shared" si="71"/>
        <v>0.96738235054272914</v>
      </c>
      <c r="W67" s="288">
        <f t="shared" si="71"/>
        <v>0.96216168870981866</v>
      </c>
      <c r="X67" s="288">
        <f t="shared" si="72"/>
        <v>0.95645712608011746</v>
      </c>
      <c r="Y67" s="288">
        <f t="shared" si="72"/>
        <v>0.95026017319043132</v>
      </c>
      <c r="Z67" s="288">
        <f t="shared" si="72"/>
        <v>0.94356493865582403</v>
      </c>
      <c r="AA67" s="288">
        <f t="shared" si="72"/>
        <v>0.93636821765953793</v>
      </c>
      <c r="AB67" s="288">
        <f t="shared" si="72"/>
        <v>0.92866955510937332</v>
      </c>
      <c r="AC67" s="288">
        <f t="shared" si="72"/>
        <v>0.92047128129602362</v>
      </c>
      <c r="AD67" s="288">
        <f t="shared" si="72"/>
        <v>0.91177851841510404</v>
      </c>
      <c r="AE67" s="288">
        <f t="shared" si="72"/>
        <v>0.90259915690583259</v>
      </c>
      <c r="AF67" s="288">
        <f t="shared" si="72"/>
        <v>0.89294380119795091</v>
      </c>
      <c r="AG67" s="288">
        <f t="shared" si="72"/>
        <v>0.88282568512416615</v>
      </c>
      <c r="AH67" s="288">
        <f t="shared" si="73"/>
        <v>0.87226055792596213</v>
      </c>
      <c r="AI67" s="288">
        <f t="shared" si="73"/>
        <v>0.86126654243311684</v>
      </c>
      <c r="AJ67" s="288">
        <f t="shared" si="73"/>
        <v>0.84986396760908078</v>
      </c>
      <c r="AK67" s="288">
        <f t="shared" si="73"/>
        <v>0.83807517820446065</v>
      </c>
      <c r="AL67" s="288">
        <f t="shared" si="73"/>
        <v>0.82592432473073818</v>
      </c>
      <c r="AM67" s="288">
        <f t="shared" si="73"/>
        <v>0.81343713734106693</v>
      </c>
      <c r="AN67" s="288">
        <f t="shared" si="73"/>
        <v>0.80064068747375239</v>
      </c>
      <c r="AO67" s="288">
        <f t="shared" si="73"/>
        <v>0.78756314127068883</v>
      </c>
      <c r="AP67" s="288">
        <f t="shared" si="73"/>
        <v>0.77423350882626196</v>
      </c>
      <c r="AQ67" s="288">
        <f t="shared" si="73"/>
        <v>0.7606813932553147</v>
      </c>
      <c r="AR67" s="288">
        <f t="shared" si="74"/>
        <v>0.74693674339931626</v>
      </c>
      <c r="AS67" s="288">
        <f t="shared" si="74"/>
        <v>0.73302961372909414</v>
      </c>
      <c r="AT67" s="288">
        <f t="shared" si="74"/>
        <v>0.71898993466453043</v>
      </c>
      <c r="AU67" s="288">
        <f t="shared" si="74"/>
        <v>0.70484729613262442</v>
      </c>
      <c r="AV67" s="288">
        <f t="shared" si="74"/>
        <v>0.69063074674253022</v>
      </c>
      <c r="AW67" s="288">
        <f t="shared" si="74"/>
        <v>0.67636861048704455</v>
      </c>
      <c r="AX67" s="288">
        <f t="shared" si="74"/>
        <v>0.66208832240139215</v>
      </c>
      <c r="AY67" s="288">
        <f t="shared" si="74"/>
        <v>0.64781628413758874</v>
      </c>
      <c r="AZ67" s="288">
        <f t="shared" si="74"/>
        <v>0.63357773995985478</v>
      </c>
      <c r="BA67" s="288">
        <f t="shared" si="74"/>
        <v>0.61939667324499581</v>
      </c>
      <c r="BB67" s="288">
        <f t="shared" si="75"/>
        <v>0.60529572319035863</v>
      </c>
      <c r="BC67" s="288">
        <f t="shared" si="75"/>
        <v>0.59129612109744556</v>
      </c>
      <c r="BD67" s="288">
        <f t="shared" si="75"/>
        <v>0.57741764531554751</v>
      </c>
      <c r="BE67" s="288">
        <f t="shared" si="75"/>
        <v>0.56367859369862239</v>
      </c>
      <c r="BF67" s="288">
        <f t="shared" si="75"/>
        <v>0.55009577224983408</v>
      </c>
      <c r="BG67" s="288">
        <f t="shared" si="75"/>
        <v>0.53668449849972621</v>
      </c>
      <c r="BH67" s="288">
        <f t="shared" si="75"/>
        <v>0.52345861808259087</v>
      </c>
      <c r="BI67" s="288">
        <f t="shared" si="75"/>
        <v>0.51043053293687191</v>
      </c>
      <c r="BJ67" s="288">
        <f t="shared" si="75"/>
        <v>0.4976112395543541</v>
      </c>
      <c r="BK67" s="288">
        <f t="shared" si="75"/>
        <v>0.485010375734028</v>
      </c>
      <c r="BL67" s="288">
        <f t="shared" si="76"/>
        <v>0.4726362743543211</v>
      </c>
      <c r="BM67" s="288">
        <f t="shared" si="76"/>
        <v>0.46049602275642643</v>
      </c>
      <c r="BN67" s="288">
        <f t="shared" si="76"/>
        <v>0.44859552642654404</v>
      </c>
      <c r="BO67" s="288">
        <f t="shared" si="76"/>
        <v>0.43693957577124903</v>
      </c>
      <c r="BP67" s="288">
        <f t="shared" si="76"/>
        <v>0.42553191489361702</v>
      </c>
      <c r="BQ67" s="288">
        <f t="shared" si="76"/>
        <v>0.41437531139446471</v>
      </c>
      <c r="BR67" s="288">
        <f t="shared" si="76"/>
        <v>0.40347162633994998</v>
      </c>
      <c r="BS67" s="288">
        <f t="shared" si="76"/>
        <v>0.39282188365120024</v>
      </c>
      <c r="BT67" s="288">
        <f t="shared" si="76"/>
        <v>0.38242633828156225</v>
      </c>
      <c r="BU67" s="288">
        <f t="shared" si="76"/>
        <v>0.37228454265089639</v>
      </c>
      <c r="BV67" s="288">
        <f t="shared" si="77"/>
        <v>0.36239541090295208</v>
      </c>
      <c r="BW67" s="288">
        <f t="shared" si="77"/>
        <v>0.35275728064052625</v>
      </c>
      <c r="BX67" s="288">
        <f t="shared" si="77"/>
        <v>0.34336797187339624</v>
      </c>
      <c r="BY67" s="288">
        <f t="shared" si="77"/>
        <v>0.33422484298582389</v>
      </c>
      <c r="BZ67" s="288">
        <f t="shared" si="77"/>
        <v>0.32532484359382519</v>
      </c>
      <c r="CA67" s="290">
        <f t="shared" si="77"/>
        <v>0.31666456421767103</v>
      </c>
      <c r="CB67" s="242"/>
      <c r="CF67" s="268"/>
      <c r="CG67" s="268"/>
      <c r="CI67" s="268"/>
      <c r="CK67" s="238"/>
      <c r="CQ67" s="238"/>
    </row>
    <row r="68" spans="2:95">
      <c r="B68" s="274">
        <f t="shared" si="19"/>
        <v>16.5</v>
      </c>
      <c r="C68" s="234"/>
      <c r="D68" s="272">
        <f t="shared" si="70"/>
        <v>0.99999530430454409</v>
      </c>
      <c r="E68" s="288">
        <f t="shared" si="70"/>
        <v>0.99996243567108678</v>
      </c>
      <c r="F68" s="288">
        <f t="shared" si="70"/>
        <v>0.99987323169958731</v>
      </c>
      <c r="G68" s="288">
        <f t="shared" si="70"/>
        <v>0.99969956436833396</v>
      </c>
      <c r="H68" s="288">
        <f t="shared" si="70"/>
        <v>0.99941337963723398</v>
      </c>
      <c r="I68" s="288">
        <f t="shared" si="70"/>
        <v>0.99898675273013859</v>
      </c>
      <c r="J68" s="288">
        <f t="shared" si="70"/>
        <v>0.99839195885665</v>
      </c>
      <c r="K68" s="288">
        <f t="shared" si="70"/>
        <v>0.99760155898665859</v>
      </c>
      <c r="L68" s="288">
        <f t="shared" si="70"/>
        <v>0.9965885001099728</v>
      </c>
      <c r="M68" s="288">
        <f t="shared" si="70"/>
        <v>0.99532622920171998</v>
      </c>
      <c r="N68" s="288">
        <f t="shared" si="71"/>
        <v>0.9937888198757765</v>
      </c>
      <c r="O68" s="288">
        <f t="shared" si="71"/>
        <v>0.99195111044865114</v>
      </c>
      <c r="P68" s="288">
        <f t="shared" si="71"/>
        <v>0.98978885186166377</v>
      </c>
      <c r="Q68" s="288">
        <f t="shared" si="71"/>
        <v>0.98727886362793449</v>
      </c>
      <c r="R68" s="288">
        <f t="shared" si="71"/>
        <v>0.98439919569186674</v>
      </c>
      <c r="S68" s="288">
        <f t="shared" si="71"/>
        <v>0.98112929382279235</v>
      </c>
      <c r="T68" s="288">
        <f t="shared" si="71"/>
        <v>0.97745016592234935</v>
      </c>
      <c r="U68" s="288">
        <f t="shared" si="71"/>
        <v>0.9733445464185162</v>
      </c>
      <c r="V68" s="288">
        <f t="shared" si="71"/>
        <v>0.96879705575951114</v>
      </c>
      <c r="W68" s="288">
        <f t="shared" si="71"/>
        <v>0.96379435191889939</v>
      </c>
      <c r="X68" s="288">
        <f t="shared" si="72"/>
        <v>0.95832527078898944</v>
      </c>
      <c r="Y68" s="288">
        <f t="shared" si="72"/>
        <v>0.95238095238095244</v>
      </c>
      <c r="Z68" s="288">
        <f t="shared" si="72"/>
        <v>0.94595494987273843</v>
      </c>
      <c r="AA68" s="288">
        <f t="shared" si="72"/>
        <v>0.93904331875264557</v>
      </c>
      <c r="AB68" s="288">
        <f t="shared" si="72"/>
        <v>0.93164468359691144</v>
      </c>
      <c r="AC68" s="288">
        <f t="shared" si="72"/>
        <v>0.92376028039004765</v>
      </c>
      <c r="AD68" s="288">
        <f t="shared" si="72"/>
        <v>0.91539397273934742</v>
      </c>
      <c r="AE68" s="288">
        <f t="shared" si="72"/>
        <v>0.90655224083912267</v>
      </c>
      <c r="AF68" s="288">
        <f t="shared" si="72"/>
        <v>0.89724414259171092</v>
      </c>
      <c r="AG68" s="288">
        <f t="shared" si="72"/>
        <v>0.88748124687447905</v>
      </c>
      <c r="AH68" s="288">
        <f t="shared" si="73"/>
        <v>0.87727753953639742</v>
      </c>
      <c r="AI68" s="288">
        <f t="shared" si="73"/>
        <v>0.86664930329469991</v>
      </c>
      <c r="AJ68" s="288">
        <f t="shared" si="73"/>
        <v>0.85561497326203206</v>
      </c>
      <c r="AK68" s="288">
        <f t="shared" si="73"/>
        <v>0.84419497034852375</v>
      </c>
      <c r="AL68" s="288">
        <f t="shared" si="73"/>
        <v>0.83241151523442847</v>
      </c>
      <c r="AM68" s="288">
        <f t="shared" si="73"/>
        <v>0.82028842598299034</v>
      </c>
      <c r="AN68" s="288">
        <f t="shared" si="73"/>
        <v>0.80785090264895887</v>
      </c>
      <c r="AO68" s="288">
        <f t="shared" si="73"/>
        <v>0.79512530242838797</v>
      </c>
      <c r="AP68" s="288">
        <f t="shared" si="73"/>
        <v>0.78213890898673777</v>
      </c>
      <c r="AQ68" s="288">
        <f t="shared" si="73"/>
        <v>0.76891969959560946</v>
      </c>
      <c r="AR68" s="288">
        <f t="shared" si="74"/>
        <v>0.75549611360822477</v>
      </c>
      <c r="AS68" s="288">
        <f t="shared" si="74"/>
        <v>0.74189682561801518</v>
      </c>
      <c r="AT68" s="288">
        <f t="shared" si="74"/>
        <v>0.72815052638417321</v>
      </c>
      <c r="AU68" s="288">
        <f t="shared" si="74"/>
        <v>0.71428571428571419</v>
      </c>
      <c r="AV68" s="288">
        <f t="shared" si="74"/>
        <v>0.70033049969580874</v>
      </c>
      <c r="AW68" s="288">
        <f t="shared" si="74"/>
        <v>0.68631242426586236</v>
      </c>
      <c r="AX68" s="288">
        <f t="shared" si="74"/>
        <v>0.67225829668890058</v>
      </c>
      <c r="AY68" s="288">
        <f t="shared" si="74"/>
        <v>0.65819404608841858</v>
      </c>
      <c r="AZ68" s="288">
        <f t="shared" si="74"/>
        <v>0.64414459376484001</v>
      </c>
      <c r="BA68" s="288">
        <f t="shared" si="74"/>
        <v>0.63013374363830044</v>
      </c>
      <c r="BB68" s="288">
        <f t="shared" si="75"/>
        <v>0.61618409136283281</v>
      </c>
      <c r="BC68" s="288">
        <f t="shared" si="75"/>
        <v>0.60231695176034028</v>
      </c>
      <c r="BD68" s="288">
        <f t="shared" si="75"/>
        <v>0.58855230393796099</v>
      </c>
      <c r="BE68" s="288">
        <f t="shared" si="75"/>
        <v>0.57490875321253476</v>
      </c>
      <c r="BF68" s="288">
        <f t="shared" si="75"/>
        <v>0.56140350877192979</v>
      </c>
      <c r="BG68" s="288">
        <f t="shared" si="75"/>
        <v>0.5480523758544017</v>
      </c>
      <c r="BH68" s="288">
        <f t="shared" si="75"/>
        <v>0.5348697611219807</v>
      </c>
      <c r="BI68" s="288">
        <f t="shared" si="75"/>
        <v>0.52186868983904811</v>
      </c>
      <c r="BJ68" s="288">
        <f t="shared" si="75"/>
        <v>0.50906083343890962</v>
      </c>
      <c r="BK68" s="288">
        <f t="shared" si="75"/>
        <v>0.49645654606490114</v>
      </c>
      <c r="BL68" s="288">
        <f t="shared" si="76"/>
        <v>0.48406490870366703</v>
      </c>
      <c r="BM68" s="288">
        <f t="shared" si="76"/>
        <v>0.47189377958199641</v>
      </c>
      <c r="BN68" s="288">
        <f t="shared" si="76"/>
        <v>0.45994984957030893</v>
      </c>
      <c r="BO68" s="288">
        <f t="shared" si="76"/>
        <v>0.44823870142116251</v>
      </c>
      <c r="BP68" s="288">
        <f t="shared" si="76"/>
        <v>0.43676487176594853</v>
      </c>
      <c r="BQ68" s="288">
        <f t="shared" si="76"/>
        <v>0.42553191489361697</v>
      </c>
      <c r="BR68" s="288">
        <f t="shared" si="76"/>
        <v>0.41454246743867801</v>
      </c>
      <c r="BS68" s="288">
        <f t="shared" si="76"/>
        <v>0.40379831320914994</v>
      </c>
      <c r="BT68" s="288">
        <f t="shared" si="76"/>
        <v>0.39330044748637499</v>
      </c>
      <c r="BU68" s="288">
        <f t="shared" si="76"/>
        <v>0.38304914022591552</v>
      </c>
      <c r="BV68" s="288">
        <f t="shared" si="77"/>
        <v>0.37304399768073693</v>
      </c>
      <c r="BW68" s="288">
        <f t="shared" si="77"/>
        <v>0.36328402205360555</v>
      </c>
      <c r="BX68" s="288">
        <f t="shared" si="77"/>
        <v>0.35376766886442501</v>
      </c>
      <c r="BY68" s="288">
        <f t="shared" si="77"/>
        <v>0.34449290178975839</v>
      </c>
      <c r="BZ68" s="288">
        <f t="shared" si="77"/>
        <v>0.33545724479589184</v>
      </c>
      <c r="CA68" s="290">
        <f t="shared" si="77"/>
        <v>0.32665783144357724</v>
      </c>
      <c r="CB68" s="242"/>
      <c r="CF68" s="268"/>
      <c r="CG68" s="268"/>
      <c r="CI68" s="268"/>
      <c r="CK68" s="238"/>
      <c r="CQ68" s="238"/>
    </row>
    <row r="69" spans="2:95">
      <c r="B69" s="274">
        <f t="shared" ref="B69:B78" si="78">B68+0.25</f>
        <v>16.75</v>
      </c>
      <c r="C69" s="234"/>
      <c r="D69" s="272">
        <f t="shared" si="70"/>
        <v>0.99999551143611276</v>
      </c>
      <c r="E69" s="288">
        <f t="shared" si="70"/>
        <v>0.99996409261710961</v>
      </c>
      <c r="F69" s="288">
        <f t="shared" si="70"/>
        <v>0.99987882291673069</v>
      </c>
      <c r="G69" s="288">
        <f t="shared" si="70"/>
        <v>0.99971281312178117</v>
      </c>
      <c r="H69" s="288">
        <f t="shared" si="70"/>
        <v>0.9994392416220621</v>
      </c>
      <c r="I69" s="288">
        <f t="shared" si="70"/>
        <v>0.99903140493452025</v>
      </c>
      <c r="J69" s="288">
        <f t="shared" si="70"/>
        <v>0.99846278235232311</v>
      </c>
      <c r="K69" s="288">
        <f t="shared" si="70"/>
        <v>0.99770711438089099</v>
      </c>
      <c r="L69" s="288">
        <f t="shared" si="70"/>
        <v>0.99673849446465357</v>
      </c>
      <c r="M69" s="288">
        <f t="shared" si="70"/>
        <v>0.99553147332289571</v>
      </c>
      <c r="N69" s="288">
        <f t="shared" si="71"/>
        <v>0.99406117500388769</v>
      </c>
      <c r="O69" s="288">
        <f t="shared" si="71"/>
        <v>0.99230342353803658</v>
      </c>
      <c r="P69" s="288">
        <f t="shared" si="71"/>
        <v>0.99023487882863981</v>
      </c>
      <c r="Q69" s="288">
        <f t="shared" si="71"/>
        <v>0.98783318016969957</v>
      </c>
      <c r="R69" s="288">
        <f t="shared" si="71"/>
        <v>0.98507709553197187</v>
      </c>
      <c r="S69" s="288">
        <f t="shared" si="71"/>
        <v>0.98194667451972406</v>
      </c>
      <c r="T69" s="288">
        <f t="shared" si="71"/>
        <v>0.97842340268100825</v>
      </c>
      <c r="U69" s="288">
        <f t="shared" si="71"/>
        <v>0.97449035466351641</v>
      </c>
      <c r="V69" s="288">
        <f t="shared" si="71"/>
        <v>0.97013234355618849</v>
      </c>
      <c r="W69" s="288">
        <f t="shared" si="71"/>
        <v>0.96533606365325797</v>
      </c>
      <c r="X69" s="288">
        <f t="shared" si="72"/>
        <v>0.96009022383101106</v>
      </c>
      <c r="Y69" s="288">
        <f t="shared" si="72"/>
        <v>0.95438566874554565</v>
      </c>
      <c r="Z69" s="288">
        <f t="shared" si="72"/>
        <v>0.94821548514770948</v>
      </c>
      <c r="AA69" s="288">
        <f t="shared" si="72"/>
        <v>0.94157509077236812</v>
      </c>
      <c r="AB69" s="288">
        <f t="shared" si="72"/>
        <v>0.93446230349371262</v>
      </c>
      <c r="AC69" s="288">
        <f t="shared" si="72"/>
        <v>0.92687738874408077</v>
      </c>
      <c r="AD69" s="288">
        <f t="shared" si="72"/>
        <v>0.91882308356529496</v>
      </c>
      <c r="AE69" s="288">
        <f t="shared" si="72"/>
        <v>0.91030459609041448</v>
      </c>
      <c r="AF69" s="288">
        <f t="shared" si="72"/>
        <v>0.90132957972885752</v>
      </c>
      <c r="AG69" s="288">
        <f t="shared" si="72"/>
        <v>0.8919080818355164</v>
      </c>
      <c r="AH69" s="288">
        <f t="shared" si="73"/>
        <v>0.88205246716934405</v>
      </c>
      <c r="AI69" s="288">
        <f t="shared" si="73"/>
        <v>0.87177731697235772</v>
      </c>
      <c r="AJ69" s="288">
        <f t="shared" si="73"/>
        <v>0.86109930500909082</v>
      </c>
      <c r="AK69" s="288">
        <f t="shared" si="73"/>
        <v>0.85003705238262928</v>
      </c>
      <c r="AL69" s="288">
        <f t="shared" si="73"/>
        <v>0.83861096337108432</v>
      </c>
      <c r="AM69" s="288">
        <f t="shared" si="73"/>
        <v>0.82684304489419347</v>
      </c>
      <c r="AN69" s="288">
        <f t="shared" si="73"/>
        <v>0.81475671251275417</v>
      </c>
      <c r="AO69" s="288">
        <f t="shared" si="73"/>
        <v>0.80237658607587981</v>
      </c>
      <c r="AP69" s="288">
        <f t="shared" si="73"/>
        <v>0.78972827825802006</v>
      </c>
      <c r="AQ69" s="288">
        <f t="shared" si="73"/>
        <v>0.77683817926816356</v>
      </c>
      <c r="AR69" s="288">
        <f t="shared" si="74"/>
        <v>0.76373324096983208</v>
      </c>
      <c r="AS69" s="288">
        <f t="shared" si="74"/>
        <v>0.75044076352768518</v>
      </c>
      <c r="AT69" s="288">
        <f t="shared" si="74"/>
        <v>0.73698818750276429</v>
      </c>
      <c r="AU69" s="288">
        <f t="shared" si="74"/>
        <v>0.72340289406375868</v>
      </c>
      <c r="AV69" s="288">
        <f t="shared" si="74"/>
        <v>0.70971201567788134</v>
      </c>
      <c r="AW69" s="288">
        <f t="shared" si="74"/>
        <v>0.69594225930462927</v>
      </c>
      <c r="AX69" s="288">
        <f t="shared" si="74"/>
        <v>0.68211974375178663</v>
      </c>
      <c r="AY69" s="288">
        <f t="shared" si="74"/>
        <v>0.6682698524781685</v>
      </c>
      <c r="AZ69" s="288">
        <f t="shared" si="74"/>
        <v>0.65441710275362242</v>
      </c>
      <c r="BA69" s="288">
        <f t="shared" si="74"/>
        <v>0.64058503172436121</v>
      </c>
      <c r="BB69" s="288">
        <f t="shared" si="75"/>
        <v>0.62679609958989613</v>
      </c>
      <c r="BC69" s="288">
        <f t="shared" si="75"/>
        <v>0.61307160978409803</v>
      </c>
      <c r="BD69" s="288">
        <f t="shared" si="75"/>
        <v>0.59943164577283425</v>
      </c>
      <c r="BE69" s="288">
        <f t="shared" si="75"/>
        <v>0.58589502383802994</v>
      </c>
      <c r="BF69" s="288">
        <f t="shared" si="75"/>
        <v>0.57247926101499091</v>
      </c>
      <c r="BG69" s="288">
        <f t="shared" si="75"/>
        <v>0.55920055718696449</v>
      </c>
      <c r="BH69" s="288">
        <f t="shared" si="75"/>
        <v>0.54607379021741331</v>
      </c>
      <c r="BI69" s="288">
        <f t="shared" si="75"/>
        <v>0.53311252291442812</v>
      </c>
      <c r="BJ69" s="288">
        <f t="shared" si="75"/>
        <v>0.52032902057031649</v>
      </c>
      <c r="BK69" s="288">
        <f t="shared" si="75"/>
        <v>0.50773427779925484</v>
      </c>
      <c r="BL69" s="288">
        <f t="shared" si="76"/>
        <v>0.4953380534031217</v>
      </c>
      <c r="BM69" s="288">
        <f t="shared" si="76"/>
        <v>0.48314891202620114</v>
      </c>
      <c r="BN69" s="288">
        <f t="shared" si="76"/>
        <v>0.47117427140924528</v>
      </c>
      <c r="BO69" s="288">
        <f t="shared" si="76"/>
        <v>0.45942045411844423</v>
      </c>
      <c r="BP69" s="288">
        <f t="shared" si="76"/>
        <v>0.44789274270139501</v>
      </c>
      <c r="BQ69" s="288">
        <f t="shared" si="76"/>
        <v>0.43659543730673406</v>
      </c>
      <c r="BR69" s="288">
        <f t="shared" si="76"/>
        <v>0.42553191489361697</v>
      </c>
      <c r="BS69" s="288">
        <f t="shared" si="76"/>
        <v>0.41470468924897508</v>
      </c>
      <c r="BT69" s="288">
        <f t="shared" si="76"/>
        <v>0.40411547112217577</v>
      </c>
      <c r="BU69" s="288">
        <f t="shared" si="76"/>
        <v>0.39376522787645668</v>
      </c>
      <c r="BV69" s="288">
        <f t="shared" si="77"/>
        <v>0.3836542421427786</v>
      </c>
      <c r="BW69" s="288">
        <f t="shared" si="77"/>
        <v>0.37378216904340006</v>
      </c>
      <c r="BX69" s="288">
        <f t="shared" si="77"/>
        <v>0.36414809162865469</v>
      </c>
      <c r="BY69" s="288">
        <f t="shared" si="77"/>
        <v>0.35475057424057171</v>
      </c>
      <c r="BZ69" s="288">
        <f t="shared" si="77"/>
        <v>0.34558771358078028</v>
      </c>
      <c r="CA69" s="290">
        <f t="shared" si="77"/>
        <v>0.33665718731747696</v>
      </c>
      <c r="CB69" s="242"/>
      <c r="CF69" s="268"/>
      <c r="CG69" s="268"/>
      <c r="CI69" s="268"/>
      <c r="CK69" s="238"/>
      <c r="CQ69" s="238"/>
    </row>
    <row r="70" spans="2:95">
      <c r="B70" s="274">
        <f t="shared" si="78"/>
        <v>17</v>
      </c>
      <c r="C70" s="234"/>
      <c r="D70" s="272">
        <f t="shared" si="70"/>
        <v>0.99999570656229697</v>
      </c>
      <c r="E70" s="288">
        <f t="shared" si="70"/>
        <v>0.99996565353062628</v>
      </c>
      <c r="F70" s="288">
        <f t="shared" si="70"/>
        <v>0.99988409012096435</v>
      </c>
      <c r="G70" s="288">
        <f t="shared" si="70"/>
        <v>0.99972529429120838</v>
      </c>
      <c r="H70" s="288">
        <f t="shared" si="70"/>
        <v>0.9994636058559937</v>
      </c>
      <c r="I70" s="288">
        <f t="shared" si="70"/>
        <v>0.99907347272336755</v>
      </c>
      <c r="J70" s="288">
        <f t="shared" si="70"/>
        <v>0.99852951007010116</v>
      </c>
      <c r="K70" s="288">
        <f t="shared" si="70"/>
        <v>0.99780657215971402</v>
      </c>
      <c r="L70" s="288">
        <f t="shared" si="70"/>
        <v>0.99687983636855615</v>
      </c>
      <c r="M70" s="288">
        <f t="shared" si="70"/>
        <v>0.99572489882260551</v>
      </c>
      <c r="N70" s="288">
        <f t="shared" si="71"/>
        <v>0.99431788086381123</v>
      </c>
      <c r="O70" s="288">
        <f t="shared" si="71"/>
        <v>0.9926355453636263</v>
      </c>
      <c r="P70" s="288">
        <f t="shared" si="71"/>
        <v>0.99065542168750609</v>
      </c>
      <c r="Q70" s="288">
        <f t="shared" si="71"/>
        <v>0.98835593789330611</v>
      </c>
      <c r="R70" s="288">
        <f t="shared" si="71"/>
        <v>0.98571655852527484</v>
      </c>
      <c r="S70" s="288">
        <f t="shared" si="71"/>
        <v>0.98271792615113818</v>
      </c>
      <c r="T70" s="288">
        <f t="shared" si="71"/>
        <v>0.97934200459066567</v>
      </c>
      <c r="U70" s="288">
        <f t="shared" si="71"/>
        <v>0.97557222160858714</v>
      </c>
      <c r="V70" s="288">
        <f t="shared" si="71"/>
        <v>0.97139360870136737</v>
      </c>
      <c r="W70" s="288">
        <f t="shared" si="71"/>
        <v>0.96679293550450141</v>
      </c>
      <c r="X70" s="288">
        <f t="shared" si="72"/>
        <v>0.9617588362923627</v>
      </c>
      <c r="Y70" s="288">
        <f t="shared" si="72"/>
        <v>0.95628192604289208</v>
      </c>
      <c r="Z70" s="288">
        <f t="shared" si="72"/>
        <v>0.95035490359972241</v>
      </c>
      <c r="AA70" s="288">
        <f t="shared" si="72"/>
        <v>0.94397263958805666</v>
      </c>
      <c r="AB70" s="288">
        <f t="shared" si="72"/>
        <v>0.93713224692888697</v>
      </c>
      <c r="AC70" s="288">
        <f t="shared" si="72"/>
        <v>0.92983313204770768</v>
      </c>
      <c r="AD70" s="288">
        <f t="shared" si="72"/>
        <v>0.92207702518489154</v>
      </c>
      <c r="AE70" s="288">
        <f t="shared" si="72"/>
        <v>0.91386798857897522</v>
      </c>
      <c r="AF70" s="288">
        <f t="shared" si="72"/>
        <v>0.90521240170239758</v>
      </c>
      <c r="AG70" s="288">
        <f t="shared" si="72"/>
        <v>0.89611892317075259</v>
      </c>
      <c r="AH70" s="288">
        <f t="shared" si="73"/>
        <v>0.88659842940861255</v>
      </c>
      <c r="AI70" s="288">
        <f t="shared" si="73"/>
        <v>0.87666393062346104</v>
      </c>
      <c r="AJ70" s="288">
        <f t="shared" si="73"/>
        <v>0.86633046509965161</v>
      </c>
      <c r="AK70" s="288">
        <f t="shared" si="73"/>
        <v>0.85561497326203206</v>
      </c>
      <c r="AL70" s="288">
        <f t="shared" si="73"/>
        <v>0.84453615336010734</v>
      </c>
      <c r="AM70" s="288">
        <f t="shared" si="73"/>
        <v>0.83311430097589523</v>
      </c>
      <c r="AN70" s="288">
        <f t="shared" si="73"/>
        <v>0.82137113485141788</v>
      </c>
      <c r="AO70" s="288">
        <f t="shared" si="73"/>
        <v>0.80932961175694162</v>
      </c>
      <c r="AP70" s="288">
        <f t="shared" si="73"/>
        <v>0.79701373327319158</v>
      </c>
      <c r="AQ70" s="288">
        <f t="shared" si="73"/>
        <v>0.78444834743733038</v>
      </c>
      <c r="AR70" s="288">
        <f t="shared" si="74"/>
        <v>0.77165894820386072</v>
      </c>
      <c r="AS70" s="288">
        <f t="shared" si="74"/>
        <v>0.75867147560096404</v>
      </c>
      <c r="AT70" s="288">
        <f t="shared" si="74"/>
        <v>0.74551211932575479</v>
      </c>
      <c r="AU70" s="288">
        <f t="shared" si="74"/>
        <v>0.73220712832626655</v>
      </c>
      <c r="AV70" s="288">
        <f t="shared" si="74"/>
        <v>0.71878262867305631</v>
      </c>
      <c r="AW70" s="288">
        <f t="shared" si="74"/>
        <v>0.70526445173960983</v>
      </c>
      <c r="AX70" s="288">
        <f t="shared" si="74"/>
        <v>0.69167797439930057</v>
      </c>
      <c r="AY70" s="288">
        <f t="shared" si="74"/>
        <v>0.67804797261862038</v>
      </c>
      <c r="AZ70" s="288">
        <f t="shared" si="74"/>
        <v>0.66439848949246827</v>
      </c>
      <c r="BA70" s="288">
        <f t="shared" si="74"/>
        <v>0.65075271843735905</v>
      </c>
      <c r="BB70" s="288">
        <f t="shared" si="75"/>
        <v>0.63713290194126437</v>
      </c>
      <c r="BC70" s="288">
        <f t="shared" si="75"/>
        <v>0.62356024597186166</v>
      </c>
      <c r="BD70" s="288">
        <f t="shared" si="75"/>
        <v>0.6100548498741647</v>
      </c>
      <c r="BE70" s="288">
        <f t="shared" si="75"/>
        <v>0.59663565134825169</v>
      </c>
      <c r="BF70" s="288">
        <f t="shared" si="75"/>
        <v>0.58332038589098267</v>
      </c>
      <c r="BG70" s="288">
        <f t="shared" si="75"/>
        <v>0.57012555991366309</v>
      </c>
      <c r="BH70" s="288">
        <f t="shared" si="75"/>
        <v>0.55706643661077637</v>
      </c>
      <c r="BI70" s="288">
        <f t="shared" si="75"/>
        <v>0.5441570335522431</v>
      </c>
      <c r="BJ70" s="288">
        <f t="shared" si="75"/>
        <v>0.53141013090135414</v>
      </c>
      <c r="BK70" s="288">
        <f t="shared" si="75"/>
        <v>0.51883728912004645</v>
      </c>
      <c r="BL70" s="288">
        <f t="shared" si="76"/>
        <v>0.50644887500949287</v>
      </c>
      <c r="BM70" s="288">
        <f t="shared" si="76"/>
        <v>0.49425409494371669</v>
      </c>
      <c r="BN70" s="288">
        <f t="shared" si="76"/>
        <v>0.4822610341835975</v>
      </c>
      <c r="BO70" s="288">
        <f t="shared" si="76"/>
        <v>0.47047670120468082</v>
      </c>
      <c r="BP70" s="288">
        <f t="shared" si="76"/>
        <v>0.45890707603122266</v>
      </c>
      <c r="BQ70" s="288">
        <f t="shared" si="76"/>
        <v>0.44755716163766468</v>
      </c>
      <c r="BR70" s="288">
        <f t="shared" si="76"/>
        <v>0.43643103755430279</v>
      </c>
      <c r="BS70" s="288">
        <f t="shared" si="76"/>
        <v>0.42553191489361702</v>
      </c>
      <c r="BT70" s="288">
        <f t="shared" si="76"/>
        <v>0.4148621920952914</v>
      </c>
      <c r="BU70" s="288">
        <f t="shared" si="76"/>
        <v>0.40442351076938116</v>
      </c>
      <c r="BV70" s="288">
        <f t="shared" si="77"/>
        <v>0.39421681109677592</v>
      </c>
      <c r="BW70" s="288">
        <f t="shared" si="77"/>
        <v>0.3842423863227542</v>
      </c>
      <c r="BX70" s="288">
        <f t="shared" si="77"/>
        <v>0.37449993595202119</v>
      </c>
      <c r="BY70" s="288">
        <f t="shared" si="77"/>
        <v>0.36498861732145121</v>
      </c>
      <c r="BZ70" s="288">
        <f t="shared" si="77"/>
        <v>0.3557070952893121</v>
      </c>
      <c r="CA70" s="290">
        <f t="shared" si="77"/>
        <v>0.34665358983676303</v>
      </c>
      <c r="CB70" s="242"/>
      <c r="CF70" s="268"/>
      <c r="CG70" s="268"/>
      <c r="CI70" s="268"/>
      <c r="CK70" s="238"/>
      <c r="CQ70" s="238"/>
    </row>
    <row r="71" spans="2:95">
      <c r="B71" s="274">
        <f t="shared" si="78"/>
        <v>17.25</v>
      </c>
      <c r="C71" s="234"/>
      <c r="D71" s="272">
        <f t="shared" si="70"/>
        <v>0.99999589054043514</v>
      </c>
      <c r="E71" s="288">
        <f t="shared" si="70"/>
        <v>0.99996712526916187</v>
      </c>
      <c r="F71" s="288">
        <f t="shared" si="70"/>
        <v>0.99988905644561499</v>
      </c>
      <c r="G71" s="288">
        <f t="shared" si="70"/>
        <v>0.99973706266125451</v>
      </c>
      <c r="H71" s="288">
        <f t="shared" si="70"/>
        <v>0.99948657917975892</v>
      </c>
      <c r="I71" s="288">
        <f t="shared" si="70"/>
        <v>0.99911314030448861</v>
      </c>
      <c r="J71" s="288">
        <f t="shared" si="70"/>
        <v>0.99859243361252126</v>
      </c>
      <c r="K71" s="288">
        <f t="shared" si="70"/>
        <v>0.99790036579564645</v>
      </c>
      <c r="L71" s="288">
        <f t="shared" si="70"/>
        <v>0.99701313972688044</v>
      </c>
      <c r="M71" s="288">
        <f t="shared" si="70"/>
        <v>0.99590734222804289</v>
      </c>
      <c r="N71" s="288">
        <f t="shared" si="71"/>
        <v>0.99456004185211988</v>
      </c>
      <c r="O71" s="288">
        <f t="shared" si="71"/>
        <v>0.99294889581667134</v>
      </c>
      <c r="P71" s="288">
        <f t="shared" si="71"/>
        <v>0.99105226503541211</v>
      </c>
      <c r="Q71" s="288">
        <f t="shared" si="71"/>
        <v>0.98884933599908964</v>
      </c>
      <c r="R71" s="288">
        <f t="shared" si="71"/>
        <v>0.9863202480595018</v>
      </c>
      <c r="S71" s="288">
        <f t="shared" si="71"/>
        <v>0.98344622447824903</v>
      </c>
      <c r="T71" s="288">
        <f t="shared" si="71"/>
        <v>0.98020970542148533</v>
      </c>
      <c r="U71" s="288">
        <f t="shared" si="71"/>
        <v>0.97659448092080969</v>
      </c>
      <c r="V71" s="288">
        <f t="shared" si="71"/>
        <v>0.97258582168593788</v>
      </c>
      <c r="W71" s="288">
        <f t="shared" si="71"/>
        <v>0.96817060555422929</v>
      </c>
      <c r="X71" s="288">
        <f t="shared" si="72"/>
        <v>0.96333743730230692</v>
      </c>
      <c r="Y71" s="288">
        <f t="shared" si="72"/>
        <v>0.95807675953194638</v>
      </c>
      <c r="Z71" s="288">
        <f t="shared" si="72"/>
        <v>0.95238095238095233</v>
      </c>
      <c r="AA71" s="288">
        <f t="shared" si="72"/>
        <v>0.94624441990325237</v>
      </c>
      <c r="AB71" s="288">
        <f t="shared" si="72"/>
        <v>0.93966366111250554</v>
      </c>
      <c r="AC71" s="288">
        <f t="shared" si="72"/>
        <v>0.93263732388968101</v>
      </c>
      <c r="AD71" s="288">
        <f t="shared" si="72"/>
        <v>0.92516624021473415</v>
      </c>
      <c r="AE71" s="288">
        <f t="shared" si="72"/>
        <v>0.9172534414908855</v>
      </c>
      <c r="AF71" s="288">
        <f t="shared" si="72"/>
        <v>0.90890415308016681</v>
      </c>
      <c r="AG71" s="288">
        <f t="shared" si="72"/>
        <v>0.9001257675519716</v>
      </c>
      <c r="AH71" s="288">
        <f t="shared" si="73"/>
        <v>0.89092779655183785</v>
      </c>
      <c r="AI71" s="288">
        <f t="shared" si="73"/>
        <v>0.88132180161386131</v>
      </c>
      <c r="AJ71" s="288">
        <f t="shared" si="73"/>
        <v>0.87132130465451862</v>
      </c>
      <c r="AK71" s="288">
        <f t="shared" si="73"/>
        <v>0.86094167928560306</v>
      </c>
      <c r="AL71" s="288">
        <f t="shared" si="73"/>
        <v>0.85020002445713883</v>
      </c>
      <c r="AM71" s="288">
        <f t="shared" si="73"/>
        <v>0.83911502227616941</v>
      </c>
      <c r="AN71" s="288">
        <f t="shared" si="73"/>
        <v>0.82770678213426851</v>
      </c>
      <c r="AO71" s="288">
        <f t="shared" si="73"/>
        <v>0.81599667350743765</v>
      </c>
      <c r="AP71" s="288">
        <f t="shared" si="73"/>
        <v>0.80400714996084699</v>
      </c>
      <c r="AQ71" s="288">
        <f t="shared" si="73"/>
        <v>0.79176156699420841</v>
      </c>
      <c r="AR71" s="288">
        <f t="shared" si="74"/>
        <v>0.7792839964004471</v>
      </c>
      <c r="AS71" s="288">
        <f t="shared" si="74"/>
        <v>0.76659903978224986</v>
      </c>
      <c r="AT71" s="288">
        <f t="shared" si="74"/>
        <v>0.75373164378172941</v>
      </c>
      <c r="AU71" s="288">
        <f t="shared" si="74"/>
        <v>0.7407069194335878</v>
      </c>
      <c r="AV71" s="288">
        <f t="shared" si="74"/>
        <v>0.7275499678591183</v>
      </c>
      <c r="AW71" s="288">
        <f t="shared" si="74"/>
        <v>0.7142857142857143</v>
      </c>
      <c r="AX71" s="288">
        <f t="shared" si="74"/>
        <v>0.70093875211356038</v>
      </c>
      <c r="AY71" s="288">
        <f t="shared" si="74"/>
        <v>0.68753319846750216</v>
      </c>
      <c r="AZ71" s="288">
        <f t="shared" si="74"/>
        <v>0.67409256237724691</v>
      </c>
      <c r="BA71" s="288">
        <f t="shared" si="74"/>
        <v>0.66063962643210072</v>
      </c>
      <c r="BB71" s="288">
        <f t="shared" si="75"/>
        <v>0.64719634246564417</v>
      </c>
      <c r="BC71" s="288">
        <f t="shared" si="75"/>
        <v>0.63378374154833461</v>
      </c>
      <c r="BD71" s="288">
        <f t="shared" si="75"/>
        <v>0.62042185830802854</v>
      </c>
      <c r="BE71" s="288">
        <f t="shared" si="75"/>
        <v>0.60712966936457713</v>
      </c>
      <c r="BF71" s="288">
        <f t="shared" si="75"/>
        <v>0.59392504545842839</v>
      </c>
      <c r="BG71" s="288">
        <f t="shared" si="75"/>
        <v>0.58082471667669155</v>
      </c>
      <c r="BH71" s="288">
        <f t="shared" si="75"/>
        <v>0.56784425003441974</v>
      </c>
      <c r="BI71" s="288">
        <f t="shared" si="75"/>
        <v>0.55499803855382124</v>
      </c>
      <c r="BJ71" s="288">
        <f t="shared" si="75"/>
        <v>0.54229930089878076</v>
      </c>
      <c r="BK71" s="288">
        <f t="shared" si="75"/>
        <v>0.52976009056472328</v>
      </c>
      <c r="BL71" s="288">
        <f t="shared" si="76"/>
        <v>0.51739131359220614</v>
      </c>
      <c r="BM71" s="288">
        <f t="shared" si="76"/>
        <v>0.50520275376400336</v>
      </c>
      <c r="BN71" s="288">
        <f t="shared" si="76"/>
        <v>0.49320310425690184</v>
      </c>
      <c r="BO71" s="288">
        <f t="shared" si="76"/>
        <v>0.48140000474792477</v>
      </c>
      <c r="BP71" s="288">
        <f t="shared" si="76"/>
        <v>0.46980008301719228</v>
      </c>
      <c r="BQ71" s="288">
        <f t="shared" si="76"/>
        <v>0.45840900014317032</v>
      </c>
      <c r="BR71" s="288">
        <f t="shared" si="76"/>
        <v>0.44723149844790416</v>
      </c>
      <c r="BS71" s="288">
        <f t="shared" si="76"/>
        <v>0.43627145141742507</v>
      </c>
      <c r="BT71" s="288">
        <f t="shared" si="76"/>
        <v>0.42553191489361702</v>
      </c>
      <c r="BU71" s="288">
        <f t="shared" si="76"/>
        <v>0.41501517890643652</v>
      </c>
      <c r="BV71" s="288">
        <f t="shared" si="77"/>
        <v>0.40472281958782602</v>
      </c>
      <c r="BW71" s="288">
        <f t="shared" si="77"/>
        <v>0.39465575067954611</v>
      </c>
      <c r="BX71" s="288">
        <f t="shared" si="77"/>
        <v>0.38481427421535619</v>
      </c>
      <c r="BY71" s="288">
        <f t="shared" si="77"/>
        <v>0.37519813002263463</v>
      </c>
      <c r="BZ71" s="288">
        <f t="shared" si="77"/>
        <v>0.3658065437490135</v>
      </c>
      <c r="CA71" s="290">
        <f t="shared" si="77"/>
        <v>0.35663827317547875</v>
      </c>
      <c r="CB71" s="242"/>
      <c r="CF71" s="268"/>
      <c r="CG71" s="268"/>
      <c r="CI71" s="268"/>
      <c r="CK71" s="238"/>
      <c r="CQ71" s="238"/>
    </row>
    <row r="72" spans="2:95">
      <c r="B72" s="274">
        <f t="shared" si="78"/>
        <v>17.5</v>
      </c>
      <c r="C72" s="234"/>
      <c r="D72" s="272">
        <f t="shared" si="70"/>
        <v>0.99999606415543274</v>
      </c>
      <c r="E72" s="288">
        <f t="shared" si="70"/>
        <v>0.99996851411092602</v>
      </c>
      <c r="F72" s="288">
        <f t="shared" si="70"/>
        <v>0.99989374307016055</v>
      </c>
      <c r="G72" s="288">
        <f t="shared" si="70"/>
        <v>0.99974816839140224</v>
      </c>
      <c r="H72" s="288">
        <f t="shared" si="70"/>
        <v>0.99950825942047461</v>
      </c>
      <c r="I72" s="288">
        <f t="shared" si="70"/>
        <v>0.99915057636132087</v>
      </c>
      <c r="J72" s="288">
        <f t="shared" si="70"/>
        <v>0.99865182004294206</v>
      </c>
      <c r="K72" s="288">
        <f t="shared" si="70"/>
        <v>0.99798889235453214</v>
      </c>
      <c r="L72" s="288">
        <f t="shared" si="70"/>
        <v>0.99713896701345095</v>
      </c>
      <c r="M72" s="288">
        <f t="shared" si="70"/>
        <v>0.99607957020473359</v>
      </c>
      <c r="N72" s="288">
        <f t="shared" si="71"/>
        <v>0.99478867048814401</v>
      </c>
      <c r="O72" s="288">
        <f t="shared" si="71"/>
        <v>0.99324477721201121</v>
      </c>
      <c r="P72" s="288">
        <f t="shared" si="71"/>
        <v>0.99142704650558822</v>
      </c>
      <c r="Q72" s="288">
        <f t="shared" si="71"/>
        <v>0.98931539374752664</v>
      </c>
      <c r="R72" s="288">
        <f t="shared" si="71"/>
        <v>0.98689061123199484</v>
      </c>
      <c r="S72" s="288">
        <f t="shared" si="71"/>
        <v>0.98413448958137273</v>
      </c>
      <c r="T72" s="288">
        <f t="shared" si="71"/>
        <v>0.98102994129122134</v>
      </c>
      <c r="U72" s="288">
        <f t="shared" si="71"/>
        <v>0.97756112464559841</v>
      </c>
      <c r="V72" s="288">
        <f t="shared" si="71"/>
        <v>0.97371356611522208</v>
      </c>
      <c r="W72" s="288">
        <f t="shared" si="71"/>
        <v>0.96947427925381569</v>
      </c>
      <c r="X72" s="288">
        <f t="shared" si="72"/>
        <v>0.96483187804525072</v>
      </c>
      <c r="Y72" s="288">
        <f t="shared" si="72"/>
        <v>0.95977668263123206</v>
      </c>
      <c r="Z72" s="288">
        <f t="shared" si="72"/>
        <v>0.95430081537075351</v>
      </c>
      <c r="AA72" s="288">
        <f t="shared" si="72"/>
        <v>0.94839828525166003</v>
      </c>
      <c r="AB72" s="288">
        <f t="shared" si="72"/>
        <v>0.94206505879323665</v>
      </c>
      <c r="AC72" s="288">
        <f t="shared" si="72"/>
        <v>0.9352991157469468</v>
      </c>
      <c r="AD72" s="288">
        <f t="shared" si="72"/>
        <v>0.92810048811862267</v>
      </c>
      <c r="AE72" s="288">
        <f t="shared" si="72"/>
        <v>0.92047128129602351</v>
      </c>
      <c r="AF72" s="288">
        <f t="shared" si="72"/>
        <v>0.91241567636536147</v>
      </c>
      <c r="AG72" s="288">
        <f t="shared" si="72"/>
        <v>0.90393991303202004</v>
      </c>
      <c r="AH72" s="288">
        <f t="shared" si="73"/>
        <v>0.89505225291567192</v>
      </c>
      <c r="AI72" s="288">
        <f t="shared" si="73"/>
        <v>0.8857629233585238</v>
      </c>
      <c r="AJ72" s="288">
        <f t="shared" si="73"/>
        <v>0.8760840422568793</v>
      </c>
      <c r="AK72" s="288">
        <f t="shared" si="73"/>
        <v>0.86602952478965323</v>
      </c>
      <c r="AL72" s="288">
        <f t="shared" si="73"/>
        <v>0.85561497326203206</v>
      </c>
      <c r="AM72" s="288">
        <f t="shared" si="73"/>
        <v>0.84485755159788922</v>
      </c>
      <c r="AN72" s="288">
        <f t="shared" si="73"/>
        <v>0.83377584629159962</v>
      </c>
      <c r="AO72" s="288">
        <f t="shared" si="73"/>
        <v>0.82238971586075671</v>
      </c>
      <c r="AP72" s="288">
        <f t="shared" si="73"/>
        <v>0.81072013101993667</v>
      </c>
      <c r="AQ72" s="288">
        <f t="shared" si="73"/>
        <v>0.79878900791802521</v>
      </c>
      <c r="AR72" s="288">
        <f t="shared" si="74"/>
        <v>0.78661903684576318</v>
      </c>
      <c r="AS72" s="288">
        <f t="shared" si="74"/>
        <v>0.77423350882626207</v>
      </c>
      <c r="AT72" s="288">
        <f t="shared" si="74"/>
        <v>0.76165614245146018</v>
      </c>
      <c r="AU72" s="288">
        <f t="shared" si="74"/>
        <v>0.74891091322589765</v>
      </c>
      <c r="AV72" s="288">
        <f t="shared" si="74"/>
        <v>0.73602188753134934</v>
      </c>
      <c r="AW72" s="288">
        <f t="shared" si="74"/>
        <v>0.723013063138644</v>
      </c>
      <c r="AX72" s="288">
        <f t="shared" si="74"/>
        <v>0.70990821797411019</v>
      </c>
      <c r="AY72" s="288">
        <f t="shared" si="74"/>
        <v>0.69673076860575844</v>
      </c>
      <c r="AZ72" s="288">
        <f t="shared" si="74"/>
        <v>0.6835036396568811</v>
      </c>
      <c r="BA72" s="288">
        <f t="shared" si="74"/>
        <v>0.67024914509037614</v>
      </c>
      <c r="BB72" s="288">
        <f t="shared" si="75"/>
        <v>0.65698888204339256</v>
      </c>
      <c r="BC72" s="288">
        <f t="shared" si="75"/>
        <v>0.64374363763576792</v>
      </c>
      <c r="BD72" s="288">
        <f t="shared" si="75"/>
        <v>0.63053330893310366</v>
      </c>
      <c r="BE72" s="288">
        <f t="shared" si="75"/>
        <v>0.61737683602111249</v>
      </c>
      <c r="BF72" s="288">
        <f t="shared" si="75"/>
        <v>0.60429214794586916</v>
      </c>
      <c r="BG72" s="288">
        <f t="shared" si="75"/>
        <v>0.59129612109744567</v>
      </c>
      <c r="BH72" s="288">
        <f t="shared" si="75"/>
        <v>0.57840454946374897</v>
      </c>
      <c r="BI72" s="288">
        <f t="shared" si="75"/>
        <v>0.56563212605779811</v>
      </c>
      <c r="BJ72" s="288">
        <f t="shared" si="75"/>
        <v>0.5529924347249261</v>
      </c>
      <c r="BK72" s="288">
        <f t="shared" si="75"/>
        <v>0.54049795146549007</v>
      </c>
      <c r="BL72" s="288">
        <f t="shared" si="76"/>
        <v>0.52816005436198987</v>
      </c>
      <c r="BM72" s="288">
        <f t="shared" si="76"/>
        <v>0.51598904117502287</v>
      </c>
      <c r="BN72" s="288">
        <f t="shared" si="76"/>
        <v>0.50399415366781752</v>
      </c>
      <c r="BO72" s="288">
        <f t="shared" si="76"/>
        <v>0.49218360773167352</v>
      </c>
      <c r="BP72" s="288">
        <f t="shared" si="76"/>
        <v>0.48056462841180747</v>
      </c>
      <c r="BQ72" s="288">
        <f t="shared" si="76"/>
        <v>0.46914348897225566</v>
      </c>
      <c r="BR72" s="288">
        <f t="shared" si="76"/>
        <v>0.45792555318708505</v>
      </c>
      <c r="BS72" s="288">
        <f t="shared" si="76"/>
        <v>0.44691532010081786</v>
      </c>
      <c r="BT72" s="288">
        <f t="shared" si="76"/>
        <v>0.4361164705615343</v>
      </c>
      <c r="BU72" s="288">
        <f t="shared" si="76"/>
        <v>0.42553191489361702</v>
      </c>
      <c r="BV72" s="288">
        <f t="shared" si="77"/>
        <v>0.41516384114185301</v>
      </c>
      <c r="BW72" s="288">
        <f t="shared" si="77"/>
        <v>0.40501376338316614</v>
      </c>
      <c r="BX72" s="288">
        <f t="shared" si="77"/>
        <v>0.39508256966541055</v>
      </c>
      <c r="BY72" s="288">
        <f t="shared" si="77"/>
        <v>0.38537056919345419</v>
      </c>
      <c r="BZ72" s="288">
        <f t="shared" si="77"/>
        <v>0.37587753844046434</v>
      </c>
      <c r="CA72" s="290">
        <f t="shared" si="77"/>
        <v>0.36660276591633162</v>
      </c>
      <c r="CB72" s="242"/>
      <c r="CF72" s="268"/>
      <c r="CG72" s="268"/>
      <c r="CI72" s="268"/>
      <c r="CK72" s="238"/>
      <c r="CQ72" s="238"/>
    </row>
    <row r="73" spans="2:95">
      <c r="B73" s="274">
        <f t="shared" si="78"/>
        <v>17.75</v>
      </c>
      <c r="C73" s="234"/>
      <c r="D73" s="272">
        <f t="shared" ref="D73:M78" si="79">(POWER($B73,$F$1)/(POWER($B73,$F$1)+($G$1*POWER(D$2,$F$1))))</f>
        <v>0.99999622812680267</v>
      </c>
      <c r="E73" s="288">
        <f t="shared" si="79"/>
        <v>0.99996982581111293</v>
      </c>
      <c r="F73" s="288">
        <f t="shared" si="79"/>
        <v>0.99989816941006282</v>
      </c>
      <c r="G73" s="288">
        <f t="shared" si="79"/>
        <v>0.99975865746511006</v>
      </c>
      <c r="H73" s="288">
        <f t="shared" si="79"/>
        <v>0.99952873626615302</v>
      </c>
      <c r="I73" s="288">
        <f t="shared" si="79"/>
        <v>0.99918593555714008</v>
      </c>
      <c r="J73" s="288">
        <f t="shared" si="79"/>
        <v>0.99870791425885885</v>
      </c>
      <c r="K73" s="288">
        <f t="shared" si="79"/>
        <v>0.99807251600798874</v>
      </c>
      <c r="L73" s="288">
        <f t="shared" si="79"/>
        <v>0.99725783421704073</v>
      </c>
      <c r="M73" s="288">
        <f t="shared" si="79"/>
        <v>0.99624228624871614</v>
      </c>
      <c r="N73" s="288">
        <f t="shared" ref="N73:W78" si="80">(POWER($B73,$F$1)/(POWER($B73,$F$1)+($G$1*POWER(N$2,$F$1))))</f>
        <v>0.99500469617218534</v>
      </c>
      <c r="O73" s="288">
        <f t="shared" si="80"/>
        <v>0.99352438543008936</v>
      </c>
      <c r="P73" s="288">
        <f t="shared" si="80"/>
        <v>0.99178127059652876</v>
      </c>
      <c r="Q73" s="288">
        <f t="shared" si="80"/>
        <v>0.9897559672513947</v>
      </c>
      <c r="R73" s="288">
        <f t="shared" si="80"/>
        <v>0.98742989883913646</v>
      </c>
      <c r="S73" s="288">
        <f t="shared" si="80"/>
        <v>0.98478540922505642</v>
      </c>
      <c r="T73" s="288">
        <f t="shared" si="80"/>
        <v>0.98180587751449722</v>
      </c>
      <c r="U73" s="288">
        <f t="shared" si="80"/>
        <v>0.97847583356525514</v>
      </c>
      <c r="V73" s="288">
        <f t="shared" si="80"/>
        <v>0.9747810725067485</v>
      </c>
      <c r="W73" s="288">
        <f t="shared" si="80"/>
        <v>0.9707087664864894</v>
      </c>
      <c r="X73" s="288">
        <f t="shared" ref="X73:AG78" si="81">(POWER($B73,$F$1)/(POWER($B73,$F$1)+($G$1*POWER(X$2,$F$1))))</f>
        <v>0.96624757180053045</v>
      </c>
      <c r="Y73" s="288">
        <f t="shared" si="81"/>
        <v>0.96138772953467477</v>
      </c>
      <c r="Z73" s="288">
        <f t="shared" si="81"/>
        <v>0.95612115785144614</v>
      </c>
      <c r="AA73" s="288">
        <f t="shared" si="81"/>
        <v>0.95044153410729482</v>
      </c>
      <c r="AB73" s="288">
        <f t="shared" si="81"/>
        <v>0.94434436507721864</v>
      </c>
      <c r="AC73" s="288">
        <f t="shared" si="81"/>
        <v>0.93782704370050629</v>
      </c>
      <c r="AD73" s="288">
        <f t="shared" si="81"/>
        <v>0.93088889094070604</v>
      </c>
      <c r="AE73" s="288">
        <f t="shared" si="81"/>
        <v>0.92353118157267444</v>
      </c>
      <c r="AF73" s="288">
        <f t="shared" si="81"/>
        <v>0.9157571529655073</v>
      </c>
      <c r="AG73" s="288">
        <f t="shared" si="81"/>
        <v>0.9075719962166644</v>
      </c>
      <c r="AH73" s="288">
        <f t="shared" ref="AH73:AQ78" si="82">(POWER($B73,$F$1)/(POWER($B73,$F$1)+($G$1*POWER(AH$2,$F$1))))</f>
        <v>0.89898282930262408</v>
      </c>
      <c r="AI73" s="288">
        <f t="shared" si="82"/>
        <v>0.8899986522368144</v>
      </c>
      <c r="AJ73" s="288">
        <f t="shared" si="82"/>
        <v>0.88063028455737136</v>
      </c>
      <c r="AK73" s="288">
        <f t="shared" si="82"/>
        <v>0.87089028579604322</v>
      </c>
      <c r="AL73" s="288">
        <f t="shared" si="82"/>
        <v>0.86079285989577725</v>
      </c>
      <c r="AM73" s="288">
        <f t="shared" si="82"/>
        <v>0.85035374483899373</v>
      </c>
      <c r="AN73" s="288">
        <f t="shared" si="82"/>
        <v>0.83959008901281529</v>
      </c>
      <c r="AO73" s="288">
        <f t="shared" si="82"/>
        <v>0.82852031606418874</v>
      </c>
      <c r="AP73" s="288">
        <f t="shared" si="82"/>
        <v>0.81716398018090064</v>
      </c>
      <c r="AQ73" s="288">
        <f t="shared" si="82"/>
        <v>0.80554161386956435</v>
      </c>
      <c r="AR73" s="288">
        <f t="shared" ref="AR73:BA78" si="83">(POWER($B73,$F$1)/(POWER($B73,$F$1)+($G$1*POWER(AR$2,$F$1))))</f>
        <v>0.79367457038611566</v>
      </c>
      <c r="AS73" s="288">
        <f t="shared" si="83"/>
        <v>0.78158486300738672</v>
      </c>
      <c r="AT73" s="288">
        <f t="shared" si="83"/>
        <v>0.76929500331491685</v>
      </c>
      <c r="AU73" s="288">
        <f t="shared" si="83"/>
        <v>0.75682784059695152</v>
      </c>
      <c r="AV73" s="288">
        <f t="shared" si="83"/>
        <v>0.74420640436571039</v>
      </c>
      <c r="AW73" s="288">
        <f t="shared" si="83"/>
        <v>0.73145375183981842</v>
      </c>
      <c r="AX73" s="288">
        <f t="shared" si="83"/>
        <v>0.71859282206259112</v>
      </c>
      <c r="AY73" s="288">
        <f t="shared" si="83"/>
        <v>0.70564629812255353</v>
      </c>
      <c r="AZ73" s="288">
        <f t="shared" si="83"/>
        <v>0.69263647872037071</v>
      </c>
      <c r="BA73" s="288">
        <f t="shared" si="83"/>
        <v>0.67958516009349468</v>
      </c>
      <c r="BB73" s="288">
        <f t="shared" ref="BB73:BK78" si="84">(POWER($B73,$F$1)/(POWER($B73,$F$1)+($G$1*POWER(BB$2,$F$1))))</f>
        <v>0.66651352907322181</v>
      </c>
      <c r="BC73" s="288">
        <f t="shared" si="84"/>
        <v>0.65344206781494152</v>
      </c>
      <c r="BD73" s="288">
        <f t="shared" si="84"/>
        <v>0.64039047051686548</v>
      </c>
      <c r="BE73" s="288">
        <f t="shared" si="84"/>
        <v>0.62737757223034196</v>
      </c>
      <c r="BF73" s="288">
        <f t="shared" si="84"/>
        <v>0.61442128966996257</v>
      </c>
      <c r="BG73" s="288">
        <f t="shared" si="84"/>
        <v>0.60153857375705178</v>
      </c>
      <c r="BH73" s="288">
        <f t="shared" si="84"/>
        <v>0.58874537347787714</v>
      </c>
      <c r="BI73" s="288">
        <f t="shared" si="84"/>
        <v>0.57605661050917722</v>
      </c>
      <c r="BJ73" s="288">
        <f t="shared" si="84"/>
        <v>0.56348616395872841</v>
      </c>
      <c r="BK73" s="288">
        <f t="shared" si="84"/>
        <v>0.55104686448728346</v>
      </c>
      <c r="BL73" s="288">
        <f t="shared" ref="BL73:BU78" si="85">(POWER($B73,$F$1)/(POWER($B73,$F$1)+($G$1*POWER(BL$2,$F$1))))</f>
        <v>0.53875049701931399</v>
      </c>
      <c r="BM73" s="288">
        <f t="shared" si="85"/>
        <v>0.52660781121211997</v>
      </c>
      <c r="BN73" s="288">
        <f t="shared" si="85"/>
        <v>0.51462853883417292</v>
      </c>
      <c r="BO73" s="288">
        <f t="shared" si="85"/>
        <v>0.50282141720194873</v>
      </c>
      <c r="BP73" s="288">
        <f t="shared" si="85"/>
        <v>0.49119421783773454</v>
      </c>
      <c r="BQ73" s="288">
        <f t="shared" si="85"/>
        <v>0.47975377953665699</v>
      </c>
      <c r="BR73" s="288">
        <f t="shared" si="85"/>
        <v>0.46850604506722082</v>
      </c>
      <c r="BS73" s="288">
        <f t="shared" si="85"/>
        <v>0.4574561007737532</v>
      </c>
      <c r="BT73" s="288">
        <f t="shared" si="85"/>
        <v>0.44660821839930626</v>
      </c>
      <c r="BU73" s="288">
        <f t="shared" si="85"/>
        <v>0.43596589850187767</v>
      </c>
      <c r="BV73" s="288">
        <f t="shared" ref="BV73:CA78" si="86">(POWER($B73,$F$1)/(POWER($B73,$F$1)+($G$1*POWER(BV$2,$F$1))))</f>
        <v>0.42553191489361697</v>
      </c>
      <c r="BW73" s="288">
        <f t="shared" si="86"/>
        <v>0.41530835959052015</v>
      </c>
      <c r="BX73" s="288">
        <f t="shared" si="86"/>
        <v>0.40529668781773237</v>
      </c>
      <c r="BY73" s="288">
        <f t="shared" si="86"/>
        <v>0.39549776267194892</v>
      </c>
      <c r="BZ73" s="288">
        <f t="shared" si="86"/>
        <v>0.38591189909668228</v>
      </c>
      <c r="CA73" s="290">
        <f t="shared" si="86"/>
        <v>0.37653890687770991</v>
      </c>
      <c r="CB73" s="242"/>
      <c r="CF73" s="268"/>
      <c r="CG73" s="268"/>
      <c r="CI73" s="268"/>
      <c r="CK73" s="238"/>
      <c r="CQ73" s="238"/>
    </row>
    <row r="74" spans="2:95">
      <c r="B74" s="274">
        <f t="shared" si="78"/>
        <v>18</v>
      </c>
      <c r="C74" s="234"/>
      <c r="D74" s="272">
        <f t="shared" si="79"/>
        <v>0.99999638311493377</v>
      </c>
      <c r="E74" s="288">
        <f t="shared" si="79"/>
        <v>0.99997106565203553</v>
      </c>
      <c r="F74" s="288">
        <f t="shared" si="79"/>
        <v>0.9999023532858119</v>
      </c>
      <c r="G74" s="288">
        <f t="shared" si="79"/>
        <v>0.99976857208979397</v>
      </c>
      <c r="H74" s="288">
        <f t="shared" si="79"/>
        <v>0.99954809204461237</v>
      </c>
      <c r="I74" s="288">
        <f t="shared" si="79"/>
        <v>0.99921935987509769</v>
      </c>
      <c r="J74" s="288">
        <f t="shared" si="79"/>
        <v>0.99876094110677227</v>
      </c>
      <c r="K74" s="288">
        <f t="shared" si="79"/>
        <v>0.99815157116451014</v>
      </c>
      <c r="L74" s="288">
        <f t="shared" si="79"/>
        <v>0.99737021525275149</v>
      </c>
      <c r="M74" s="288">
        <f t="shared" si="79"/>
        <v>0.99639613665849791</v>
      </c>
      <c r="N74" s="288">
        <f t="shared" si="80"/>
        <v>0.99520897300682842</v>
      </c>
      <c r="O74" s="288">
        <f t="shared" si="80"/>
        <v>0.99378881987577639</v>
      </c>
      <c r="P74" s="288">
        <f t="shared" si="80"/>
        <v>0.9921163210455114</v>
      </c>
      <c r="Q74" s="288">
        <f t="shared" si="80"/>
        <v>0.9901727645188092</v>
      </c>
      <c r="R74" s="288">
        <f t="shared" si="80"/>
        <v>0.98794018330921374</v>
      </c>
      <c r="S74" s="288">
        <f t="shared" si="80"/>
        <v>0.98540145985401462</v>
      </c>
      <c r="T74" s="288">
        <f t="shared" si="80"/>
        <v>0.98254043277551328</v>
      </c>
      <c r="U74" s="288">
        <f t="shared" si="80"/>
        <v>0.97934200459066567</v>
      </c>
      <c r="V74" s="288">
        <f t="shared" si="80"/>
        <v>0.9757922488609051</v>
      </c>
      <c r="W74" s="288">
        <f t="shared" si="80"/>
        <v>0.97187851518560175</v>
      </c>
      <c r="X74" s="288">
        <f t="shared" si="81"/>
        <v>0.9675895303789096</v>
      </c>
      <c r="Y74" s="288">
        <f t="shared" si="81"/>
        <v>0.96291549413501998</v>
      </c>
      <c r="Z74" s="288">
        <f t="shared" si="81"/>
        <v>0.95784816748485169</v>
      </c>
      <c r="AA74" s="288">
        <f t="shared" si="81"/>
        <v>0.95238095238095233</v>
      </c>
      <c r="AB74" s="288">
        <f t="shared" si="81"/>
        <v>0.94650896081888358</v>
      </c>
      <c r="AC74" s="288">
        <f t="shared" si="81"/>
        <v>0.94022907201349404</v>
      </c>
      <c r="AD74" s="288">
        <f t="shared" si="81"/>
        <v>0.9335399762968366</v>
      </c>
      <c r="AE74" s="288">
        <f t="shared" si="81"/>
        <v>0.92644220458932014</v>
      </c>
      <c r="AF74" s="288">
        <f t="shared" si="81"/>
        <v>0.91893814251385153</v>
      </c>
      <c r="AG74" s="288">
        <f t="shared" si="81"/>
        <v>0.91103202846975084</v>
      </c>
      <c r="AH74" s="288">
        <f t="shared" si="82"/>
        <v>0.90272993525341938</v>
      </c>
      <c r="AI74" s="288">
        <f t="shared" si="82"/>
        <v>0.89403973509933776</v>
      </c>
      <c r="AJ74" s="288">
        <f t="shared" si="82"/>
        <v>0.88497104831043127</v>
      </c>
      <c r="AK74" s="288">
        <f t="shared" si="82"/>
        <v>0.87553517594304964</v>
      </c>
      <c r="AL74" s="288">
        <f t="shared" si="82"/>
        <v>0.86574501730049636</v>
      </c>
      <c r="AM74" s="288">
        <f t="shared" si="82"/>
        <v>0.85561497326203217</v>
      </c>
      <c r="AN74" s="288">
        <f t="shared" si="82"/>
        <v>0.8451608367239013</v>
      </c>
      <c r="AO74" s="288">
        <f t="shared" si="82"/>
        <v>0.83439967164827733</v>
      </c>
      <c r="AP74" s="288">
        <f t="shared" si="82"/>
        <v>0.8233496823992924</v>
      </c>
      <c r="AQ74" s="288">
        <f t="shared" si="82"/>
        <v>0.81203007518796988</v>
      </c>
      <c r="AR74" s="288">
        <f t="shared" si="83"/>
        <v>0.800460913546863</v>
      </c>
      <c r="AS74" s="288">
        <f t="shared" si="83"/>
        <v>0.78866296980899575</v>
      </c>
      <c r="AT74" s="288">
        <f t="shared" si="83"/>
        <v>0.77665757457435236</v>
      </c>
      <c r="AU74" s="288">
        <f t="shared" si="83"/>
        <v>0.76446646611219249</v>
      </c>
      <c r="AV74" s="288">
        <f t="shared" si="83"/>
        <v>0.75211164157179577</v>
      </c>
      <c r="AW74" s="288">
        <f t="shared" si="83"/>
        <v>0.73961521176193634</v>
      </c>
      <c r="AX74" s="288">
        <f t="shared" si="83"/>
        <v>0.72699926111547886</v>
      </c>
      <c r="AY74" s="288">
        <f t="shared" si="83"/>
        <v>0.7142857142857143</v>
      </c>
      <c r="AZ74" s="288">
        <f t="shared" si="83"/>
        <v>0.70149621063154444</v>
      </c>
      <c r="BA74" s="288">
        <f t="shared" si="83"/>
        <v>0.68865198764571089</v>
      </c>
      <c r="BB74" s="288">
        <f t="shared" si="84"/>
        <v>0.6757737741701314</v>
      </c>
      <c r="BC74" s="288">
        <f t="shared" si="84"/>
        <v>0.66288169403099584</v>
      </c>
      <c r="BD74" s="288">
        <f t="shared" si="84"/>
        <v>0.64999518051895233</v>
      </c>
      <c r="BE74" s="288">
        <f t="shared" si="84"/>
        <v>0.63713290194126426</v>
      </c>
      <c r="BF74" s="288">
        <f t="shared" si="84"/>
        <v>0.62431269828724978</v>
      </c>
      <c r="BG74" s="288">
        <f t="shared" si="84"/>
        <v>0.61155152887882225</v>
      </c>
      <c r="BH74" s="288">
        <f t="shared" si="84"/>
        <v>0.59886543072694309</v>
      </c>
      <c r="BI74" s="288">
        <f t="shared" si="84"/>
        <v>0.58626948718383687</v>
      </c>
      <c r="BJ74" s="288">
        <f t="shared" si="84"/>
        <v>0.57377780637074327</v>
      </c>
      <c r="BK74" s="288">
        <f t="shared" si="84"/>
        <v>0.56140350877192979</v>
      </c>
      <c r="BL74" s="288">
        <f t="shared" si="85"/>
        <v>0.54915872331719828</v>
      </c>
      <c r="BM74" s="288">
        <f t="shared" si="85"/>
        <v>0.53705459122624355</v>
      </c>
      <c r="BN74" s="288">
        <f t="shared" si="85"/>
        <v>0.52510127685759711</v>
      </c>
      <c r="BO74" s="288">
        <f t="shared" si="85"/>
        <v>0.51330798479087447</v>
      </c>
      <c r="BP74" s="288">
        <f t="shared" si="85"/>
        <v>0.50168298237178033</v>
      </c>
      <c r="BQ74" s="288">
        <f t="shared" si="85"/>
        <v>0.49023362696284944</v>
      </c>
      <c r="BR74" s="288">
        <f t="shared" si="85"/>
        <v>0.47896639716722417</v>
      </c>
      <c r="BS74" s="288">
        <f t="shared" si="85"/>
        <v>0.46788692732589626</v>
      </c>
      <c r="BT74" s="288">
        <f t="shared" si="85"/>
        <v>0.45700004462891058</v>
      </c>
      <c r="BU74" s="288">
        <f t="shared" si="85"/>
        <v>0.44630980822625427</v>
      </c>
      <c r="BV74" s="288">
        <f t="shared" si="86"/>
        <v>0.4358195497729318</v>
      </c>
      <c r="BW74" s="288">
        <f t="shared" si="86"/>
        <v>0.42553191489361702</v>
      </c>
      <c r="BX74" s="288">
        <f t="shared" si="86"/>
        <v>0.41544890510400495</v>
      </c>
      <c r="BY74" s="288">
        <f t="shared" si="86"/>
        <v>0.40557191977749874</v>
      </c>
      <c r="BZ74" s="288">
        <f t="shared" si="86"/>
        <v>0.39590179779624973</v>
      </c>
      <c r="CA74" s="290">
        <f t="shared" si="86"/>
        <v>0.38643885857411214</v>
      </c>
      <c r="CB74" s="242"/>
      <c r="CF74" s="268"/>
      <c r="CG74" s="268"/>
      <c r="CI74" s="268"/>
      <c r="CK74" s="238"/>
      <c r="CQ74" s="238"/>
    </row>
    <row r="75" spans="2:95">
      <c r="B75" s="274">
        <f t="shared" si="78"/>
        <v>18.25</v>
      </c>
      <c r="C75" s="234"/>
      <c r="D75" s="272">
        <f t="shared" si="79"/>
        <v>0.99999652972668263</v>
      </c>
      <c r="E75" s="288">
        <f t="shared" si="79"/>
        <v>0.99997223848784078</v>
      </c>
      <c r="F75" s="288">
        <f t="shared" si="79"/>
        <v>0.99990631107370975</v>
      </c>
      <c r="G75" s="288">
        <f t="shared" si="79"/>
        <v>0.99977795105362732</v>
      </c>
      <c r="H75" s="288">
        <f t="shared" si="79"/>
        <v>0.99956640241838246</v>
      </c>
      <c r="I75" s="288">
        <f t="shared" si="79"/>
        <v>0.99925097981395739</v>
      </c>
      <c r="J75" s="288">
        <f t="shared" si="79"/>
        <v>0.9988111072698076</v>
      </c>
      <c r="K75" s="288">
        <f t="shared" si="79"/>
        <v>0.99822636526508801</v>
      </c>
      <c r="L75" s="288">
        <f t="shared" si="79"/>
        <v>0.99747654590249279</v>
      </c>
      <c r="M75" s="288">
        <f t="shared" si="79"/>
        <v>0.99654171587249951</v>
      </c>
      <c r="N75" s="288">
        <f t="shared" si="80"/>
        <v>0.99540228679203668</v>
      </c>
      <c r="O75" s="288">
        <f t="shared" si="80"/>
        <v>0.99403909239253474</v>
      </c>
      <c r="P75" s="288">
        <f t="shared" si="80"/>
        <v>0.99243347191504117</v>
      </c>
      <c r="Q75" s="288">
        <f t="shared" si="80"/>
        <v>0.99056735894708048</v>
      </c>
      <c r="R75" s="288">
        <f t="shared" si="80"/>
        <v>0.98842337481015285</v>
      </c>
      <c r="S75" s="288">
        <f t="shared" si="80"/>
        <v>0.98598492548155281</v>
      </c>
      <c r="T75" s="288">
        <f t="shared" si="80"/>
        <v>0.98323630091327041</v>
      </c>
      <c r="U75" s="288">
        <f t="shared" si="80"/>
        <v>0.98016277549811004</v>
      </c>
      <c r="V75" s="288">
        <f t="shared" si="80"/>
        <v>0.97675070833301414</v>
      </c>
      <c r="W75" s="288">
        <f t="shared" si="80"/>
        <v>0.97298764184614461</v>
      </c>
      <c r="X75" s="288">
        <f t="shared" si="81"/>
        <v>0.96886239729168722</v>
      </c>
      <c r="Y75" s="288">
        <f t="shared" si="81"/>
        <v>0.96436516557847729</v>
      </c>
      <c r="Z75" s="288">
        <f t="shared" si="81"/>
        <v>0.95948759188881183</v>
      </c>
      <c r="AA75" s="288">
        <f t="shared" si="81"/>
        <v>0.95422285256503026</v>
      </c>
      <c r="AB75" s="288">
        <f t="shared" si="81"/>
        <v>0.94856572279561069</v>
      </c>
      <c r="AC75" s="288">
        <f t="shared" si="81"/>
        <v>0.9425126337207077</v>
      </c>
      <c r="AD75" s="288">
        <f t="shared" si="81"/>
        <v>0.93606171769925128</v>
      </c>
      <c r="AE75" s="288">
        <f t="shared" si="81"/>
        <v>0.92921284063477982</v>
      </c>
      <c r="AF75" s="288">
        <f t="shared" si="81"/>
        <v>0.92196762044275493</v>
      </c>
      <c r="AG75" s="288">
        <f t="shared" si="81"/>
        <v>0.9143294309546921</v>
      </c>
      <c r="AH75" s="288">
        <f t="shared" si="82"/>
        <v>0.90630339078944788</v>
      </c>
      <c r="AI75" s="288">
        <f t="shared" si="82"/>
        <v>0.89789633697384763</v>
      </c>
      <c r="AJ75" s="288">
        <f t="shared" si="82"/>
        <v>0.88911678335719257</v>
      </c>
      <c r="AK75" s="288">
        <f t="shared" si="82"/>
        <v>0.87997486413012738</v>
      </c>
      <c r="AL75" s="288">
        <f t="shared" si="82"/>
        <v>0.87048226302072118</v>
      </c>
      <c r="AM75" s="288">
        <f t="shared" si="82"/>
        <v>0.86065212899217836</v>
      </c>
      <c r="AN75" s="288">
        <f t="shared" si="82"/>
        <v>0.85049897950048159</v>
      </c>
      <c r="AO75" s="288">
        <f t="shared" si="82"/>
        <v>0.84003859258008406</v>
      </c>
      <c r="AP75" s="288">
        <f t="shared" si="82"/>
        <v>0.82928788920601071</v>
      </c>
      <c r="AQ75" s="288">
        <f t="shared" si="82"/>
        <v>0.81826480752686592</v>
      </c>
      <c r="AR75" s="288">
        <f t="shared" si="83"/>
        <v>0.80698817067199158</v>
      </c>
      <c r="AS75" s="288">
        <f t="shared" si="83"/>
        <v>0.79547754990534436</v>
      </c>
      <c r="AT75" s="288">
        <f t="shared" si="83"/>
        <v>0.78375312492791149</v>
      </c>
      <c r="AU75" s="288">
        <f t="shared" si="83"/>
        <v>0.77183554312030933</v>
      </c>
      <c r="AV75" s="288">
        <f t="shared" si="83"/>
        <v>0.75974577946949995</v>
      </c>
      <c r="AW75" s="288">
        <f t="shared" si="83"/>
        <v>0.74750499884132182</v>
      </c>
      <c r="AX75" s="288">
        <f t="shared" si="83"/>
        <v>0.73513442214770619</v>
      </c>
      <c r="AY75" s="288">
        <f t="shared" si="83"/>
        <v>0.72265519781867982</v>
      </c>
      <c r="AZ75" s="288">
        <f t="shared" si="83"/>
        <v>0.71008827982972855</v>
      </c>
      <c r="BA75" s="288">
        <f t="shared" si="83"/>
        <v>0.69745431336023822</v>
      </c>
      <c r="BB75" s="288">
        <f t="shared" si="84"/>
        <v>0.68477352897402788</v>
      </c>
      <c r="BC75" s="288">
        <f t="shared" si="84"/>
        <v>0.67206564602380836</v>
      </c>
      <c r="BD75" s="288">
        <f t="shared" si="84"/>
        <v>0.65934978579271786</v>
      </c>
      <c r="BE75" s="288">
        <f t="shared" si="84"/>
        <v>0.64664439470246848</v>
      </c>
      <c r="BF75" s="288">
        <f t="shared" si="84"/>
        <v>0.63396717774302069</v>
      </c>
      <c r="BG75" s="288">
        <f t="shared" si="84"/>
        <v>0.62133504211636958</v>
      </c>
      <c r="BH75" s="288">
        <f t="shared" si="84"/>
        <v>0.60876405093958774</v>
      </c>
      <c r="BI75" s="288">
        <f t="shared" si="84"/>
        <v>0.59626938672158447</v>
      </c>
      <c r="BJ75" s="288">
        <f t="shared" si="84"/>
        <v>0.58386532421532644</v>
      </c>
      <c r="BK75" s="288">
        <f t="shared" si="84"/>
        <v>0.57156521215309053</v>
      </c>
      <c r="BL75" s="288">
        <f t="shared" si="85"/>
        <v>0.55938146329665317</v>
      </c>
      <c r="BM75" s="288">
        <f t="shared" si="85"/>
        <v>0.54732555217669876</v>
      </c>
      <c r="BN75" s="288">
        <f t="shared" si="85"/>
        <v>0.53540801985519981</v>
      </c>
      <c r="BO75" s="288">
        <f t="shared" si="85"/>
        <v>0.52363848501988253</v>
      </c>
      <c r="BP75" s="288">
        <f t="shared" si="85"/>
        <v>0.51202566070963784</v>
      </c>
      <c r="BQ75" s="288">
        <f t="shared" si="85"/>
        <v>0.50057737597225505</v>
      </c>
      <c r="BR75" s="288">
        <f t="shared" si="85"/>
        <v>0.48930060176941725</v>
      </c>
      <c r="BS75" s="288">
        <f t="shared" si="85"/>
        <v>0.47820148046675343</v>
      </c>
      <c r="BT75" s="288">
        <f t="shared" si="85"/>
        <v>0.46728535827719297</v>
      </c>
      <c r="BU75" s="288">
        <f t="shared" si="85"/>
        <v>0.45655682006227211</v>
      </c>
      <c r="BV75" s="288">
        <f t="shared" si="86"/>
        <v>0.44601972593686845</v>
      </c>
      <c r="BW75" s="288">
        <f t="shared" si="86"/>
        <v>0.43567724916670564</v>
      </c>
      <c r="BX75" s="288">
        <f t="shared" si="86"/>
        <v>0.42553191489361697</v>
      </c>
      <c r="BY75" s="288">
        <f t="shared" si="86"/>
        <v>0.41558563926990882</v>
      </c>
      <c r="BZ75" s="288">
        <f t="shared" si="86"/>
        <v>0.40583976862927873</v>
      </c>
      <c r="CA75" s="290">
        <f t="shared" si="86"/>
        <v>0.3962951183668546</v>
      </c>
      <c r="CB75" s="242"/>
      <c r="CF75" s="268"/>
      <c r="CG75" s="268"/>
      <c r="CI75" s="268"/>
      <c r="CK75" s="238"/>
      <c r="CQ75" s="238"/>
    </row>
    <row r="76" spans="2:95">
      <c r="B76" s="274">
        <f t="shared" si="78"/>
        <v>18.5</v>
      </c>
      <c r="C76" s="234"/>
      <c r="D76" s="272">
        <f t="shared" si="79"/>
        <v>0.99999666852036784</v>
      </c>
      <c r="E76" s="288">
        <f t="shared" si="79"/>
        <v>0.99997334878445787</v>
      </c>
      <c r="F76" s="288">
        <f t="shared" si="79"/>
        <v>0.99991005784058129</v>
      </c>
      <c r="G76" s="288">
        <f t="shared" si="79"/>
        <v>0.99978683004433144</v>
      </c>
      <c r="H76" s="288">
        <f t="shared" si="79"/>
        <v>0.99958373700565684</v>
      </c>
      <c r="I76" s="288">
        <f t="shared" si="79"/>
        <v>0.99928091545676667</v>
      </c>
      <c r="J76" s="288">
        <f t="shared" si="79"/>
        <v>0.99885860295515971</v>
      </c>
      <c r="K76" s="288">
        <f t="shared" si="79"/>
        <v>0.99829718128318423</v>
      </c>
      <c r="L76" s="288">
        <f t="shared" si="79"/>
        <v>0.99757722734021947</v>
      </c>
      <c r="M76" s="288">
        <f t="shared" si="79"/>
        <v>0.9966795712465627</v>
      </c>
      <c r="N76" s="288">
        <f t="shared" si="80"/>
        <v>0.99558536129045971</v>
      </c>
      <c r="O76" s="288">
        <f t="shared" si="80"/>
        <v>0.99427613525280401</v>
      </c>
      <c r="P76" s="288">
        <f t="shared" si="80"/>
        <v>0.99273389753961361</v>
      </c>
      <c r="Q76" s="288">
        <f t="shared" si="80"/>
        <v>0.99094120144259967</v>
      </c>
      <c r="R76" s="288">
        <f t="shared" si="80"/>
        <v>0.9888812357354948</v>
      </c>
      <c r="S76" s="288">
        <f t="shared" si="80"/>
        <v>0.98653791470117369</v>
      </c>
      <c r="T76" s="288">
        <f t="shared" si="80"/>
        <v>0.98389597057519185</v>
      </c>
      <c r="U76" s="288">
        <f t="shared" si="80"/>
        <v>0.98094104728862841</v>
      </c>
      <c r="V76" s="288">
        <f t="shared" si="80"/>
        <v>0.97765979430069194</v>
      </c>
      <c r="W76" s="288">
        <f t="shared" si="80"/>
        <v>0.97403995923312114</v>
      </c>
      <c r="X76" s="288">
        <f t="shared" si="81"/>
        <v>0.97007047795763912</v>
      </c>
      <c r="Y76" s="288">
        <f t="shared" si="81"/>
        <v>0.96574156074802886</v>
      </c>
      <c r="Z76" s="288">
        <f t="shared" si="81"/>
        <v>0.96104477309290925</v>
      </c>
      <c r="AA76" s="288">
        <f t="shared" si="81"/>
        <v>0.95597310977658156</v>
      </c>
      <c r="AB76" s="288">
        <f t="shared" si="81"/>
        <v>0.95052106087536825</v>
      </c>
      <c r="AC76" s="288">
        <f t="shared" si="81"/>
        <v>0.94468466838682974</v>
      </c>
      <c r="AD76" s="288">
        <f t="shared" si="81"/>
        <v>0.93846157230942717</v>
      </c>
      <c r="AE76" s="288">
        <f t="shared" si="81"/>
        <v>0.9318510451198917</v>
      </c>
      <c r="AF76" s="288">
        <f t="shared" si="81"/>
        <v>0.92485401375307918</v>
      </c>
      <c r="AG76" s="288">
        <f t="shared" si="81"/>
        <v>0.91747306837169496</v>
      </c>
      <c r="AH76" s="288">
        <f t="shared" si="82"/>
        <v>0.90971245741728135</v>
      </c>
      <c r="AI76" s="288">
        <f t="shared" si="82"/>
        <v>0.90157806865470802</v>
      </c>
      <c r="AJ76" s="288">
        <f t="shared" si="82"/>
        <v>0.89307739615477133</v>
      </c>
      <c r="AK76" s="288">
        <f t="shared" si="82"/>
        <v>0.88421949339754957</v>
      </c>
      <c r="AL76" s="288">
        <f t="shared" si="82"/>
        <v>0.87501491291666422</v>
      </c>
      <c r="AM76" s="288">
        <f t="shared" si="82"/>
        <v>0.86547563313524545</v>
      </c>
      <c r="AN76" s="288">
        <f t="shared" si="82"/>
        <v>0.85561497326203206</v>
      </c>
      <c r="AO76" s="288">
        <f t="shared" si="82"/>
        <v>0.84544749731484081</v>
      </c>
      <c r="AP76" s="288">
        <f t="shared" si="82"/>
        <v>0.83498890851344609</v>
      </c>
      <c r="AQ76" s="288">
        <f t="shared" si="82"/>
        <v>0.82425593543032882</v>
      </c>
      <c r="AR76" s="288">
        <f t="shared" si="83"/>
        <v>0.81326621140237265</v>
      </c>
      <c r="AS76" s="288">
        <f t="shared" si="83"/>
        <v>0.80203814878707824</v>
      </c>
      <c r="AT76" s="288">
        <f t="shared" si="83"/>
        <v>0.79059080969204587</v>
      </c>
      <c r="AU76" s="288">
        <f t="shared" si="83"/>
        <v>0.77894377481630928</v>
      </c>
      <c r="AV76" s="288">
        <f t="shared" si="83"/>
        <v>0.76711701201767557</v>
      </c>
      <c r="AW76" s="288">
        <f t="shared" si="83"/>
        <v>0.75513074616363385</v>
      </c>
      <c r="AX76" s="288">
        <f t="shared" si="83"/>
        <v>0.74300533173764105</v>
      </c>
      <c r="AY76" s="288">
        <f t="shared" si="83"/>
        <v>0.73076112956139627</v>
      </c>
      <c r="AZ76" s="288">
        <f t="shared" si="83"/>
        <v>0.71841838886134501</v>
      </c>
      <c r="BA76" s="288">
        <f t="shared" si="83"/>
        <v>0.70599713575876255</v>
      </c>
      <c r="BB76" s="288">
        <f t="shared" si="84"/>
        <v>0.69351706910209321</v>
      </c>
      <c r="BC76" s="288">
        <f t="shared" si="84"/>
        <v>0.6809974643925969</v>
      </c>
      <c r="BD76" s="288">
        <f t="shared" si="84"/>
        <v>0.66845708638430101</v>
      </c>
      <c r="BE76" s="288">
        <f t="shared" si="84"/>
        <v>0.65591411077105155</v>
      </c>
      <c r="BF76" s="288">
        <f t="shared" si="84"/>
        <v>0.64338605521090797</v>
      </c>
      <c r="BG76" s="288">
        <f t="shared" si="84"/>
        <v>0.6308897197844765</v>
      </c>
      <c r="BH76" s="288">
        <f t="shared" si="84"/>
        <v>0.61844113684176139</v>
      </c>
      <c r="BI76" s="288">
        <f t="shared" si="84"/>
        <v>0.60605553006377866</v>
      </c>
      <c r="BJ76" s="288">
        <f t="shared" si="84"/>
        <v>0.59374728245201935</v>
      </c>
      <c r="BK76" s="288">
        <f t="shared" si="84"/>
        <v>0.58152991286178435</v>
      </c>
      <c r="BL76" s="288">
        <f t="shared" si="85"/>
        <v>0.56941606061476846</v>
      </c>
      <c r="BM76" s="288">
        <f t="shared" si="85"/>
        <v>0.55741747766197847</v>
      </c>
      <c r="BN76" s="288">
        <f t="shared" si="85"/>
        <v>0.54554502771957181</v>
      </c>
      <c r="BO76" s="288">
        <f t="shared" si="85"/>
        <v>0.53380869176665979</v>
      </c>
      <c r="BP76" s="288">
        <f t="shared" si="85"/>
        <v>0.52221757927439638</v>
      </c>
      <c r="BQ76" s="288">
        <f t="shared" si="85"/>
        <v>0.51077994452844888</v>
      </c>
      <c r="BR76" s="288">
        <f t="shared" si="85"/>
        <v>0.49950320741079812</v>
      </c>
      <c r="BS76" s="288">
        <f t="shared" si="85"/>
        <v>0.48839397802019802</v>
      </c>
      <c r="BT76" s="288">
        <f t="shared" si="85"/>
        <v>0.47745808453205779</v>
      </c>
      <c r="BU76" s="288">
        <f t="shared" si="85"/>
        <v>0.46670060372647343</v>
      </c>
      <c r="BV76" s="288">
        <f t="shared" si="86"/>
        <v>0.45612589364622852</v>
      </c>
      <c r="BW76" s="288">
        <f t="shared" si="86"/>
        <v>0.44573762788348326</v>
      </c>
      <c r="BX76" s="288">
        <f t="shared" si="86"/>
        <v>0.43553883103335622</v>
      </c>
      <c r="BY76" s="288">
        <f t="shared" si="86"/>
        <v>0.42553191489361702</v>
      </c>
      <c r="BZ76" s="288">
        <f t="shared" si="86"/>
        <v>0.41571871503128605</v>
      </c>
      <c r="CA76" s="290">
        <f t="shared" si="86"/>
        <v>0.40610052737829327</v>
      </c>
      <c r="CB76" s="242"/>
      <c r="CF76" s="268"/>
      <c r="CG76" s="268"/>
      <c r="CI76" s="268"/>
      <c r="CK76" s="238"/>
      <c r="CQ76" s="238"/>
    </row>
    <row r="77" spans="2:95">
      <c r="B77" s="274">
        <f t="shared" si="78"/>
        <v>18.75</v>
      </c>
      <c r="C77" s="234"/>
      <c r="D77" s="272">
        <f t="shared" si="79"/>
        <v>0.99999680001024005</v>
      </c>
      <c r="E77" s="288">
        <f t="shared" si="79"/>
        <v>0.99997440065534327</v>
      </c>
      <c r="F77" s="288">
        <f t="shared" si="79"/>
        <v>0.99991360746431501</v>
      </c>
      <c r="G77" s="288">
        <f t="shared" si="79"/>
        <v>0.99979524193445179</v>
      </c>
      <c r="H77" s="288">
        <f t="shared" si="79"/>
        <v>0.99960015993602558</v>
      </c>
      <c r="I77" s="288">
        <f t="shared" si="79"/>
        <v>0.99930927742744224</v>
      </c>
      <c r="J77" s="288">
        <f t="shared" si="79"/>
        <v>0.99890360340490281</v>
      </c>
      <c r="K77" s="288">
        <f t="shared" si="79"/>
        <v>0.99836427996370747</v>
      </c>
      <c r="L77" s="288">
        <f t="shared" si="79"/>
        <v>0.99767262929039136</v>
      </c>
      <c r="M77" s="288">
        <f t="shared" si="79"/>
        <v>0.99681020733652315</v>
      </c>
      <c r="N77" s="288">
        <f t="shared" si="80"/>
        <v>0.99575886384710244</v>
      </c>
      <c r="O77" s="288">
        <f t="shared" si="80"/>
        <v>0.994500808330257</v>
      </c>
      <c r="P77" s="288">
        <f t="shared" si="80"/>
        <v>0.99301868146185057</v>
      </c>
      <c r="Q77" s="288">
        <f t="shared" si="80"/>
        <v>0.99129563132050091</v>
      </c>
      <c r="R77" s="288">
        <f t="shared" si="80"/>
        <v>0.98931539374752675</v>
      </c>
      <c r="S77" s="288">
        <f t="shared" si="80"/>
        <v>0.9870623760249656</v>
      </c>
      <c r="T77" s="288">
        <f t="shared" si="80"/>
        <v>0.98452174296578909</v>
      </c>
      <c r="U77" s="288">
        <f t="shared" si="80"/>
        <v>0.98167950441677243</v>
      </c>
      <c r="V77" s="288">
        <f t="shared" si="80"/>
        <v>0.97852260308931327</v>
      </c>
      <c r="W77" s="288">
        <f t="shared" si="80"/>
        <v>0.9750390015600624</v>
      </c>
      <c r="X77" s="288">
        <f t="shared" si="81"/>
        <v>0.9712177672247414</v>
      </c>
      <c r="Y77" s="288">
        <f t="shared" si="81"/>
        <v>0.96704915394803626</v>
      </c>
      <c r="Z77" s="288">
        <f t="shared" si="81"/>
        <v>0.96252467913277295</v>
      </c>
      <c r="AA77" s="288">
        <f t="shared" si="81"/>
        <v>0.95763719493509514</v>
      </c>
      <c r="AB77" s="288">
        <f t="shared" si="81"/>
        <v>0.95238095238095233</v>
      </c>
      <c r="AC77" s="288">
        <f t="shared" si="81"/>
        <v>0.94675165719410082</v>
      </c>
      <c r="AD77" s="288">
        <f t="shared" si="81"/>
        <v>0.94074651622750116</v>
      </c>
      <c r="AE77" s="288">
        <f t="shared" si="81"/>
        <v>0.93436427349814022</v>
      </c>
      <c r="AF77" s="288">
        <f t="shared" si="81"/>
        <v>0.92760523495869551</v>
      </c>
      <c r="AG77" s="288">
        <f t="shared" si="81"/>
        <v>0.92047128129602351</v>
      </c>
      <c r="AH77" s="288">
        <f t="shared" si="82"/>
        <v>0.912965868223237</v>
      </c>
      <c r="AI77" s="288">
        <f t="shared" si="82"/>
        <v>0.90509401392541444</v>
      </c>
      <c r="AJ77" s="288">
        <f t="shared" si="82"/>
        <v>0.89686227352433867</v>
      </c>
      <c r="AK77" s="288">
        <f t="shared" si="82"/>
        <v>0.88827870064012915</v>
      </c>
      <c r="AL77" s="288">
        <f t="shared" si="82"/>
        <v>0.87935279634189234</v>
      </c>
      <c r="AM77" s="288">
        <f t="shared" si="82"/>
        <v>0.8700954459900434</v>
      </c>
      <c r="AN77" s="288">
        <f t="shared" si="82"/>
        <v>0.8605188446742833</v>
      </c>
      <c r="AO77" s="288">
        <f t="shared" si="82"/>
        <v>0.85063641213810526</v>
      </c>
      <c r="AP77" s="288">
        <f t="shared" si="82"/>
        <v>0.84046269824834119</v>
      </c>
      <c r="AQ77" s="288">
        <f t="shared" si="82"/>
        <v>0.83001328021248344</v>
      </c>
      <c r="AR77" s="288">
        <f t="shared" si="83"/>
        <v>0.81930465286389587</v>
      </c>
      <c r="AS77" s="288">
        <f t="shared" si="83"/>
        <v>0.80835411342307573</v>
      </c>
      <c r="AT77" s="288">
        <f t="shared" si="83"/>
        <v>0.79717964220026694</v>
      </c>
      <c r="AU77" s="288">
        <f t="shared" si="83"/>
        <v>0.78579978073042911</v>
      </c>
      <c r="AV77" s="288">
        <f t="shared" si="83"/>
        <v>0.77423350882626196</v>
      </c>
      <c r="AW77" s="288">
        <f t="shared" si="83"/>
        <v>0.7625001220000196</v>
      </c>
      <c r="AX77" s="288">
        <f t="shared" si="83"/>
        <v>0.75061911064245779</v>
      </c>
      <c r="AY77" s="288">
        <f t="shared" si="83"/>
        <v>0.73861004226031224</v>
      </c>
      <c r="AZ77" s="288">
        <f t="shared" si="83"/>
        <v>0.72649244796570489</v>
      </c>
      <c r="BA77" s="288">
        <f t="shared" si="83"/>
        <v>0.7142857142857143</v>
      </c>
      <c r="BB77" s="288">
        <f t="shared" si="84"/>
        <v>0.7020089812221022</v>
      </c>
      <c r="BC77" s="288">
        <f t="shared" si="84"/>
        <v>0.68968104734412095</v>
      </c>
      <c r="BD77" s="288">
        <f t="shared" si="84"/>
        <v>0.67732028254551058</v>
      </c>
      <c r="BE77" s="288">
        <f t="shared" si="84"/>
        <v>0.66494454894417443</v>
      </c>
      <c r="BF77" s="288">
        <f t="shared" si="84"/>
        <v>0.65257113025319757</v>
      </c>
      <c r="BG77" s="288">
        <f t="shared" si="84"/>
        <v>0.64021666980799652</v>
      </c>
      <c r="BH77" s="288">
        <f t="shared" si="84"/>
        <v>0.6278971172992186</v>
      </c>
      <c r="BI77" s="288">
        <f t="shared" si="84"/>
        <v>0.61562768413670288</v>
      </c>
      <c r="BJ77" s="288">
        <f t="shared" si="84"/>
        <v>0.60342280725806607</v>
      </c>
      <c r="BK77" s="288">
        <f t="shared" si="84"/>
        <v>0.59129612109744556</v>
      </c>
      <c r="BL77" s="288">
        <f t="shared" si="85"/>
        <v>0.5792604373462642</v>
      </c>
      <c r="BM77" s="288">
        <f t="shared" si="85"/>
        <v>0.56732773206881271</v>
      </c>
      <c r="BN77" s="288">
        <f t="shared" si="85"/>
        <v>0.55550913968077342</v>
      </c>
      <c r="BO77" s="288">
        <f t="shared" si="85"/>
        <v>0.5438149532580171</v>
      </c>
      <c r="BP77" s="288">
        <f t="shared" si="85"/>
        <v>0.53225463061528633</v>
      </c>
      <c r="BQ77" s="288">
        <f t="shared" si="85"/>
        <v>0.52083680557870382</v>
      </c>
      <c r="BR77" s="288">
        <f t="shared" si="85"/>
        <v>0.50956930387125909</v>
      </c>
      <c r="BS77" s="288">
        <f t="shared" si="85"/>
        <v>0.49845916303522553</v>
      </c>
      <c r="BT77" s="288">
        <f t="shared" si="85"/>
        <v>0.4875126558285453</v>
      </c>
      <c r="BU77" s="288">
        <f t="shared" si="85"/>
        <v>0.47673531655225021</v>
      </c>
      <c r="BV77" s="288">
        <f t="shared" si="86"/>
        <v>0.46613196979166505</v>
      </c>
      <c r="BW77" s="288">
        <f t="shared" si="86"/>
        <v>0.45570676108424668</v>
      </c>
      <c r="BX77" s="288">
        <f t="shared" si="86"/>
        <v>0.44546318906027932</v>
      </c>
      <c r="BY77" s="288">
        <f t="shared" si="86"/>
        <v>0.43540413863825089</v>
      </c>
      <c r="BZ77" s="288">
        <f t="shared" si="86"/>
        <v>0.42553191489361702</v>
      </c>
      <c r="CA77" s="290">
        <f t="shared" si="86"/>
        <v>0.41584827725702478</v>
      </c>
      <c r="CB77" s="242"/>
      <c r="CF77" s="268"/>
      <c r="CG77" s="268"/>
      <c r="CI77" s="268"/>
      <c r="CK77" s="238"/>
      <c r="CQ77" s="238"/>
    </row>
    <row r="78" spans="2:95" ht="13.8" thickBot="1">
      <c r="B78" s="274">
        <f t="shared" si="78"/>
        <v>19</v>
      </c>
      <c r="C78" s="234"/>
      <c r="D78" s="273">
        <f t="shared" si="79"/>
        <v>0.99999692467048706</v>
      </c>
      <c r="E78" s="291">
        <f t="shared" si="79"/>
        <v>0.99997539789351297</v>
      </c>
      <c r="F78" s="291">
        <f t="shared" si="79"/>
        <v>0.99991697274188918</v>
      </c>
      <c r="G78" s="291">
        <f t="shared" si="79"/>
        <v>0.99980321703703157</v>
      </c>
      <c r="H78" s="291">
        <f t="shared" si="79"/>
        <v>0.9996157303485923</v>
      </c>
      <c r="I78" s="291">
        <f t="shared" si="79"/>
        <v>0.99933616774831568</v>
      </c>
      <c r="J78" s="291">
        <f t="shared" si="79"/>
        <v>0.99894627025067528</v>
      </c>
      <c r="K78" s="291">
        <f t="shared" si="79"/>
        <v>0.99842790183120322</v>
      </c>
      <c r="L78" s="291">
        <f t="shared" si="79"/>
        <v>0.99776309286193299</v>
      </c>
      <c r="M78" s="291">
        <f t="shared" si="79"/>
        <v>0.99693408974259978</v>
      </c>
      <c r="N78" s="291">
        <f t="shared" si="80"/>
        <v>0.99592341043691779</v>
      </c>
      <c r="O78" s="291">
        <f t="shared" si="80"/>
        <v>0.99471390554641104</v>
      </c>
      <c r="P78" s="291">
        <f t="shared" si="80"/>
        <v>0.99328882447117772</v>
      </c>
      <c r="Q78" s="291">
        <f t="shared" si="80"/>
        <v>0.99163188611919562</v>
      </c>
      <c r="R78" s="291">
        <f t="shared" si="80"/>
        <v>0.98972735353517138</v>
      </c>
      <c r="S78" s="291">
        <f t="shared" si="80"/>
        <v>0.98756011172862623</v>
      </c>
      <c r="T78" s="291">
        <f t="shared" si="80"/>
        <v>0.98511574789128264</v>
      </c>
      <c r="U78" s="291">
        <f t="shared" si="80"/>
        <v>0.98238063310844015</v>
      </c>
      <c r="V78" s="291">
        <f t="shared" si="80"/>
        <v>0.97934200459066556</v>
      </c>
      <c r="W78" s="291">
        <f t="shared" si="80"/>
        <v>0.97598804738358647</v>
      </c>
      <c r="X78" s="291">
        <f t="shared" si="81"/>
        <v>0.97230797445769002</v>
      </c>
      <c r="Y78" s="291">
        <f t="shared" si="81"/>
        <v>0.96829210403952082</v>
      </c>
      <c r="Z78" s="291">
        <f t="shared" si="81"/>
        <v>0.96393193302305025</v>
      </c>
      <c r="AA78" s="291">
        <f t="shared" si="81"/>
        <v>0.95922020529745755</v>
      </c>
      <c r="AB78" s="291">
        <f t="shared" si="81"/>
        <v>0.9541509738469004</v>
      </c>
      <c r="AC78" s="291">
        <f t="shared" si="81"/>
        <v>0.94871965552029425</v>
      </c>
      <c r="AD78" s="291">
        <f t="shared" si="81"/>
        <v>0.9429230774352938</v>
      </c>
      <c r="AE78" s="291">
        <f t="shared" si="81"/>
        <v>0.93675951407051306</v>
      </c>
      <c r="AF78" s="291">
        <f t="shared" si="81"/>
        <v>0.93022871421271169</v>
      </c>
      <c r="AG78" s="291">
        <f t="shared" si="81"/>
        <v>0.92333191705964757</v>
      </c>
      <c r="AH78" s="291">
        <f t="shared" si="82"/>
        <v>0.91607185693222071</v>
      </c>
      <c r="AI78" s="291">
        <f t="shared" si="82"/>
        <v>0.90845275621837829</v>
      </c>
      <c r="AJ78" s="291">
        <f t="shared" si="82"/>
        <v>0.90048030635235377</v>
      </c>
      <c r="AK78" s="291">
        <f t="shared" si="82"/>
        <v>0.89216163682199112</v>
      </c>
      <c r="AL78" s="291">
        <f t="shared" si="82"/>
        <v>0.88350527238960486</v>
      </c>
      <c r="AM78" s="291">
        <f t="shared" si="82"/>
        <v>0.87452107890324682</v>
      </c>
      <c r="AN78" s="291">
        <f t="shared" si="82"/>
        <v>0.86522019826057583</v>
      </c>
      <c r="AO78" s="291">
        <f t="shared" si="82"/>
        <v>0.85561497326203206</v>
      </c>
      <c r="AP78" s="291">
        <f t="shared" si="82"/>
        <v>0.84571886324931966</v>
      </c>
      <c r="AQ78" s="291">
        <f t="shared" si="82"/>
        <v>0.83554635156535506</v>
      </c>
      <c r="AR78" s="291">
        <f t="shared" si="83"/>
        <v>0.82511284598953027</v>
      </c>
      <c r="AS78" s="291">
        <f t="shared" si="83"/>
        <v>0.8144345733947711</v>
      </c>
      <c r="AT78" s="291">
        <f t="shared" si="83"/>
        <v>0.80352846993865856</v>
      </c>
      <c r="AU78" s="291">
        <f t="shared" si="83"/>
        <v>0.79241206813888865</v>
      </c>
      <c r="AV78" s="291">
        <f t="shared" si="83"/>
        <v>0.78110338219351694</v>
      </c>
      <c r="AW78" s="291">
        <f t="shared" si="83"/>
        <v>0.76962079288950735</v>
      </c>
      <c r="AX78" s="291">
        <f t="shared" si="83"/>
        <v>0.75798293340065181</v>
      </c>
      <c r="AY78" s="291">
        <f t="shared" si="83"/>
        <v>0.74620857721012213</v>
      </c>
      <c r="AZ78" s="291">
        <f t="shared" si="83"/>
        <v>0.73431652930656066</v>
      </c>
      <c r="BA78" s="291">
        <f t="shared" si="83"/>
        <v>0.7223255216989235</v>
      </c>
      <c r="BB78" s="291">
        <f t="shared" si="84"/>
        <v>0.71025411417773032</v>
      </c>
      <c r="BC78" s="291">
        <f t="shared" si="84"/>
        <v>0.69812060112265195</v>
      </c>
      <c r="BD78" s="291">
        <f t="shared" si="84"/>
        <v>0.68594292502210497</v>
      </c>
      <c r="BE78" s="291">
        <f t="shared" si="84"/>
        <v>0.67373859723331542</v>
      </c>
      <c r="BF78" s="291">
        <f t="shared" si="84"/>
        <v>0.66152462637449994</v>
      </c>
      <c r="BG78" s="291">
        <f t="shared" si="84"/>
        <v>0.64931745460741808</v>
      </c>
      <c r="BH78" s="291">
        <f t="shared" si="84"/>
        <v>0.63713290194126426</v>
      </c>
      <c r="BI78" s="291">
        <f t="shared" si="84"/>
        <v>0.62498611856990804</v>
      </c>
      <c r="BJ78" s="291">
        <f t="shared" si="84"/>
        <v>0.61289154514566502</v>
      </c>
      <c r="BK78" s="291">
        <f t="shared" si="84"/>
        <v>0.60086288079542716</v>
      </c>
      <c r="BL78" s="291">
        <f t="shared" si="85"/>
        <v>0.58891305859998577</v>
      </c>
      <c r="BM78" s="291">
        <f t="shared" si="85"/>
        <v>0.57705422818523744</v>
      </c>
      <c r="BN78" s="291">
        <f t="shared" si="85"/>
        <v>0.56529774501475749</v>
      </c>
      <c r="BO78" s="291">
        <f t="shared" si="85"/>
        <v>0.55365416592673911</v>
      </c>
      <c r="BP78" s="291">
        <f t="shared" si="85"/>
        <v>0.5421332504239893</v>
      </c>
      <c r="BQ78" s="291">
        <f t="shared" si="85"/>
        <v>0.53074396720282391</v>
      </c>
      <c r="BR78" s="291">
        <f t="shared" si="85"/>
        <v>0.51949450539436959</v>
      </c>
      <c r="BS78" s="291">
        <f t="shared" si="85"/>
        <v>0.50839228998891905</v>
      </c>
      <c r="BT78" s="291">
        <f t="shared" si="85"/>
        <v>0.49744400091947183</v>
      </c>
      <c r="BU78" s="291">
        <f t="shared" si="85"/>
        <v>0.48665559529326208</v>
      </c>
      <c r="BV78" s="291">
        <f t="shared" si="86"/>
        <v>0.47603233227875741</v>
      </c>
      <c r="BW78" s="291">
        <f t="shared" si="86"/>
        <v>0.46557880017919928</v>
      </c>
      <c r="BX78" s="291">
        <f t="shared" si="86"/>
        <v>0.45529894525114606</v>
      </c>
      <c r="BY78" s="291">
        <f t="shared" si="86"/>
        <v>0.44519610185670105</v>
      </c>
      <c r="BZ78" s="291">
        <f t="shared" si="86"/>
        <v>0.43527302357023212</v>
      </c>
      <c r="CA78" s="292">
        <f t="shared" si="86"/>
        <v>0.42553191489361697</v>
      </c>
      <c r="CB78" s="242"/>
      <c r="CF78" s="268"/>
      <c r="CG78" s="268"/>
      <c r="CI78" s="268"/>
      <c r="CK78" s="238"/>
      <c r="CQ78" s="238"/>
    </row>
    <row r="79" spans="2:95" ht="13.8" thickBot="1">
      <c r="B79" s="245"/>
      <c r="C79" s="246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8"/>
    </row>
  </sheetData>
  <conditionalFormatting sqref="D3:CA7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B1:AN22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V1" sqref="V1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22" width="7.21875" style="236" customWidth="1"/>
    <col min="23" max="23" width="3.5546875" style="236" customWidth="1"/>
    <col min="24" max="24" width="3.44140625" style="236" customWidth="1"/>
    <col min="25" max="25" width="8.88671875" style="236"/>
    <col min="26" max="28" width="8.88671875" style="191"/>
    <col min="29" max="31" width="8.88671875" style="236"/>
    <col min="32" max="32" width="6.5546875" style="236" bestFit="1" customWidth="1"/>
    <col min="33" max="33" width="11" style="236" bestFit="1" customWidth="1"/>
    <col min="34" max="34" width="12.5546875" style="236" bestFit="1" customWidth="1"/>
    <col min="35" max="35" width="9.21875" style="236" bestFit="1" customWidth="1"/>
    <col min="36" max="36" width="12.109375" style="236" bestFit="1" customWidth="1"/>
    <col min="37" max="37" width="15" style="236" bestFit="1" customWidth="1"/>
    <col min="38" max="38" width="3.77734375" style="236" bestFit="1" customWidth="1"/>
    <col min="39" max="16384" width="8.88671875" style="236"/>
  </cols>
  <sheetData>
    <row r="1" spans="2:38" ht="13.8" thickBot="1">
      <c r="B1" s="286" t="s">
        <v>606</v>
      </c>
      <c r="D1" s="238" t="s">
        <v>603</v>
      </c>
      <c r="F1" s="269">
        <v>3</v>
      </c>
      <c r="G1" s="236">
        <v>1.35</v>
      </c>
      <c r="I1" s="236" t="s">
        <v>607</v>
      </c>
      <c r="S1" s="236" t="s">
        <v>601</v>
      </c>
      <c r="T1" s="236">
        <v>10</v>
      </c>
      <c r="U1" s="236" t="s">
        <v>454</v>
      </c>
      <c r="V1" s="236">
        <v>1</v>
      </c>
      <c r="AF1" s="238" t="s">
        <v>577</v>
      </c>
    </row>
    <row r="2" spans="2:38" ht="36" customHeight="1" thickBot="1">
      <c r="B2" s="275" t="s">
        <v>605</v>
      </c>
      <c r="C2" s="233"/>
      <c r="D2" s="270">
        <f>$T$1</f>
        <v>10</v>
      </c>
      <c r="E2" s="270">
        <f>D2+$V$1</f>
        <v>11</v>
      </c>
      <c r="F2" s="270">
        <f t="shared" ref="F2:V2" si="0">E2+$V$1</f>
        <v>12</v>
      </c>
      <c r="G2" s="270">
        <f t="shared" si="0"/>
        <v>13</v>
      </c>
      <c r="H2" s="270">
        <f t="shared" si="0"/>
        <v>14</v>
      </c>
      <c r="I2" s="270">
        <f t="shared" si="0"/>
        <v>15</v>
      </c>
      <c r="J2" s="270">
        <f t="shared" si="0"/>
        <v>16</v>
      </c>
      <c r="K2" s="270">
        <f t="shared" si="0"/>
        <v>17</v>
      </c>
      <c r="L2" s="270">
        <f t="shared" si="0"/>
        <v>18</v>
      </c>
      <c r="M2" s="270">
        <f t="shared" si="0"/>
        <v>19</v>
      </c>
      <c r="N2" s="270">
        <f t="shared" si="0"/>
        <v>20</v>
      </c>
      <c r="O2" s="270">
        <f t="shared" si="0"/>
        <v>21</v>
      </c>
      <c r="P2" s="270">
        <f t="shared" si="0"/>
        <v>22</v>
      </c>
      <c r="Q2" s="270">
        <f t="shared" si="0"/>
        <v>23</v>
      </c>
      <c r="R2" s="270">
        <f t="shared" si="0"/>
        <v>24</v>
      </c>
      <c r="S2" s="270">
        <f t="shared" si="0"/>
        <v>25</v>
      </c>
      <c r="T2" s="270">
        <f t="shared" si="0"/>
        <v>26</v>
      </c>
      <c r="U2" s="270">
        <f t="shared" si="0"/>
        <v>27</v>
      </c>
      <c r="V2" s="270">
        <f t="shared" si="0"/>
        <v>28</v>
      </c>
      <c r="W2" s="241"/>
      <c r="Z2" s="239" t="s">
        <v>180</v>
      </c>
      <c r="AA2" s="239" t="s">
        <v>582</v>
      </c>
      <c r="AB2" s="239" t="s">
        <v>583</v>
      </c>
      <c r="AC2" s="238" t="s">
        <v>598</v>
      </c>
      <c r="AD2" s="238" t="s">
        <v>599</v>
      </c>
      <c r="AF2" s="238" t="s">
        <v>576</v>
      </c>
      <c r="AG2" s="236" t="str">
        <f>CONCATENATE("[th]",Z2,"[/th]")</f>
        <v>[th]Rutin[/th]</v>
      </c>
      <c r="AH2" s="236" t="str">
        <f t="shared" ref="AH2:AK2" si="1">CONCATENATE("[th]",AA2,"[/th]")</f>
        <v>[th]Classic[/th]</v>
      </c>
      <c r="AI2" s="236" t="str">
        <f t="shared" si="1"/>
        <v>[th]HO[/th]</v>
      </c>
      <c r="AJ2" s="236" t="str">
        <f t="shared" si="1"/>
        <v>[th]Additiv[/th]</v>
      </c>
      <c r="AK2" s="236" t="str">
        <f t="shared" si="1"/>
        <v>[th]Add @ 18[/th]</v>
      </c>
      <c r="AL2" s="238" t="s">
        <v>578</v>
      </c>
    </row>
    <row r="3" spans="2:38">
      <c r="B3" s="274">
        <f>$T$1</f>
        <v>10</v>
      </c>
      <c r="C3" s="234"/>
      <c r="D3" s="271">
        <f t="shared" ref="D3:M12" si="2">(POWER($B3,$F$1)/(POWER($B3,$F$1)+($G$1*POWER(D$2,$F$1))))</f>
        <v>0.42553191489361702</v>
      </c>
      <c r="E3" s="287">
        <f t="shared" si="2"/>
        <v>0.35754509537515416</v>
      </c>
      <c r="F3" s="287">
        <f t="shared" si="2"/>
        <v>0.30004800768122897</v>
      </c>
      <c r="G3" s="287">
        <f t="shared" si="2"/>
        <v>0.25214639619763235</v>
      </c>
      <c r="H3" s="287">
        <f t="shared" si="2"/>
        <v>0.21256695859195648</v>
      </c>
      <c r="I3" s="287">
        <f t="shared" si="2"/>
        <v>0.17997750281214847</v>
      </c>
      <c r="J3" s="287">
        <f t="shared" si="2"/>
        <v>0.15314873805439844</v>
      </c>
      <c r="K3" s="287">
        <f t="shared" si="2"/>
        <v>0.13101781187152392</v>
      </c>
      <c r="L3" s="287">
        <f t="shared" si="2"/>
        <v>0.11269891358247305</v>
      </c>
      <c r="M3" s="287">
        <f t="shared" si="2"/>
        <v>9.7469211912687065E-2</v>
      </c>
      <c r="N3" s="287">
        <f t="shared" ref="N3:V12" si="3">(POWER($B3,$F$1)/(POWER($B3,$F$1)+($G$1*POWER(N$2,$F$1))))</f>
        <v>8.4745762711864403E-2</v>
      </c>
      <c r="O3" s="287">
        <f t="shared" si="3"/>
        <v>7.4061181942402618E-2</v>
      </c>
      <c r="P3" s="287">
        <f t="shared" si="3"/>
        <v>6.5041496474750882E-2</v>
      </c>
      <c r="Q3" s="287">
        <f t="shared" si="3"/>
        <v>5.7387327156544016E-2</v>
      </c>
      <c r="R3" s="287">
        <f t="shared" si="3"/>
        <v>5.085849133371307E-2</v>
      </c>
      <c r="S3" s="287">
        <f t="shared" si="3"/>
        <v>4.5261669024045263E-2</v>
      </c>
      <c r="T3" s="287">
        <f t="shared" si="3"/>
        <v>4.0440641226807288E-2</v>
      </c>
      <c r="U3" s="287">
        <f t="shared" si="3"/>
        <v>3.6268612598627951E-2</v>
      </c>
      <c r="V3" s="287">
        <f t="shared" si="3"/>
        <v>3.2642189376925888E-2</v>
      </c>
      <c r="W3" s="242"/>
      <c r="Z3" s="191">
        <v>1</v>
      </c>
      <c r="AA3" s="268">
        <f>(1+SQRT((Z3-1))*9/100)</f>
        <v>1</v>
      </c>
      <c r="AB3" s="268">
        <f>(1+0.07161*SQRT((Z3-1)))</f>
        <v>1</v>
      </c>
      <c r="AC3" s="236" t="str">
        <f>CONCATENATE("+",TEXT(100*(4/3*LOG(Z3)),"0,0"),"%")</f>
        <v>+0,0%</v>
      </c>
      <c r="AD3" s="268">
        <f t="shared" ref="AD3:AD4" si="4">(18+(4/3*LOG(Z3)))/18</f>
        <v>1</v>
      </c>
      <c r="AF3" s="238" t="s">
        <v>576</v>
      </c>
      <c r="AG3" s="236" t="str">
        <f>CONCATENATE("[td]",Z3,"[/td]")</f>
        <v>[td]1[/td]</v>
      </c>
      <c r="AH3" s="236" t="str">
        <f>CONCATENATE("[td]",TEXT(AA3,"0%"),"[/td]")</f>
        <v>[td]100%[/td]</v>
      </c>
      <c r="AI3" s="236" t="str">
        <f t="shared" ref="AI3:AK4" si="5">CONCATENATE("[td]",TEXT(AB3,"0%"),"[/td]")</f>
        <v>[td]100%[/td]</v>
      </c>
      <c r="AJ3" s="236" t="str">
        <f>CONCATENATE("[td]",AC3,"[/td]")</f>
        <v>[td]+0,0%[/td]</v>
      </c>
      <c r="AK3" s="236" t="str">
        <f t="shared" si="5"/>
        <v>[td]100%[/td]</v>
      </c>
      <c r="AL3" s="238" t="s">
        <v>578</v>
      </c>
    </row>
    <row r="4" spans="2:38">
      <c r="B4" s="274">
        <f>B3+$V$1</f>
        <v>11</v>
      </c>
      <c r="C4" s="234"/>
      <c r="D4" s="272">
        <f t="shared" si="2"/>
        <v>0.49645654606490114</v>
      </c>
      <c r="E4" s="288">
        <f t="shared" si="2"/>
        <v>0.42553191489361697</v>
      </c>
      <c r="F4" s="288">
        <f t="shared" si="2"/>
        <v>0.36328402205360555</v>
      </c>
      <c r="G4" s="288">
        <f t="shared" si="2"/>
        <v>0.30975459337437011</v>
      </c>
      <c r="H4" s="288">
        <f t="shared" si="2"/>
        <v>0.26432855383882115</v>
      </c>
      <c r="I4" s="288">
        <f t="shared" si="2"/>
        <v>0.22608178691239544</v>
      </c>
      <c r="J4" s="288">
        <f t="shared" si="2"/>
        <v>0.19400635512928896</v>
      </c>
      <c r="K4" s="288">
        <f t="shared" si="2"/>
        <v>0.16713651574988542</v>
      </c>
      <c r="L4" s="288">
        <f t="shared" si="2"/>
        <v>0.14460789639512395</v>
      </c>
      <c r="M4" s="288">
        <f t="shared" si="2"/>
        <v>0.12567689424161876</v>
      </c>
      <c r="N4" s="288">
        <f t="shared" si="3"/>
        <v>0.10971890198664579</v>
      </c>
      <c r="O4" s="288">
        <f t="shared" si="3"/>
        <v>9.6216751546082474E-2</v>
      </c>
      <c r="P4" s="288">
        <f t="shared" si="3"/>
        <v>8.4745762711864403E-2</v>
      </c>
      <c r="Q4" s="288">
        <f t="shared" si="3"/>
        <v>7.4958676987798803E-2</v>
      </c>
      <c r="R4" s="288">
        <f t="shared" si="3"/>
        <v>6.6571968749687391E-2</v>
      </c>
      <c r="S4" s="288">
        <f t="shared" si="3"/>
        <v>5.935406191819307E-2</v>
      </c>
      <c r="T4" s="288">
        <f t="shared" si="3"/>
        <v>5.3115497274388829E-2</v>
      </c>
      <c r="U4" s="288">
        <f t="shared" si="3"/>
        <v>4.7700878577789881E-2</v>
      </c>
      <c r="V4" s="288">
        <f t="shared" si="3"/>
        <v>4.2982348496102198E-2</v>
      </c>
      <c r="W4" s="242"/>
      <c r="Z4" s="191">
        <v>2</v>
      </c>
      <c r="AA4" s="268">
        <f t="shared" ref="AA4" si="6">(1+SQRT((Z4-1))*9/100)</f>
        <v>1.0900000000000001</v>
      </c>
      <c r="AB4" s="268">
        <f t="shared" ref="AB4" si="7">(1+0.07161*SQRT((Z4-1)))</f>
        <v>1.07161</v>
      </c>
      <c r="AC4" s="236" t="str">
        <f>CONCATENATE("+",TEXT(100*(4/3*LOG(Z4)),"0,0"),"%")</f>
        <v>+40,1%</v>
      </c>
      <c r="AD4" s="268">
        <f t="shared" si="4"/>
        <v>1.0222985181973321</v>
      </c>
      <c r="AF4" s="238" t="s">
        <v>576</v>
      </c>
      <c r="AG4" s="236" t="str">
        <f t="shared" ref="AG4" si="8">CONCATENATE("[td]",Z4,"[/td]")</f>
        <v>[td]2[/td]</v>
      </c>
      <c r="AH4" s="236" t="str">
        <f t="shared" ref="AH4" si="9">CONCATENATE("[td]",TEXT(AA4,"0%"),"[/td]")</f>
        <v>[td]109%[/td]</v>
      </c>
      <c r="AI4" s="236" t="str">
        <f t="shared" si="5"/>
        <v>[td]107%[/td]</v>
      </c>
      <c r="AJ4" s="236" t="str">
        <f t="shared" ref="AJ4" si="10">CONCATENATE("[td]",AC4,"[/td]")</f>
        <v>[td]+40,1%[/td]</v>
      </c>
      <c r="AK4" s="236" t="str">
        <f t="shared" si="5"/>
        <v>[td]102%[/td]</v>
      </c>
      <c r="AL4" s="238" t="s">
        <v>578</v>
      </c>
    </row>
    <row r="5" spans="2:38">
      <c r="B5" s="274">
        <f t="shared" ref="B5:B21" si="11">B4+$V$1</f>
        <v>12</v>
      </c>
      <c r="C5" s="234"/>
      <c r="D5" s="272">
        <f t="shared" si="2"/>
        <v>0.56140350877192979</v>
      </c>
      <c r="E5" s="288">
        <f t="shared" si="2"/>
        <v>0.49023362696284944</v>
      </c>
      <c r="F5" s="288">
        <f t="shared" si="2"/>
        <v>0.42553191489361702</v>
      </c>
      <c r="G5" s="288">
        <f t="shared" si="2"/>
        <v>0.36813344837503592</v>
      </c>
      <c r="H5" s="288">
        <f t="shared" si="2"/>
        <v>0.31809145129224653</v>
      </c>
      <c r="I5" s="288">
        <f t="shared" si="2"/>
        <v>0.27497314715359827</v>
      </c>
      <c r="J5" s="288">
        <f t="shared" si="2"/>
        <v>0.23809523809523808</v>
      </c>
      <c r="K5" s="288">
        <f t="shared" si="2"/>
        <v>0.20668496689811078</v>
      </c>
      <c r="L5" s="288">
        <f t="shared" si="2"/>
        <v>0.17997750281214847</v>
      </c>
      <c r="M5" s="288">
        <f t="shared" si="2"/>
        <v>0.15726747757709791</v>
      </c>
      <c r="N5" s="288">
        <f t="shared" si="3"/>
        <v>0.13793103448275862</v>
      </c>
      <c r="O5" s="288">
        <f t="shared" si="3"/>
        <v>0.12143060430699175</v>
      </c>
      <c r="P5" s="288">
        <f t="shared" si="3"/>
        <v>0.1073105298457411</v>
      </c>
      <c r="Q5" s="288">
        <f t="shared" si="3"/>
        <v>9.5188517885030119E-2</v>
      </c>
      <c r="R5" s="288">
        <f t="shared" si="3"/>
        <v>8.4745762711864403E-2</v>
      </c>
      <c r="S5" s="288">
        <f t="shared" si="3"/>
        <v>7.5717243419106767E-2</v>
      </c>
      <c r="T5" s="288">
        <f t="shared" si="3"/>
        <v>6.7882901994060246E-2</v>
      </c>
      <c r="U5" s="288">
        <f t="shared" si="3"/>
        <v>6.1059962791585168E-2</v>
      </c>
      <c r="V5" s="288">
        <f t="shared" si="3"/>
        <v>5.5096418732782371E-2</v>
      </c>
      <c r="W5" s="242"/>
      <c r="Z5" s="191">
        <v>3</v>
      </c>
      <c r="AA5" s="268">
        <f t="shared" ref="AA5:AA21" si="12">(1+SQRT((Z5-1))*9/100)</f>
        <v>1.1272792206135787</v>
      </c>
      <c r="AB5" s="268">
        <f t="shared" ref="AB5:AB21" si="13">(1+0.07161*SQRT((Z5-1)))</f>
        <v>1.1012718332015374</v>
      </c>
      <c r="AC5" s="236" t="str">
        <f t="shared" ref="AC5:AC21" si="14">CONCATENATE("+",TEXT(100*(4/3*LOG(Z5)),"0,0"),"%")</f>
        <v>+63,6%</v>
      </c>
      <c r="AD5" s="268">
        <f t="shared" ref="AD5:AD21" si="15">(18+(4/3*LOG(Z5)))/18</f>
        <v>1.0353423151644194</v>
      </c>
      <c r="AF5" s="238" t="s">
        <v>576</v>
      </c>
      <c r="AG5" s="236" t="str">
        <f t="shared" ref="AG5:AG21" si="16">CONCATENATE("[td]",Z5,"[/td]")</f>
        <v>[td]3[/td]</v>
      </c>
      <c r="AH5" s="236" t="str">
        <f t="shared" ref="AH5:AH21" si="17">CONCATENATE("[td]",TEXT(AA5,"0%"),"[/td]")</f>
        <v>[td]113%[/td]</v>
      </c>
      <c r="AI5" s="236" t="str">
        <f t="shared" ref="AI5:AI21" si="18">CONCATENATE("[td]",TEXT(AB5,"0%"),"[/td]")</f>
        <v>[td]110%[/td]</v>
      </c>
      <c r="AJ5" s="236" t="str">
        <f t="shared" ref="AJ5:AJ21" si="19">CONCATENATE("[td]",AC5,"[/td]")</f>
        <v>[td]+63,6%[/td]</v>
      </c>
      <c r="AK5" s="236" t="str">
        <f t="shared" ref="AK5:AK18" si="20">CONCATENATE("[td]",TEXT(AD5,"0%"),"[/td]")</f>
        <v>[td]104%[/td]</v>
      </c>
      <c r="AL5" s="238" t="s">
        <v>578</v>
      </c>
    </row>
    <row r="6" spans="2:38">
      <c r="B6" s="274">
        <f t="shared" si="11"/>
        <v>13</v>
      </c>
      <c r="C6" s="234"/>
      <c r="D6" s="272">
        <f t="shared" si="2"/>
        <v>0.61939667324499581</v>
      </c>
      <c r="E6" s="288">
        <f t="shared" si="2"/>
        <v>0.55009577224983408</v>
      </c>
      <c r="F6" s="288">
        <f t="shared" si="2"/>
        <v>0.485010375734028</v>
      </c>
      <c r="G6" s="288">
        <f t="shared" si="2"/>
        <v>0.42553191489361697</v>
      </c>
      <c r="H6" s="288">
        <f t="shared" si="2"/>
        <v>0.37228454265089644</v>
      </c>
      <c r="I6" s="288">
        <f t="shared" si="2"/>
        <v>0.32532484359382519</v>
      </c>
      <c r="J6" s="288">
        <f t="shared" si="2"/>
        <v>0.28434240157378404</v>
      </c>
      <c r="K6" s="288">
        <f t="shared" si="2"/>
        <v>0.2488235527291878</v>
      </c>
      <c r="L6" s="288">
        <f t="shared" si="2"/>
        <v>0.21816845742884947</v>
      </c>
      <c r="M6" s="288">
        <f t="shared" si="2"/>
        <v>0.19176635403892059</v>
      </c>
      <c r="N6" s="288">
        <f t="shared" si="3"/>
        <v>0.16903900900207741</v>
      </c>
      <c r="O6" s="288">
        <f t="shared" si="3"/>
        <v>0.14946239119416846</v>
      </c>
      <c r="P6" s="288">
        <f t="shared" si="3"/>
        <v>0.13257461470691173</v>
      </c>
      <c r="Q6" s="288">
        <f t="shared" si="3"/>
        <v>0.1179758839465269</v>
      </c>
      <c r="R6" s="288">
        <f t="shared" si="3"/>
        <v>0.10532421833801547</v>
      </c>
      <c r="S6" s="288">
        <f t="shared" si="3"/>
        <v>9.4329293818361373E-2</v>
      </c>
      <c r="T6" s="288">
        <f t="shared" si="3"/>
        <v>8.4745762711864403E-2</v>
      </c>
      <c r="U6" s="288">
        <f t="shared" si="3"/>
        <v>7.6366790005231305E-2</v>
      </c>
      <c r="V6" s="288">
        <f t="shared" si="3"/>
        <v>6.901816399746169E-2</v>
      </c>
      <c r="W6" s="242"/>
      <c r="Z6" s="191">
        <v>4</v>
      </c>
      <c r="AA6" s="268">
        <f t="shared" si="12"/>
        <v>1.1558845726811988</v>
      </c>
      <c r="AB6" s="268">
        <f t="shared" si="13"/>
        <v>1.1240321583300072</v>
      </c>
      <c r="AC6" s="236" t="str">
        <f t="shared" si="14"/>
        <v>+80,3%</v>
      </c>
      <c r="AD6" s="268">
        <f t="shared" si="15"/>
        <v>1.0445970363946637</v>
      </c>
      <c r="AF6" s="238" t="s">
        <v>576</v>
      </c>
      <c r="AG6" s="236" t="str">
        <f t="shared" si="16"/>
        <v>[td]4[/td]</v>
      </c>
      <c r="AH6" s="236" t="str">
        <f t="shared" si="17"/>
        <v>[td]116%[/td]</v>
      </c>
      <c r="AI6" s="236" t="str">
        <f t="shared" si="18"/>
        <v>[td]112%[/td]</v>
      </c>
      <c r="AJ6" s="236" t="str">
        <f t="shared" si="19"/>
        <v>[td]+80,3%[/td]</v>
      </c>
      <c r="AK6" s="236" t="str">
        <f t="shared" si="20"/>
        <v>[td]104%[/td]</v>
      </c>
      <c r="AL6" s="238" t="s">
        <v>578</v>
      </c>
    </row>
    <row r="7" spans="2:38">
      <c r="B7" s="274">
        <f t="shared" si="11"/>
        <v>14</v>
      </c>
      <c r="C7" s="234"/>
      <c r="D7" s="272">
        <f t="shared" si="2"/>
        <v>0.67024914509037614</v>
      </c>
      <c r="E7" s="288">
        <f t="shared" si="2"/>
        <v>0.60429214794586916</v>
      </c>
      <c r="F7" s="288">
        <f t="shared" si="2"/>
        <v>0.54049795146549007</v>
      </c>
      <c r="G7" s="288">
        <f t="shared" si="2"/>
        <v>0.48056462841180742</v>
      </c>
      <c r="H7" s="288">
        <f t="shared" si="2"/>
        <v>0.42553191489361702</v>
      </c>
      <c r="I7" s="288">
        <f t="shared" si="2"/>
        <v>0.37587753844046434</v>
      </c>
      <c r="J7" s="288">
        <f t="shared" si="2"/>
        <v>0.33165731966737572</v>
      </c>
      <c r="K7" s="288">
        <f t="shared" si="2"/>
        <v>0.2926449493683711</v>
      </c>
      <c r="L7" s="288">
        <f t="shared" si="2"/>
        <v>0.25844855517462229</v>
      </c>
      <c r="M7" s="288">
        <f t="shared" si="2"/>
        <v>0.22859713503809256</v>
      </c>
      <c r="N7" s="288">
        <f t="shared" si="3"/>
        <v>0.2025989367985824</v>
      </c>
      <c r="O7" s="288">
        <f t="shared" si="3"/>
        <v>0.17997750281214847</v>
      </c>
      <c r="P7" s="288">
        <f t="shared" si="3"/>
        <v>0.16029160922494565</v>
      </c>
      <c r="Q7" s="288">
        <f t="shared" si="3"/>
        <v>0.14314443033055199</v>
      </c>
      <c r="R7" s="288">
        <f t="shared" si="3"/>
        <v>0.1281859630764631</v>
      </c>
      <c r="S7" s="288">
        <f t="shared" si="3"/>
        <v>0.11511153527493156</v>
      </c>
      <c r="T7" s="288">
        <f t="shared" si="3"/>
        <v>0.10365826017316671</v>
      </c>
      <c r="U7" s="288">
        <f t="shared" si="3"/>
        <v>9.3600604447052038E-2</v>
      </c>
      <c r="V7" s="288">
        <f t="shared" si="3"/>
        <v>8.4745762711864403E-2</v>
      </c>
      <c r="W7" s="242"/>
      <c r="Z7" s="191">
        <v>5</v>
      </c>
      <c r="AA7" s="268">
        <f t="shared" si="12"/>
        <v>1.18</v>
      </c>
      <c r="AB7" s="268">
        <f t="shared" si="13"/>
        <v>1.1432199999999999</v>
      </c>
      <c r="AC7" s="236" t="str">
        <f t="shared" si="14"/>
        <v>+93,2%</v>
      </c>
      <c r="AD7" s="268">
        <f t="shared" si="15"/>
        <v>1.0517755558767421</v>
      </c>
      <c r="AF7" s="238" t="s">
        <v>576</v>
      </c>
      <c r="AG7" s="236" t="str">
        <f t="shared" si="16"/>
        <v>[td]5[/td]</v>
      </c>
      <c r="AH7" s="236" t="str">
        <f t="shared" si="17"/>
        <v>[td]118%[/td]</v>
      </c>
      <c r="AI7" s="236" t="str">
        <f t="shared" si="18"/>
        <v>[td]114%[/td]</v>
      </c>
      <c r="AJ7" s="236" t="str">
        <f t="shared" si="19"/>
        <v>[td]+93,2%[/td]</v>
      </c>
      <c r="AK7" s="236" t="str">
        <f t="shared" si="20"/>
        <v>[td]105%[/td]</v>
      </c>
      <c r="AL7" s="238" t="s">
        <v>578</v>
      </c>
    </row>
    <row r="8" spans="2:38">
      <c r="B8" s="274">
        <f t="shared" si="11"/>
        <v>15</v>
      </c>
      <c r="C8" s="234"/>
      <c r="D8" s="272">
        <f t="shared" si="2"/>
        <v>0.7142857142857143</v>
      </c>
      <c r="E8" s="288">
        <f t="shared" si="2"/>
        <v>0.65257113025319757</v>
      </c>
      <c r="F8" s="288">
        <f t="shared" si="2"/>
        <v>0.59129612109744556</v>
      </c>
      <c r="G8" s="288">
        <f t="shared" si="2"/>
        <v>0.53225463061528633</v>
      </c>
      <c r="H8" s="288">
        <f t="shared" si="2"/>
        <v>0.47673531655225021</v>
      </c>
      <c r="I8" s="288">
        <f t="shared" si="2"/>
        <v>0.42553191489361702</v>
      </c>
      <c r="J8" s="288">
        <f t="shared" si="2"/>
        <v>0.37901758641600969</v>
      </c>
      <c r="K8" s="288">
        <f t="shared" si="2"/>
        <v>0.3372453797382976</v>
      </c>
      <c r="L8" s="288">
        <f t="shared" si="2"/>
        <v>0.30004800768122897</v>
      </c>
      <c r="M8" s="288">
        <f t="shared" si="2"/>
        <v>0.26712255582861416</v>
      </c>
      <c r="N8" s="288">
        <f t="shared" si="3"/>
        <v>0.23809523809523808</v>
      </c>
      <c r="O8" s="288">
        <f t="shared" si="3"/>
        <v>0.21256695859195646</v>
      </c>
      <c r="P8" s="288">
        <f t="shared" si="3"/>
        <v>0.19014298752661998</v>
      </c>
      <c r="Q8" s="288">
        <f t="shared" si="3"/>
        <v>0.170450671575646</v>
      </c>
      <c r="R8" s="288">
        <f t="shared" si="3"/>
        <v>0.15314873805439841</v>
      </c>
      <c r="S8" s="288">
        <f t="shared" si="3"/>
        <v>0.13793103448275862</v>
      </c>
      <c r="T8" s="288">
        <f t="shared" si="3"/>
        <v>0.12452679816696552</v>
      </c>
      <c r="U8" s="288">
        <f t="shared" si="3"/>
        <v>0.11269891358247305</v>
      </c>
      <c r="V8" s="288">
        <f t="shared" si="3"/>
        <v>0.10224112547030918</v>
      </c>
      <c r="W8" s="242"/>
      <c r="Z8" s="191">
        <v>6</v>
      </c>
      <c r="AA8" s="268">
        <f t="shared" si="12"/>
        <v>1.2012461179749812</v>
      </c>
      <c r="AB8" s="268">
        <f t="shared" si="13"/>
        <v>1.1601248278687599</v>
      </c>
      <c r="AC8" s="236" t="str">
        <f t="shared" si="14"/>
        <v>+103,8%</v>
      </c>
      <c r="AD8" s="268">
        <f t="shared" si="15"/>
        <v>1.0576408333617513</v>
      </c>
      <c r="AF8" s="238" t="s">
        <v>576</v>
      </c>
      <c r="AG8" s="236" t="str">
        <f t="shared" si="16"/>
        <v>[td]6[/td]</v>
      </c>
      <c r="AH8" s="236" t="str">
        <f t="shared" si="17"/>
        <v>[td]120%[/td]</v>
      </c>
      <c r="AI8" s="236" t="str">
        <f t="shared" si="18"/>
        <v>[td]116%[/td]</v>
      </c>
      <c r="AJ8" s="236" t="str">
        <f t="shared" si="19"/>
        <v>[td]+103,8%[/td]</v>
      </c>
      <c r="AK8" s="236" t="str">
        <f t="shared" si="20"/>
        <v>[td]106%[/td]</v>
      </c>
      <c r="AL8" s="238" t="s">
        <v>578</v>
      </c>
    </row>
    <row r="9" spans="2:38">
      <c r="B9" s="274">
        <f t="shared" si="11"/>
        <v>16</v>
      </c>
      <c r="C9" s="234"/>
      <c r="D9" s="272">
        <f t="shared" si="2"/>
        <v>0.75211164157179577</v>
      </c>
      <c r="E9" s="288">
        <f t="shared" si="2"/>
        <v>0.69507963039955201</v>
      </c>
      <c r="F9" s="288">
        <f t="shared" si="2"/>
        <v>0.63713290194126426</v>
      </c>
      <c r="G9" s="288">
        <f t="shared" si="2"/>
        <v>0.58000977067240633</v>
      </c>
      <c r="H9" s="288">
        <f t="shared" si="2"/>
        <v>0.52510127685759711</v>
      </c>
      <c r="I9" s="288">
        <f t="shared" si="2"/>
        <v>0.47340287208529575</v>
      </c>
      <c r="J9" s="288">
        <f t="shared" si="2"/>
        <v>0.42553191489361702</v>
      </c>
      <c r="K9" s="288">
        <f t="shared" si="2"/>
        <v>0.38178505016987385</v>
      </c>
      <c r="L9" s="288">
        <f t="shared" si="2"/>
        <v>0.34221167663670082</v>
      </c>
      <c r="M9" s="288">
        <f t="shared" si="2"/>
        <v>0.30668668316405412</v>
      </c>
      <c r="N9" s="288">
        <f t="shared" si="3"/>
        <v>0.27497314715359827</v>
      </c>
      <c r="O9" s="288">
        <f t="shared" si="3"/>
        <v>0.2467715164459118</v>
      </c>
      <c r="P9" s="288">
        <f t="shared" si="3"/>
        <v>0.22175541936461871</v>
      </c>
      <c r="Q9" s="288">
        <f t="shared" si="3"/>
        <v>0.19959603244410115</v>
      </c>
      <c r="R9" s="288">
        <f t="shared" si="3"/>
        <v>0.17997750281214847</v>
      </c>
      <c r="S9" s="288">
        <f t="shared" si="3"/>
        <v>0.16260582181244354</v>
      </c>
      <c r="T9" s="288">
        <f t="shared" si="3"/>
        <v>0.14721315717592259</v>
      </c>
      <c r="U9" s="288">
        <f t="shared" si="3"/>
        <v>0.13355919271032882</v>
      </c>
      <c r="V9" s="288">
        <f t="shared" si="3"/>
        <v>0.12143060430699176</v>
      </c>
      <c r="W9" s="242"/>
      <c r="Z9" s="191">
        <v>7</v>
      </c>
      <c r="AA9" s="268">
        <f t="shared" si="12"/>
        <v>1.2204540768504861</v>
      </c>
      <c r="AB9" s="268">
        <f t="shared" si="13"/>
        <v>1.1754079604807033</v>
      </c>
      <c r="AC9" s="236" t="str">
        <f t="shared" si="14"/>
        <v>+112,7%</v>
      </c>
      <c r="AD9" s="268">
        <f t="shared" si="15"/>
        <v>1.062599854815871</v>
      </c>
      <c r="AF9" s="238" t="s">
        <v>576</v>
      </c>
      <c r="AG9" s="236" t="str">
        <f t="shared" si="16"/>
        <v>[td]7[/td]</v>
      </c>
      <c r="AH9" s="236" t="str">
        <f t="shared" si="17"/>
        <v>[td]122%[/td]</v>
      </c>
      <c r="AI9" s="236" t="str">
        <f t="shared" si="18"/>
        <v>[td]118%[/td]</v>
      </c>
      <c r="AJ9" s="236" t="str">
        <f t="shared" si="19"/>
        <v>[td]+112,7%[/td]</v>
      </c>
      <c r="AK9" s="236" t="str">
        <f t="shared" si="20"/>
        <v>[td]106%[/td]</v>
      </c>
      <c r="AL9" s="238" t="s">
        <v>578</v>
      </c>
    </row>
    <row r="10" spans="2:38">
      <c r="B10" s="274">
        <f t="shared" si="11"/>
        <v>17</v>
      </c>
      <c r="C10" s="234"/>
      <c r="D10" s="272">
        <f t="shared" si="2"/>
        <v>0.78444834743733038</v>
      </c>
      <c r="E10" s="288">
        <f t="shared" si="2"/>
        <v>0.73220712832626655</v>
      </c>
      <c r="F10" s="288">
        <f t="shared" si="2"/>
        <v>0.67804797261862038</v>
      </c>
      <c r="G10" s="288">
        <f t="shared" si="2"/>
        <v>0.62356024597186166</v>
      </c>
      <c r="H10" s="288">
        <f t="shared" si="2"/>
        <v>0.57012555991366309</v>
      </c>
      <c r="I10" s="288">
        <f t="shared" si="2"/>
        <v>0.51883728912004645</v>
      </c>
      <c r="J10" s="288">
        <f t="shared" si="2"/>
        <v>0.47047670120468082</v>
      </c>
      <c r="K10" s="288">
        <f t="shared" si="2"/>
        <v>0.42553191489361702</v>
      </c>
      <c r="L10" s="288">
        <f t="shared" si="2"/>
        <v>0.3842423863227542</v>
      </c>
      <c r="M10" s="288">
        <f t="shared" si="2"/>
        <v>0.34665358983676303</v>
      </c>
      <c r="N10" s="288">
        <f t="shared" si="3"/>
        <v>0.31267103672118629</v>
      </c>
      <c r="O10" s="288">
        <f t="shared" si="3"/>
        <v>0.28210745118530495</v>
      </c>
      <c r="P10" s="288">
        <f t="shared" si="3"/>
        <v>0.25472060058689944</v>
      </c>
      <c r="Q10" s="288">
        <f t="shared" si="3"/>
        <v>0.23024165297854343</v>
      </c>
      <c r="R10" s="288">
        <f t="shared" si="3"/>
        <v>0.20839519159802167</v>
      </c>
      <c r="S10" s="288">
        <f t="shared" si="3"/>
        <v>0.1889124938717833</v>
      </c>
      <c r="T10" s="288">
        <f t="shared" si="3"/>
        <v>0.1715397023805367</v>
      </c>
      <c r="U10" s="288">
        <f t="shared" si="3"/>
        <v>0.15604231214497039</v>
      </c>
      <c r="V10" s="288">
        <f t="shared" si="3"/>
        <v>0.14220711932893756</v>
      </c>
      <c r="W10" s="242"/>
      <c r="Z10" s="191">
        <v>8</v>
      </c>
      <c r="AA10" s="268">
        <f t="shared" si="12"/>
        <v>1.2381176179958131</v>
      </c>
      <c r="AB10" s="268">
        <f t="shared" si="13"/>
        <v>1.1894622513853352</v>
      </c>
      <c r="AC10" s="236" t="str">
        <f t="shared" si="14"/>
        <v>+120,4%</v>
      </c>
      <c r="AD10" s="268">
        <f t="shared" si="15"/>
        <v>1.0668955545919958</v>
      </c>
      <c r="AF10" s="238" t="s">
        <v>576</v>
      </c>
      <c r="AG10" s="236" t="str">
        <f t="shared" si="16"/>
        <v>[td]8[/td]</v>
      </c>
      <c r="AH10" s="236" t="str">
        <f t="shared" si="17"/>
        <v>[td]124%[/td]</v>
      </c>
      <c r="AI10" s="236" t="str">
        <f t="shared" si="18"/>
        <v>[td]119%[/td]</v>
      </c>
      <c r="AJ10" s="236" t="str">
        <f t="shared" si="19"/>
        <v>[td]+120,4%[/td]</v>
      </c>
      <c r="AK10" s="236" t="str">
        <f t="shared" si="20"/>
        <v>[td]107%[/td]</v>
      </c>
      <c r="AL10" s="238" t="s">
        <v>578</v>
      </c>
    </row>
    <row r="11" spans="2:38">
      <c r="B11" s="274">
        <f t="shared" si="11"/>
        <v>18</v>
      </c>
      <c r="C11" s="234"/>
      <c r="D11" s="272">
        <f t="shared" si="2"/>
        <v>0.81203007518796988</v>
      </c>
      <c r="E11" s="288">
        <f t="shared" si="2"/>
        <v>0.76446646611219249</v>
      </c>
      <c r="F11" s="288">
        <f t="shared" si="2"/>
        <v>0.7142857142857143</v>
      </c>
      <c r="G11" s="288">
        <f t="shared" si="2"/>
        <v>0.66288169403099584</v>
      </c>
      <c r="H11" s="288">
        <f t="shared" si="2"/>
        <v>0.61155152887882225</v>
      </c>
      <c r="I11" s="288">
        <f t="shared" si="2"/>
        <v>0.56140350877192979</v>
      </c>
      <c r="J11" s="288">
        <f t="shared" si="2"/>
        <v>0.51330798479087447</v>
      </c>
      <c r="K11" s="288">
        <f t="shared" si="2"/>
        <v>0.46788692732589626</v>
      </c>
      <c r="L11" s="288">
        <f t="shared" si="2"/>
        <v>0.42553191489361702</v>
      </c>
      <c r="M11" s="288">
        <f t="shared" si="2"/>
        <v>0.38643885857411214</v>
      </c>
      <c r="N11" s="288">
        <f t="shared" si="3"/>
        <v>0.35064935064935066</v>
      </c>
      <c r="O11" s="288">
        <f t="shared" si="3"/>
        <v>0.31809145129224653</v>
      </c>
      <c r="P11" s="288">
        <f t="shared" si="3"/>
        <v>0.28861571352218063</v>
      </c>
      <c r="Q11" s="288">
        <f t="shared" si="3"/>
        <v>0.26202462546248556</v>
      </c>
      <c r="R11" s="288">
        <f t="shared" si="3"/>
        <v>0.23809523809523808</v>
      </c>
      <c r="S11" s="288">
        <f t="shared" si="3"/>
        <v>0.2165956380045124</v>
      </c>
      <c r="T11" s="288">
        <f t="shared" si="3"/>
        <v>0.19729630982827912</v>
      </c>
      <c r="U11" s="288">
        <f t="shared" si="3"/>
        <v>0.17997750281214847</v>
      </c>
      <c r="V11" s="288">
        <f t="shared" si="3"/>
        <v>0.16443361753958588</v>
      </c>
      <c r="W11" s="242"/>
      <c r="Z11" s="191">
        <v>9</v>
      </c>
      <c r="AA11" s="268">
        <f t="shared" si="12"/>
        <v>1.2545584412271571</v>
      </c>
      <c r="AB11" s="268">
        <f t="shared" si="13"/>
        <v>1.2025436664030746</v>
      </c>
      <c r="AC11" s="236" t="str">
        <f t="shared" si="14"/>
        <v>+127,2%</v>
      </c>
      <c r="AD11" s="268">
        <f t="shared" si="15"/>
        <v>1.0706846303288389</v>
      </c>
      <c r="AF11" s="238" t="s">
        <v>576</v>
      </c>
      <c r="AG11" s="236" t="str">
        <f t="shared" si="16"/>
        <v>[td]9[/td]</v>
      </c>
      <c r="AH11" s="236" t="str">
        <f t="shared" si="17"/>
        <v>[td]125%[/td]</v>
      </c>
      <c r="AI11" s="236" t="str">
        <f t="shared" si="18"/>
        <v>[td]120%[/td]</v>
      </c>
      <c r="AJ11" s="236" t="str">
        <f t="shared" si="19"/>
        <v>[td]+127,2%[/td]</v>
      </c>
      <c r="AK11" s="236" t="str">
        <f t="shared" si="20"/>
        <v>[td]107%[/td]</v>
      </c>
      <c r="AL11" s="238" t="s">
        <v>578</v>
      </c>
    </row>
    <row r="12" spans="2:38">
      <c r="B12" s="274">
        <f t="shared" si="11"/>
        <v>19</v>
      </c>
      <c r="C12" s="234"/>
      <c r="D12" s="272">
        <f t="shared" si="2"/>
        <v>0.83554635156535506</v>
      </c>
      <c r="E12" s="288">
        <f t="shared" si="2"/>
        <v>0.79241206813888865</v>
      </c>
      <c r="F12" s="288">
        <f t="shared" si="2"/>
        <v>0.74620857721012213</v>
      </c>
      <c r="G12" s="288">
        <f t="shared" si="2"/>
        <v>0.69812060112265195</v>
      </c>
      <c r="H12" s="288">
        <f t="shared" si="2"/>
        <v>0.64931745460741808</v>
      </c>
      <c r="I12" s="288">
        <f t="shared" si="2"/>
        <v>0.60086288079542716</v>
      </c>
      <c r="J12" s="288">
        <f t="shared" si="2"/>
        <v>0.55365416592673911</v>
      </c>
      <c r="K12" s="288">
        <f t="shared" si="2"/>
        <v>0.50839228998891905</v>
      </c>
      <c r="L12" s="288">
        <f t="shared" si="2"/>
        <v>0.46557880017919928</v>
      </c>
      <c r="M12" s="288">
        <f t="shared" si="2"/>
        <v>0.42553191489361697</v>
      </c>
      <c r="N12" s="288">
        <f t="shared" si="3"/>
        <v>0.3884138399682881</v>
      </c>
      <c r="O12" s="288">
        <f t="shared" si="3"/>
        <v>0.35426248686171163</v>
      </c>
      <c r="P12" s="288">
        <f t="shared" si="3"/>
        <v>0.32302272791492803</v>
      </c>
      <c r="Q12" s="288">
        <f t="shared" si="3"/>
        <v>0.29457427596529012</v>
      </c>
      <c r="R12" s="288">
        <f t="shared" si="3"/>
        <v>0.26875484887192708</v>
      </c>
      <c r="S12" s="288">
        <f t="shared" si="3"/>
        <v>0.24537836169965388</v>
      </c>
      <c r="T12" s="288">
        <f t="shared" si="3"/>
        <v>0.22424852713279669</v>
      </c>
      <c r="U12" s="288">
        <f t="shared" si="3"/>
        <v>0.2051685484003643</v>
      </c>
      <c r="V12" s="288">
        <f t="shared" si="3"/>
        <v>0.18794767387694483</v>
      </c>
      <c r="W12" s="242"/>
      <c r="Z12" s="191">
        <v>10</v>
      </c>
      <c r="AA12" s="268">
        <f t="shared" si="12"/>
        <v>1.27</v>
      </c>
      <c r="AB12" s="268">
        <f t="shared" si="13"/>
        <v>1.2148300000000001</v>
      </c>
      <c r="AC12" s="236" t="str">
        <f t="shared" si="14"/>
        <v>+133,3%</v>
      </c>
      <c r="AD12" s="268">
        <f t="shared" si="15"/>
        <v>1.074074074074074</v>
      </c>
      <c r="AF12" s="238" t="s">
        <v>576</v>
      </c>
      <c r="AG12" s="236" t="str">
        <f t="shared" si="16"/>
        <v>[td]10[/td]</v>
      </c>
      <c r="AH12" s="236" t="str">
        <f t="shared" si="17"/>
        <v>[td]127%[/td]</v>
      </c>
      <c r="AI12" s="236" t="str">
        <f t="shared" si="18"/>
        <v>[td]121%[/td]</v>
      </c>
      <c r="AJ12" s="236" t="str">
        <f t="shared" si="19"/>
        <v>[td]+133,3%[/td]</v>
      </c>
      <c r="AK12" s="236" t="str">
        <f t="shared" si="20"/>
        <v>[td]107%[/td]</v>
      </c>
      <c r="AL12" s="238" t="s">
        <v>578</v>
      </c>
    </row>
    <row r="13" spans="2:38">
      <c r="B13" s="274">
        <f t="shared" si="11"/>
        <v>20</v>
      </c>
      <c r="C13" s="234"/>
      <c r="D13" s="272">
        <f t="shared" ref="D13:M21" si="21">(POWER($B13,$F$1)/(POWER($B13,$F$1)+($G$1*POWER(D$2,$F$1))))</f>
        <v>0.85561497326203206</v>
      </c>
      <c r="E13" s="288">
        <f t="shared" si="21"/>
        <v>0.8165890056497751</v>
      </c>
      <c r="F13" s="288">
        <f t="shared" si="21"/>
        <v>0.77423350882626207</v>
      </c>
      <c r="G13" s="288">
        <f t="shared" si="21"/>
        <v>0.72953095719021144</v>
      </c>
      <c r="H13" s="288">
        <f t="shared" si="21"/>
        <v>0.68350363965688121</v>
      </c>
      <c r="I13" s="288">
        <f t="shared" si="21"/>
        <v>0.63713290194126426</v>
      </c>
      <c r="J13" s="288">
        <f t="shared" si="21"/>
        <v>0.59129612109744556</v>
      </c>
      <c r="K13" s="288">
        <f t="shared" si="21"/>
        <v>0.54672630539448019</v>
      </c>
      <c r="L13" s="288">
        <f t="shared" si="21"/>
        <v>0.50399415366781741</v>
      </c>
      <c r="M13" s="288">
        <f t="shared" si="21"/>
        <v>0.4635088197037599</v>
      </c>
      <c r="N13" s="288">
        <f t="shared" ref="N13:V21" si="22">(POWER($B13,$F$1)/(POWER($B13,$F$1)+($G$1*POWER(N$2,$F$1))))</f>
        <v>0.42553191489361702</v>
      </c>
      <c r="O13" s="288">
        <f t="shared" si="22"/>
        <v>0.39019917229000578</v>
      </c>
      <c r="P13" s="288">
        <f t="shared" si="22"/>
        <v>0.35754509537515416</v>
      </c>
      <c r="Q13" s="288">
        <f t="shared" si="22"/>
        <v>0.3275272308186748</v>
      </c>
      <c r="R13" s="288">
        <f t="shared" si="22"/>
        <v>0.30004800768122897</v>
      </c>
      <c r="S13" s="288">
        <f t="shared" si="22"/>
        <v>0.27497314715359827</v>
      </c>
      <c r="T13" s="288">
        <f t="shared" si="22"/>
        <v>0.25214639619763235</v>
      </c>
      <c r="U13" s="288">
        <f t="shared" si="22"/>
        <v>0.23140079920051021</v>
      </c>
      <c r="V13" s="288">
        <f t="shared" si="22"/>
        <v>0.21256695859195648</v>
      </c>
      <c r="W13" s="242"/>
      <c r="Z13" s="191">
        <v>11</v>
      </c>
      <c r="AA13" s="268">
        <f t="shared" si="12"/>
        <v>1.2846049894151541</v>
      </c>
      <c r="AB13" s="268">
        <f t="shared" si="13"/>
        <v>1.2264507032446577</v>
      </c>
      <c r="AC13" s="236" t="str">
        <f t="shared" si="14"/>
        <v>+138,9%</v>
      </c>
      <c r="AD13" s="268">
        <f t="shared" si="15"/>
        <v>1.0771401989006093</v>
      </c>
      <c r="AF13" s="238" t="s">
        <v>576</v>
      </c>
      <c r="AG13" s="236" t="str">
        <f t="shared" si="16"/>
        <v>[td]11[/td]</v>
      </c>
      <c r="AH13" s="236" t="str">
        <f t="shared" si="17"/>
        <v>[td]128%[/td]</v>
      </c>
      <c r="AI13" s="236" t="str">
        <f t="shared" si="18"/>
        <v>[td]123%[/td]</v>
      </c>
      <c r="AJ13" s="236" t="str">
        <f t="shared" si="19"/>
        <v>[td]+138,9%[/td]</v>
      </c>
      <c r="AK13" s="236" t="str">
        <f t="shared" si="20"/>
        <v>[td]108%[/td]</v>
      </c>
      <c r="AL13" s="238" t="s">
        <v>578</v>
      </c>
    </row>
    <row r="14" spans="2:38">
      <c r="B14" s="274">
        <f t="shared" si="11"/>
        <v>21</v>
      </c>
      <c r="C14" s="234"/>
      <c r="D14" s="272">
        <f t="shared" si="21"/>
        <v>0.87277353689567427</v>
      </c>
      <c r="E14" s="288">
        <f t="shared" si="21"/>
        <v>0.83750457819558044</v>
      </c>
      <c r="F14" s="288">
        <f t="shared" si="21"/>
        <v>0.79878900791802521</v>
      </c>
      <c r="G14" s="288">
        <f t="shared" si="21"/>
        <v>0.7574251959810091</v>
      </c>
      <c r="H14" s="288">
        <f t="shared" si="21"/>
        <v>0.7142857142857143</v>
      </c>
      <c r="I14" s="288">
        <f t="shared" si="21"/>
        <v>0.67024914509037614</v>
      </c>
      <c r="J14" s="288">
        <f t="shared" si="21"/>
        <v>0.62614092734574656</v>
      </c>
      <c r="K14" s="288">
        <f t="shared" si="21"/>
        <v>0.5826892041111017</v>
      </c>
      <c r="L14" s="288">
        <f t="shared" si="21"/>
        <v>0.54049795146549007</v>
      </c>
      <c r="M14" s="288">
        <f t="shared" si="21"/>
        <v>0.50003644580508777</v>
      </c>
      <c r="N14" s="288">
        <f t="shared" si="22"/>
        <v>0.4616419919246299</v>
      </c>
      <c r="O14" s="288">
        <f t="shared" si="22"/>
        <v>0.42553191489361702</v>
      </c>
      <c r="P14" s="288">
        <f t="shared" si="22"/>
        <v>0.39182088188256792</v>
      </c>
      <c r="Q14" s="288">
        <f t="shared" si="22"/>
        <v>0.36054028485835915</v>
      </c>
      <c r="R14" s="288">
        <f t="shared" si="22"/>
        <v>0.33165731966737572</v>
      </c>
      <c r="S14" s="288">
        <f t="shared" si="22"/>
        <v>0.3050922837447187</v>
      </c>
      <c r="T14" s="288">
        <f t="shared" si="22"/>
        <v>0.28073334424619412</v>
      </c>
      <c r="U14" s="288">
        <f t="shared" si="22"/>
        <v>0.25844855517462229</v>
      </c>
      <c r="V14" s="288">
        <f t="shared" si="22"/>
        <v>0.23809523809523811</v>
      </c>
      <c r="W14" s="242"/>
      <c r="Z14" s="191">
        <v>12</v>
      </c>
      <c r="AA14" s="268">
        <f t="shared" si="12"/>
        <v>1.2984962311319861</v>
      </c>
      <c r="AB14" s="268">
        <f t="shared" si="13"/>
        <v>1.2375035012373501</v>
      </c>
      <c r="AC14" s="236" t="str">
        <f t="shared" si="14"/>
        <v>+143,9%</v>
      </c>
      <c r="AD14" s="268">
        <f t="shared" si="15"/>
        <v>1.0799393515590834</v>
      </c>
      <c r="AF14" s="238" t="s">
        <v>576</v>
      </c>
      <c r="AG14" s="236" t="str">
        <f t="shared" si="16"/>
        <v>[td]12[/td]</v>
      </c>
      <c r="AH14" s="236" t="str">
        <f t="shared" si="17"/>
        <v>[td]130%[/td]</v>
      </c>
      <c r="AI14" s="236" t="str">
        <f t="shared" si="18"/>
        <v>[td]124%[/td]</v>
      </c>
      <c r="AJ14" s="236" t="str">
        <f t="shared" si="19"/>
        <v>[td]+143,9%[/td]</v>
      </c>
      <c r="AK14" s="236" t="str">
        <f t="shared" si="20"/>
        <v>[td]108%[/td]</v>
      </c>
      <c r="AL14" s="238" t="s">
        <v>578</v>
      </c>
    </row>
    <row r="15" spans="2:38">
      <c r="B15" s="274">
        <f t="shared" si="11"/>
        <v>22</v>
      </c>
      <c r="C15" s="234"/>
      <c r="D15" s="272">
        <f t="shared" si="21"/>
        <v>0.88748124687447905</v>
      </c>
      <c r="E15" s="288">
        <f t="shared" si="21"/>
        <v>0.85561497326203206</v>
      </c>
      <c r="F15" s="288">
        <f t="shared" si="21"/>
        <v>0.82028842598299034</v>
      </c>
      <c r="G15" s="288">
        <f t="shared" si="21"/>
        <v>0.78213890898673788</v>
      </c>
      <c r="H15" s="288">
        <f t="shared" si="21"/>
        <v>0.74189682561801518</v>
      </c>
      <c r="I15" s="288">
        <f t="shared" si="21"/>
        <v>0.70033049969580874</v>
      </c>
      <c r="J15" s="288">
        <f t="shared" si="21"/>
        <v>0.65819404608841858</v>
      </c>
      <c r="K15" s="288">
        <f t="shared" si="21"/>
        <v>0.61618409136283281</v>
      </c>
      <c r="L15" s="288">
        <f t="shared" si="21"/>
        <v>0.57490875321253476</v>
      </c>
      <c r="M15" s="288">
        <f t="shared" si="21"/>
        <v>0.5348697611219807</v>
      </c>
      <c r="N15" s="288">
        <f t="shared" si="22"/>
        <v>0.49645654606490114</v>
      </c>
      <c r="O15" s="288">
        <f t="shared" si="22"/>
        <v>0.45994984957030888</v>
      </c>
      <c r="P15" s="288">
        <f t="shared" si="22"/>
        <v>0.42553191489361697</v>
      </c>
      <c r="Q15" s="288">
        <f t="shared" si="22"/>
        <v>0.39330044748637499</v>
      </c>
      <c r="R15" s="288">
        <f t="shared" si="22"/>
        <v>0.36328402205360555</v>
      </c>
      <c r="S15" s="288">
        <f t="shared" si="22"/>
        <v>0.33545724479589184</v>
      </c>
      <c r="T15" s="288">
        <f t="shared" si="22"/>
        <v>0.30975459337437011</v>
      </c>
      <c r="U15" s="288">
        <f t="shared" si="22"/>
        <v>0.28608236689633676</v>
      </c>
      <c r="V15" s="288">
        <f t="shared" si="22"/>
        <v>0.26432855383882115</v>
      </c>
      <c r="W15" s="242"/>
      <c r="Z15" s="191">
        <v>13</v>
      </c>
      <c r="AA15" s="268">
        <f t="shared" si="12"/>
        <v>1.3117691453623979</v>
      </c>
      <c r="AB15" s="268">
        <f t="shared" si="13"/>
        <v>1.2480643166600145</v>
      </c>
      <c r="AC15" s="236" t="str">
        <f t="shared" si="14"/>
        <v>+148,5%</v>
      </c>
      <c r="AD15" s="268">
        <f t="shared" si="15"/>
        <v>1.0825143223930991</v>
      </c>
      <c r="AF15" s="238" t="s">
        <v>576</v>
      </c>
      <c r="AG15" s="236" t="str">
        <f t="shared" si="16"/>
        <v>[td]13[/td]</v>
      </c>
      <c r="AH15" s="236" t="str">
        <f t="shared" si="17"/>
        <v>[td]131%[/td]</v>
      </c>
      <c r="AI15" s="236" t="str">
        <f t="shared" si="18"/>
        <v>[td]125%[/td]</v>
      </c>
      <c r="AJ15" s="236" t="str">
        <f t="shared" si="19"/>
        <v>[td]+148,5%[/td]</v>
      </c>
      <c r="AK15" s="236" t="str">
        <f t="shared" si="20"/>
        <v>[td]108%[/td]</v>
      </c>
      <c r="AL15" s="238" t="s">
        <v>578</v>
      </c>
    </row>
    <row r="16" spans="2:38">
      <c r="B16" s="274">
        <f t="shared" si="11"/>
        <v>23</v>
      </c>
      <c r="C16" s="234"/>
      <c r="D16" s="272">
        <f t="shared" si="21"/>
        <v>0.9001257675519716</v>
      </c>
      <c r="E16" s="288">
        <f t="shared" si="21"/>
        <v>0.87132130465451862</v>
      </c>
      <c r="F16" s="288">
        <f t="shared" si="21"/>
        <v>0.83911502227616941</v>
      </c>
      <c r="G16" s="288">
        <f t="shared" si="21"/>
        <v>0.80400714996084699</v>
      </c>
      <c r="H16" s="288">
        <f t="shared" si="21"/>
        <v>0.76659903978224986</v>
      </c>
      <c r="I16" s="288">
        <f t="shared" si="21"/>
        <v>0.7275499678591183</v>
      </c>
      <c r="J16" s="288">
        <f t="shared" si="21"/>
        <v>0.68753319846750227</v>
      </c>
      <c r="K16" s="288">
        <f t="shared" si="21"/>
        <v>0.64719634246564417</v>
      </c>
      <c r="L16" s="288">
        <f t="shared" si="21"/>
        <v>0.60712966936457713</v>
      </c>
      <c r="M16" s="288">
        <f t="shared" si="21"/>
        <v>0.56784425003441974</v>
      </c>
      <c r="N16" s="288">
        <f t="shared" si="22"/>
        <v>0.52976009056472328</v>
      </c>
      <c r="O16" s="288">
        <f t="shared" si="22"/>
        <v>0.49320310425690184</v>
      </c>
      <c r="P16" s="288">
        <f t="shared" si="22"/>
        <v>0.45840900014317032</v>
      </c>
      <c r="Q16" s="288">
        <f t="shared" si="22"/>
        <v>0.42553191489361702</v>
      </c>
      <c r="R16" s="288">
        <f t="shared" si="22"/>
        <v>0.39465575067954611</v>
      </c>
      <c r="S16" s="288">
        <f t="shared" si="22"/>
        <v>0.3658065437490135</v>
      </c>
      <c r="T16" s="288">
        <f t="shared" si="22"/>
        <v>0.33896463534904964</v>
      </c>
      <c r="U16" s="288">
        <f t="shared" si="22"/>
        <v>0.31407584853010073</v>
      </c>
      <c r="V16" s="288">
        <f t="shared" si="22"/>
        <v>0.2910612360115018</v>
      </c>
      <c r="W16" s="242"/>
      <c r="Z16" s="191">
        <v>14</v>
      </c>
      <c r="AA16" s="268">
        <f t="shared" si="12"/>
        <v>1.3244996147917592</v>
      </c>
      <c r="AB16" s="268">
        <f t="shared" si="13"/>
        <v>1.2581935268359763</v>
      </c>
      <c r="AC16" s="236" t="str">
        <f t="shared" si="14"/>
        <v>+152,8%</v>
      </c>
      <c r="AD16" s="268">
        <f t="shared" si="15"/>
        <v>1.0848983730132027</v>
      </c>
      <c r="AF16" s="238" t="s">
        <v>576</v>
      </c>
      <c r="AG16" s="236" t="str">
        <f t="shared" si="16"/>
        <v>[td]14[/td]</v>
      </c>
      <c r="AH16" s="236" t="str">
        <f t="shared" si="17"/>
        <v>[td]132%[/td]</v>
      </c>
      <c r="AI16" s="236" t="str">
        <f t="shared" si="18"/>
        <v>[td]126%[/td]</v>
      </c>
      <c r="AJ16" s="236" t="str">
        <f t="shared" si="19"/>
        <v>[td]+152,8%[/td]</v>
      </c>
      <c r="AK16" s="236" t="str">
        <f t="shared" si="20"/>
        <v>[td]108%[/td]</v>
      </c>
      <c r="AL16" s="238" t="s">
        <v>578</v>
      </c>
    </row>
    <row r="17" spans="2:40">
      <c r="B17" s="274">
        <f t="shared" si="11"/>
        <v>24</v>
      </c>
      <c r="C17" s="234"/>
      <c r="D17" s="272">
        <f t="shared" si="21"/>
        <v>0.91103202846975084</v>
      </c>
      <c r="E17" s="288">
        <f t="shared" si="21"/>
        <v>0.88497104831043127</v>
      </c>
      <c r="F17" s="288">
        <f t="shared" si="21"/>
        <v>0.85561497326203217</v>
      </c>
      <c r="G17" s="288">
        <f t="shared" si="21"/>
        <v>0.8233496823992924</v>
      </c>
      <c r="H17" s="288">
        <f t="shared" si="21"/>
        <v>0.78866296980899564</v>
      </c>
      <c r="I17" s="288">
        <f t="shared" si="21"/>
        <v>0.75211164157179577</v>
      </c>
      <c r="J17" s="288">
        <f t="shared" si="21"/>
        <v>0.7142857142857143</v>
      </c>
      <c r="K17" s="288">
        <f t="shared" si="21"/>
        <v>0.6757737741701314</v>
      </c>
      <c r="L17" s="288">
        <f t="shared" si="21"/>
        <v>0.63713290194126426</v>
      </c>
      <c r="M17" s="288">
        <f t="shared" si="21"/>
        <v>0.59886543072694309</v>
      </c>
      <c r="N17" s="288">
        <f t="shared" si="22"/>
        <v>0.56140350877192979</v>
      </c>
      <c r="O17" s="288">
        <f t="shared" si="22"/>
        <v>0.52510127685759711</v>
      </c>
      <c r="P17" s="288">
        <f t="shared" si="22"/>
        <v>0.49023362696284944</v>
      </c>
      <c r="Q17" s="288">
        <f t="shared" si="22"/>
        <v>0.45700004462891058</v>
      </c>
      <c r="R17" s="288">
        <f t="shared" si="22"/>
        <v>0.42553191489361702</v>
      </c>
      <c r="S17" s="288">
        <f t="shared" si="22"/>
        <v>0.39590179779624973</v>
      </c>
      <c r="T17" s="288">
        <f t="shared" si="22"/>
        <v>0.36813344837503592</v>
      </c>
      <c r="U17" s="288">
        <f t="shared" si="22"/>
        <v>0.34221167663670082</v>
      </c>
      <c r="V17" s="288">
        <f t="shared" si="22"/>
        <v>0.31809145129224653</v>
      </c>
      <c r="W17" s="242"/>
      <c r="Z17" s="191">
        <v>15</v>
      </c>
      <c r="AA17" s="268">
        <f t="shared" si="12"/>
        <v>1.3367491648096548</v>
      </c>
      <c r="AB17" s="268">
        <f t="shared" si="13"/>
        <v>1.2679400854668819</v>
      </c>
      <c r="AC17" s="236" t="str">
        <f t="shared" si="14"/>
        <v>+156,8%</v>
      </c>
      <c r="AD17" s="268">
        <f t="shared" si="15"/>
        <v>1.0871178710411615</v>
      </c>
      <c r="AF17" s="238" t="s">
        <v>576</v>
      </c>
      <c r="AG17" s="236" t="str">
        <f t="shared" si="16"/>
        <v>[td]15[/td]</v>
      </c>
      <c r="AH17" s="236" t="str">
        <f t="shared" si="17"/>
        <v>[td]134%[/td]</v>
      </c>
      <c r="AI17" s="236" t="str">
        <f t="shared" si="18"/>
        <v>[td]127%[/td]</v>
      </c>
      <c r="AJ17" s="236" t="str">
        <f t="shared" si="19"/>
        <v>[td]+156,8%[/td]</v>
      </c>
      <c r="AK17" s="236" t="str">
        <f t="shared" si="20"/>
        <v>[td]109%[/td]</v>
      </c>
      <c r="AL17" s="238" t="s">
        <v>578</v>
      </c>
    </row>
    <row r="18" spans="2:40">
      <c r="B18" s="274">
        <f t="shared" si="11"/>
        <v>25</v>
      </c>
      <c r="C18" s="234"/>
      <c r="D18" s="272">
        <f t="shared" si="21"/>
        <v>0.92047128129602351</v>
      </c>
      <c r="E18" s="288">
        <f t="shared" si="21"/>
        <v>0.89686227352433878</v>
      </c>
      <c r="F18" s="288">
        <f t="shared" si="21"/>
        <v>0.8700954459900434</v>
      </c>
      <c r="G18" s="288">
        <f t="shared" si="21"/>
        <v>0.84046269824834119</v>
      </c>
      <c r="H18" s="288">
        <f t="shared" si="21"/>
        <v>0.80835411342307562</v>
      </c>
      <c r="I18" s="288">
        <f t="shared" si="21"/>
        <v>0.77423350882626196</v>
      </c>
      <c r="J18" s="288">
        <f t="shared" si="21"/>
        <v>0.73861004226031224</v>
      </c>
      <c r="K18" s="288">
        <f t="shared" si="21"/>
        <v>0.7020089812221022</v>
      </c>
      <c r="L18" s="288">
        <f t="shared" si="21"/>
        <v>0.66494454894417443</v>
      </c>
      <c r="M18" s="288">
        <f t="shared" si="21"/>
        <v>0.6278971172992186</v>
      </c>
      <c r="N18" s="288">
        <f t="shared" si="22"/>
        <v>0.59129612109744556</v>
      </c>
      <c r="O18" s="288">
        <f t="shared" si="22"/>
        <v>0.55550913968077342</v>
      </c>
      <c r="P18" s="288">
        <f t="shared" si="22"/>
        <v>0.52083680557870382</v>
      </c>
      <c r="Q18" s="288">
        <f t="shared" si="22"/>
        <v>0.4875126558285453</v>
      </c>
      <c r="R18" s="288">
        <f t="shared" si="22"/>
        <v>0.45570676108424668</v>
      </c>
      <c r="S18" s="288">
        <f t="shared" si="22"/>
        <v>0.42553191489361702</v>
      </c>
      <c r="T18" s="288">
        <f t="shared" si="22"/>
        <v>0.39705127488399744</v>
      </c>
      <c r="U18" s="288">
        <f t="shared" si="22"/>
        <v>0.37028654846725062</v>
      </c>
      <c r="V18" s="288">
        <f t="shared" si="22"/>
        <v>0.34522604849293642</v>
      </c>
      <c r="W18" s="242"/>
      <c r="Z18" s="191">
        <v>16</v>
      </c>
      <c r="AA18" s="268">
        <f t="shared" si="12"/>
        <v>1.3485685011586677</v>
      </c>
      <c r="AB18" s="268">
        <f t="shared" si="13"/>
        <v>1.2773443374219131</v>
      </c>
      <c r="AC18" s="236" t="str">
        <f t="shared" si="14"/>
        <v>+160,5%</v>
      </c>
      <c r="AD18" s="268">
        <f t="shared" si="15"/>
        <v>1.0891940727893279</v>
      </c>
      <c r="AF18" s="238" t="s">
        <v>576</v>
      </c>
      <c r="AG18" s="236" t="str">
        <f t="shared" si="16"/>
        <v>[td]16[/td]</v>
      </c>
      <c r="AH18" s="236" t="str">
        <f t="shared" si="17"/>
        <v>[td]135%[/td]</v>
      </c>
      <c r="AI18" s="236" t="str">
        <f t="shared" si="18"/>
        <v>[td]128%[/td]</v>
      </c>
      <c r="AJ18" s="236" t="str">
        <f t="shared" si="19"/>
        <v>[td]+160,5%[/td]</v>
      </c>
      <c r="AK18" s="236" t="str">
        <f t="shared" si="20"/>
        <v>[td]109%[/td]</v>
      </c>
      <c r="AL18" s="238" t="s">
        <v>578</v>
      </c>
    </row>
    <row r="19" spans="2:40">
      <c r="B19" s="274">
        <f t="shared" si="11"/>
        <v>26</v>
      </c>
      <c r="C19" s="234"/>
      <c r="D19" s="272">
        <f t="shared" si="21"/>
        <v>0.92866955510937332</v>
      </c>
      <c r="E19" s="288">
        <f t="shared" si="21"/>
        <v>0.90724906247661041</v>
      </c>
      <c r="F19" s="288">
        <f t="shared" si="21"/>
        <v>0.88282568512416626</v>
      </c>
      <c r="G19" s="288">
        <f t="shared" si="21"/>
        <v>0.85561497326203206</v>
      </c>
      <c r="H19" s="288">
        <f t="shared" si="21"/>
        <v>0.82592432473073807</v>
      </c>
      <c r="I19" s="288">
        <f t="shared" si="21"/>
        <v>0.7941352551141434</v>
      </c>
      <c r="J19" s="288">
        <f t="shared" si="21"/>
        <v>0.76068139325531481</v>
      </c>
      <c r="K19" s="288">
        <f t="shared" si="21"/>
        <v>0.72602448308552148</v>
      </c>
      <c r="L19" s="288">
        <f t="shared" si="21"/>
        <v>0.69063074674253022</v>
      </c>
      <c r="M19" s="288">
        <f t="shared" si="21"/>
        <v>0.65494966583630354</v>
      </c>
      <c r="N19" s="288">
        <f t="shared" si="22"/>
        <v>0.61939667324499581</v>
      </c>
      <c r="O19" s="288">
        <f t="shared" si="22"/>
        <v>0.5843405638939636</v>
      </c>
      <c r="P19" s="288">
        <f t="shared" si="22"/>
        <v>0.55009577224983408</v>
      </c>
      <c r="Q19" s="288">
        <f t="shared" si="22"/>
        <v>0.51691913138998491</v>
      </c>
      <c r="R19" s="288">
        <f t="shared" si="22"/>
        <v>0.485010375734028</v>
      </c>
      <c r="S19" s="288">
        <f t="shared" si="22"/>
        <v>0.45451548044660234</v>
      </c>
      <c r="T19" s="288">
        <f t="shared" si="22"/>
        <v>0.42553191489361697</v>
      </c>
      <c r="U19" s="288">
        <f t="shared" si="22"/>
        <v>0.39811497903078391</v>
      </c>
      <c r="V19" s="288">
        <f t="shared" si="22"/>
        <v>0.37228454265089644</v>
      </c>
      <c r="W19" s="242"/>
      <c r="Z19" s="191">
        <v>17</v>
      </c>
      <c r="AA19" s="268">
        <f t="shared" si="12"/>
        <v>1.3599999999999999</v>
      </c>
      <c r="AB19" s="268">
        <f t="shared" si="13"/>
        <v>1.28644</v>
      </c>
      <c r="AC19" s="236" t="str">
        <f t="shared" si="14"/>
        <v>+164,1%</v>
      </c>
      <c r="AD19" s="268">
        <f t="shared" si="15"/>
        <v>1.0911443645465388</v>
      </c>
      <c r="AF19" s="238" t="s">
        <v>576</v>
      </c>
      <c r="AG19" s="236" t="str">
        <f t="shared" si="16"/>
        <v>[td]17[/td]</v>
      </c>
      <c r="AH19" s="236" t="str">
        <f t="shared" si="17"/>
        <v>[td]136%[/td]</v>
      </c>
      <c r="AI19" s="236" t="str">
        <f t="shared" si="18"/>
        <v>[td]129%[/td]</v>
      </c>
      <c r="AJ19" s="236" t="str">
        <f t="shared" si="19"/>
        <v>[td]+164,1%[/td]</v>
      </c>
      <c r="AK19" s="236" t="str">
        <f t="shared" ref="AK19:AK21" si="23">CONCATENATE("[td]",TEXT(AD19,"0%"),"[/td]")</f>
        <v>[td]109%[/td]</v>
      </c>
      <c r="AL19" s="238" t="s">
        <v>578</v>
      </c>
    </row>
    <row r="20" spans="2:40">
      <c r="B20" s="274">
        <f t="shared" si="11"/>
        <v>27</v>
      </c>
      <c r="C20" s="234"/>
      <c r="D20" s="272">
        <f t="shared" si="21"/>
        <v>0.93581514762516049</v>
      </c>
      <c r="E20" s="288">
        <f t="shared" si="21"/>
        <v>0.91634718119539948</v>
      </c>
      <c r="F20" s="288">
        <f t="shared" si="21"/>
        <v>0.89403973509933776</v>
      </c>
      <c r="G20" s="288">
        <f t="shared" si="21"/>
        <v>0.8690469094593789</v>
      </c>
      <c r="H20" s="288">
        <f t="shared" si="21"/>
        <v>0.84160701916416525</v>
      </c>
      <c r="I20" s="288">
        <f t="shared" si="21"/>
        <v>0.81203007518796988</v>
      </c>
      <c r="J20" s="288">
        <f t="shared" si="21"/>
        <v>0.78068108802741487</v>
      </c>
      <c r="K20" s="288">
        <f t="shared" si="21"/>
        <v>0.74796080644333862</v>
      </c>
      <c r="L20" s="288">
        <f t="shared" si="21"/>
        <v>0.7142857142857143</v>
      </c>
      <c r="M20" s="288">
        <f t="shared" si="21"/>
        <v>0.68006903307057232</v>
      </c>
      <c r="N20" s="288">
        <f t="shared" si="22"/>
        <v>0.64570416297608502</v>
      </c>
      <c r="O20" s="288">
        <f t="shared" si="22"/>
        <v>0.61155152887882225</v>
      </c>
      <c r="P20" s="288">
        <f t="shared" si="22"/>
        <v>0.57792928492151574</v>
      </c>
      <c r="Q20" s="288">
        <f t="shared" si="22"/>
        <v>0.54510786256402588</v>
      </c>
      <c r="R20" s="288">
        <f t="shared" si="22"/>
        <v>0.51330798479087447</v>
      </c>
      <c r="S20" s="288">
        <f t="shared" si="22"/>
        <v>0.48270153948021849</v>
      </c>
      <c r="T20" s="288">
        <f t="shared" si="22"/>
        <v>0.45341460380644355</v>
      </c>
      <c r="U20" s="288">
        <f t="shared" si="22"/>
        <v>0.42553191489361697</v>
      </c>
      <c r="V20" s="288">
        <f t="shared" si="22"/>
        <v>0.3991021570130297</v>
      </c>
      <c r="W20" s="242"/>
      <c r="Z20" s="191">
        <v>18</v>
      </c>
      <c r="AA20" s="268">
        <f t="shared" si="12"/>
        <v>1.3710795063055894</v>
      </c>
      <c r="AB20" s="268">
        <f t="shared" si="13"/>
        <v>1.2952555938504806</v>
      </c>
      <c r="AC20" s="236" t="str">
        <f t="shared" si="14"/>
        <v>+167,4%</v>
      </c>
      <c r="AD20" s="268">
        <f t="shared" si="15"/>
        <v>1.0929831485261707</v>
      </c>
      <c r="AF20" s="238" t="s">
        <v>576</v>
      </c>
      <c r="AG20" s="236" t="str">
        <f t="shared" si="16"/>
        <v>[td]18[/td]</v>
      </c>
      <c r="AH20" s="236" t="str">
        <f t="shared" si="17"/>
        <v>[td]137%[/td]</v>
      </c>
      <c r="AI20" s="236" t="str">
        <f t="shared" si="18"/>
        <v>[td]130%[/td]</v>
      </c>
      <c r="AJ20" s="236" t="str">
        <f t="shared" si="19"/>
        <v>[td]+167,4%[/td]</v>
      </c>
      <c r="AK20" s="236" t="str">
        <f t="shared" si="23"/>
        <v>[td]109%[/td]</v>
      </c>
      <c r="AL20" s="238" t="s">
        <v>578</v>
      </c>
    </row>
    <row r="21" spans="2:40">
      <c r="B21" s="274">
        <f t="shared" si="11"/>
        <v>28</v>
      </c>
      <c r="C21" s="234"/>
      <c r="D21" s="272">
        <f t="shared" si="21"/>
        <v>0.94206505879323665</v>
      </c>
      <c r="E21" s="288">
        <f t="shared" si="21"/>
        <v>0.92433949433340989</v>
      </c>
      <c r="F21" s="288">
        <f t="shared" si="21"/>
        <v>0.90393991303202004</v>
      </c>
      <c r="G21" s="288">
        <f t="shared" si="21"/>
        <v>0.88097134796401788</v>
      </c>
      <c r="H21" s="288">
        <f t="shared" si="21"/>
        <v>0.85561497326203206</v>
      </c>
      <c r="I21" s="288">
        <f t="shared" si="21"/>
        <v>0.8281195476879839</v>
      </c>
      <c r="J21" s="288">
        <f t="shared" si="21"/>
        <v>0.79878900791802521</v>
      </c>
      <c r="K21" s="288">
        <f t="shared" si="21"/>
        <v>0.76796731101241755</v>
      </c>
      <c r="L21" s="288">
        <f t="shared" si="21"/>
        <v>0.73602188753134934</v>
      </c>
      <c r="M21" s="288">
        <f t="shared" si="21"/>
        <v>0.70332712304540124</v>
      </c>
      <c r="N21" s="288">
        <f t="shared" si="22"/>
        <v>0.67024914509037614</v>
      </c>
      <c r="O21" s="288">
        <f t="shared" si="22"/>
        <v>0.63713290194126437</v>
      </c>
      <c r="P21" s="288">
        <f t="shared" si="22"/>
        <v>0.60429214794586916</v>
      </c>
      <c r="Q21" s="288">
        <f t="shared" si="22"/>
        <v>0.57200256921707937</v>
      </c>
      <c r="R21" s="288">
        <f t="shared" si="22"/>
        <v>0.54049795146549007</v>
      </c>
      <c r="S21" s="288">
        <f t="shared" si="22"/>
        <v>0.50996904456305214</v>
      </c>
      <c r="T21" s="288">
        <f t="shared" si="22"/>
        <v>0.48056462841180742</v>
      </c>
      <c r="U21" s="288">
        <f t="shared" si="22"/>
        <v>0.4523942251316615</v>
      </c>
      <c r="V21" s="288">
        <f t="shared" si="22"/>
        <v>0.42553191489361702</v>
      </c>
      <c r="W21" s="242"/>
      <c r="Z21" s="191">
        <v>19</v>
      </c>
      <c r="AA21" s="268">
        <f t="shared" si="12"/>
        <v>1.3818376618407355</v>
      </c>
      <c r="AB21" s="268">
        <f t="shared" si="13"/>
        <v>1.3038154996046121</v>
      </c>
      <c r="AC21" s="236" t="str">
        <f t="shared" si="14"/>
        <v>+170,5%</v>
      </c>
      <c r="AD21" s="268">
        <f t="shared" si="15"/>
        <v>1.0947224889594687</v>
      </c>
      <c r="AF21" s="238" t="s">
        <v>576</v>
      </c>
      <c r="AG21" s="236" t="str">
        <f t="shared" si="16"/>
        <v>[td]19[/td]</v>
      </c>
      <c r="AH21" s="236" t="str">
        <f t="shared" si="17"/>
        <v>[td]138%[/td]</v>
      </c>
      <c r="AI21" s="236" t="str">
        <f t="shared" si="18"/>
        <v>[td]130%[/td]</v>
      </c>
      <c r="AJ21" s="236" t="str">
        <f t="shared" si="19"/>
        <v>[td]+170,5%[/td]</v>
      </c>
      <c r="AK21" s="236" t="str">
        <f t="shared" si="23"/>
        <v>[td]109%[/td]</v>
      </c>
      <c r="AL21" s="238" t="s">
        <v>578</v>
      </c>
      <c r="AN21" s="238" t="s">
        <v>579</v>
      </c>
    </row>
    <row r="22" spans="2:40" ht="13.8" thickBot="1">
      <c r="B22" s="245"/>
      <c r="C22" s="246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8"/>
    </row>
  </sheetData>
  <conditionalFormatting sqref="D3:V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G331"/>
  <sheetViews>
    <sheetView zoomScale="85" workbookViewId="0">
      <pane xSplit="8" ySplit="3" topLeftCell="I57" activePane="bottomRight" state="frozen"/>
      <selection pane="topRight" activeCell="I1" sqref="I1"/>
      <selection pane="bottomLeft" activeCell="A4" sqref="A4"/>
      <selection pane="bottomRight" activeCell="O108" sqref="O108"/>
    </sheetView>
  </sheetViews>
  <sheetFormatPr defaultColWidth="9.109375" defaultRowHeight="13.2"/>
  <cols>
    <col min="1" max="1" width="3.5546875" style="102" customWidth="1"/>
    <col min="2" max="2" width="4.33203125" style="103" customWidth="1"/>
    <col min="3" max="3" width="3" style="103" bestFit="1" customWidth="1"/>
    <col min="4" max="4" width="2.33203125" style="103" bestFit="1" customWidth="1"/>
    <col min="5" max="5" width="9.5546875" style="102" bestFit="1" customWidth="1"/>
    <col min="6" max="6" width="11.88671875" style="144" customWidth="1"/>
    <col min="7" max="7" width="9.6640625" style="145" bestFit="1" customWidth="1"/>
    <col min="8" max="8" width="10.88671875" style="146" bestFit="1" customWidth="1"/>
    <col min="9" max="9" width="8.5546875" style="145" bestFit="1" customWidth="1"/>
    <col min="10" max="10" width="6.5546875" style="147" customWidth="1"/>
    <col min="11" max="12" width="8" style="147" customWidth="1"/>
    <col min="13" max="13" width="6.88671875" style="149" customWidth="1"/>
    <col min="14" max="14" width="8.5546875" style="145" bestFit="1" customWidth="1"/>
    <col min="15" max="15" width="6.5546875" style="147" customWidth="1"/>
    <col min="16" max="17" width="8" style="147" customWidth="1"/>
    <col min="18" max="18" width="6.88671875" style="149" customWidth="1"/>
    <col min="19" max="19" width="8.5546875" style="145" bestFit="1" customWidth="1"/>
    <col min="20" max="20" width="6.5546875" style="147" customWidth="1"/>
    <col min="21" max="22" width="8" style="147" customWidth="1"/>
    <col min="23" max="23" width="6.88671875" style="149" customWidth="1"/>
    <col min="24" max="24" width="8.5546875" style="145" bestFit="1" customWidth="1"/>
    <col min="25" max="25" width="6.5546875" style="147" customWidth="1"/>
    <col min="26" max="27" width="8" style="147" customWidth="1"/>
    <col min="28" max="28" width="6.88671875" style="149" customWidth="1"/>
    <col min="29" max="29" width="8.5546875" style="145" bestFit="1" customWidth="1"/>
    <col min="30" max="30" width="6.5546875" style="147" customWidth="1"/>
    <col min="31" max="32" width="8" style="147" customWidth="1"/>
    <col min="33" max="33" width="6.88671875" style="149" customWidth="1"/>
    <col min="34" max="16384" width="9.109375" style="102"/>
  </cols>
  <sheetData>
    <row r="1" spans="2:33" s="137" customFormat="1">
      <c r="G1" s="159"/>
      <c r="H1" s="160"/>
      <c r="I1" s="139"/>
      <c r="J1" s="158"/>
      <c r="K1" s="153"/>
      <c r="L1" s="153"/>
      <c r="M1" s="154"/>
      <c r="N1" s="139"/>
      <c r="O1" s="158"/>
      <c r="P1" s="153"/>
      <c r="Q1" s="153"/>
      <c r="R1" s="154"/>
      <c r="S1" s="139"/>
      <c r="T1" s="158"/>
      <c r="U1" s="153"/>
      <c r="V1" s="153"/>
      <c r="W1" s="154"/>
      <c r="X1" s="139"/>
      <c r="Y1" s="158"/>
      <c r="Z1" s="153"/>
      <c r="AA1" s="153"/>
      <c r="AB1" s="154"/>
      <c r="AC1" s="139"/>
      <c r="AD1" s="158"/>
      <c r="AE1" s="153"/>
      <c r="AF1" s="153"/>
      <c r="AG1" s="154"/>
    </row>
    <row r="2" spans="2:33" s="76" customFormat="1">
      <c r="B2" s="76" t="s">
        <v>441</v>
      </c>
      <c r="E2" s="76" t="s">
        <v>442</v>
      </c>
      <c r="F2" s="138" t="s">
        <v>450</v>
      </c>
      <c r="G2" s="139" t="s">
        <v>443</v>
      </c>
      <c r="H2" s="161"/>
      <c r="I2" s="139" t="s">
        <v>452</v>
      </c>
      <c r="J2" s="155"/>
      <c r="K2" s="155"/>
      <c r="L2" s="155"/>
      <c r="M2" s="156"/>
      <c r="N2" s="139" t="s">
        <v>459</v>
      </c>
      <c r="O2" s="155"/>
      <c r="P2" s="155"/>
      <c r="Q2" s="155"/>
      <c r="R2" s="156"/>
      <c r="S2" s="139"/>
      <c r="T2" s="155"/>
      <c r="U2" s="155"/>
      <c r="V2" s="155"/>
      <c r="W2" s="156"/>
      <c r="X2" s="139"/>
      <c r="Y2" s="155"/>
      <c r="Z2" s="155"/>
      <c r="AA2" s="155"/>
      <c r="AB2" s="156"/>
      <c r="AC2" s="139"/>
      <c r="AD2" s="155"/>
      <c r="AE2" s="155"/>
      <c r="AF2" s="155"/>
      <c r="AG2" s="156"/>
    </row>
    <row r="3" spans="2:33" s="101" customFormat="1" ht="26.4">
      <c r="B3" s="118" t="s">
        <v>444</v>
      </c>
      <c r="C3" s="118" t="s">
        <v>445</v>
      </c>
      <c r="D3" s="118" t="s">
        <v>446</v>
      </c>
      <c r="F3" s="138"/>
      <c r="G3" s="140" t="s">
        <v>447</v>
      </c>
      <c r="H3" s="141" t="s">
        <v>448</v>
      </c>
      <c r="I3" s="140" t="s">
        <v>447</v>
      </c>
      <c r="J3" s="142"/>
      <c r="K3" s="162" t="s">
        <v>457</v>
      </c>
      <c r="L3" s="162" t="s">
        <v>458</v>
      </c>
      <c r="M3" s="143" t="s">
        <v>449</v>
      </c>
      <c r="N3" s="140" t="s">
        <v>447</v>
      </c>
      <c r="O3" s="142"/>
      <c r="P3" s="162" t="s">
        <v>457</v>
      </c>
      <c r="Q3" s="162" t="s">
        <v>458</v>
      </c>
      <c r="R3" s="143" t="s">
        <v>449</v>
      </c>
      <c r="S3" s="140"/>
      <c r="T3" s="142"/>
      <c r="U3" s="162"/>
      <c r="V3" s="162"/>
      <c r="W3" s="143"/>
      <c r="X3" s="140"/>
      <c r="Y3" s="142"/>
      <c r="Z3" s="162"/>
      <c r="AA3" s="162"/>
      <c r="AB3" s="143"/>
      <c r="AC3" s="140"/>
      <c r="AD3" s="142"/>
      <c r="AE3" s="162"/>
      <c r="AF3" s="162"/>
      <c r="AG3" s="143"/>
    </row>
    <row r="4" spans="2:33" s="101" customFormat="1">
      <c r="B4" s="118">
        <v>43</v>
      </c>
      <c r="C4" s="118">
        <v>1</v>
      </c>
      <c r="D4" s="118">
        <v>1</v>
      </c>
      <c r="E4" s="101" t="str">
        <f>CONCATENATE("s",B4,"w",C4,"d",D4)</f>
        <v>s43w1d1</v>
      </c>
      <c r="F4" s="151">
        <v>40399</v>
      </c>
      <c r="G4" s="140">
        <v>0</v>
      </c>
      <c r="H4" s="141">
        <v>4.5</v>
      </c>
      <c r="I4" s="140">
        <v>0</v>
      </c>
      <c r="J4" s="142"/>
      <c r="K4" s="142">
        <v>4.5</v>
      </c>
      <c r="L4" s="163">
        <f>IF(J4="pic",K4*1.33,IF(J4="mots",K4*0.5,K4))</f>
        <v>4.5</v>
      </c>
      <c r="M4" s="143"/>
      <c r="N4" s="140">
        <v>0</v>
      </c>
      <c r="O4" s="142"/>
      <c r="P4" s="142">
        <v>4.5</v>
      </c>
      <c r="Q4" s="163">
        <f t="shared" ref="Q4:Q34" si="0">IF(O4="pic",P4*1.33,IF(O4="mots",P4*0.5,P4))</f>
        <v>4.5</v>
      </c>
      <c r="R4" s="143"/>
      <c r="S4" s="140"/>
      <c r="T4" s="142"/>
      <c r="U4" s="142"/>
      <c r="V4" s="163"/>
      <c r="W4" s="143"/>
      <c r="X4" s="140"/>
      <c r="Y4" s="142"/>
      <c r="Z4" s="142"/>
      <c r="AA4" s="163"/>
      <c r="AB4" s="143"/>
      <c r="AC4" s="140"/>
      <c r="AD4" s="142"/>
      <c r="AE4" s="142"/>
      <c r="AF4" s="163"/>
      <c r="AG4" s="143"/>
    </row>
    <row r="5" spans="2:33">
      <c r="B5" s="103">
        <f>IF(AND(C4=16,D4=7),B4+1,B4)</f>
        <v>43</v>
      </c>
      <c r="C5" s="103">
        <f>IF(B5&gt;B4,1,IF(D4=7,C4+1,C4))</f>
        <v>1</v>
      </c>
      <c r="D5" s="103">
        <f>IF(D4=7,1,D4+1)</f>
        <v>2</v>
      </c>
      <c r="E5" s="102" t="str">
        <f>CONCATENATE("s",B5,"w",C5,"d",D5)</f>
        <v>s43w1d2</v>
      </c>
      <c r="F5" s="151">
        <f>F4+1</f>
        <v>40400</v>
      </c>
      <c r="G5" s="145">
        <f>G4+1</f>
        <v>1</v>
      </c>
      <c r="H5" s="146">
        <f>IF(H4&gt;4.5,H4+VLOOKUP(CEILING(H4,1),Tables!$L$2:$M$14,2,FALSE),H4+VLOOKUP(FLOOR(H4,1),Tables!$L$2:$M$14,2,FALSE))</f>
        <v>4.5158730158730158</v>
      </c>
      <c r="I5" s="145">
        <f>I4+1</f>
        <v>1</v>
      </c>
      <c r="K5" s="148">
        <f>IF(L4&lt;10,IF(L4&gt;4.5,L4+VLOOKUP(CEILING(L4,1),Tables!$L$2:$M$14,2,FALSE),L4+VLOOKUP(FLOOR(L4,1),Tables!$L$2:$M$14,2,FALSE)),10-(1/3))</f>
        <v>4.5158730158730158</v>
      </c>
      <c r="L5" s="163">
        <f t="shared" ref="L5:L34" si="1">IF(J5="pic",K5*1.33,IF(J5="mots",K5*0.5,K5))</f>
        <v>4.5158730158730158</v>
      </c>
      <c r="N5" s="145">
        <f>N4+1</f>
        <v>1</v>
      </c>
      <c r="P5" s="148">
        <f>IF(Q4&lt;10,IF(Q4&gt;4.5,Q4+VLOOKUP(CEILING(Q4,1),Tables!$L$2:$M$14,2,FALSE),Q4+VLOOKUP(FLOOR(Q4,1),Tables!$L$2:$M$14,2,FALSE)),10-(1/3))</f>
        <v>4.5158730158730158</v>
      </c>
      <c r="Q5" s="163">
        <f t="shared" si="0"/>
        <v>4.5158730158730158</v>
      </c>
      <c r="U5" s="148"/>
      <c r="V5" s="163"/>
      <c r="Z5" s="148"/>
      <c r="AA5" s="163"/>
      <c r="AE5" s="148"/>
      <c r="AF5" s="163"/>
    </row>
    <row r="6" spans="2:33">
      <c r="B6" s="103">
        <f>IF(AND(C5=16,D5=7),B5+1,B5)</f>
        <v>43</v>
      </c>
      <c r="C6" s="103">
        <f>IF(B6&gt;B5,1,IF(D5=7,C5+1,C5))</f>
        <v>1</v>
      </c>
      <c r="D6" s="103">
        <f>IF(D5=7,1,D5+1)</f>
        <v>3</v>
      </c>
      <c r="E6" s="102" t="str">
        <f>CONCATENATE("s",B6,"w",C6,"d",D6)</f>
        <v>s43w1d3</v>
      </c>
      <c r="F6" s="151">
        <f>F5+1</f>
        <v>40401</v>
      </c>
      <c r="G6" s="145">
        <f>G5+1</f>
        <v>2</v>
      </c>
      <c r="H6" s="146">
        <f>IF(H5&gt;4.5,H5+VLOOKUP(CEILING(H5,1),Tables!$L$2:$M$14,2,FALSE),H5+VLOOKUP(FLOOR(H5,1),Tables!$L$2:$M$14,2,FALSE))</f>
        <v>4.5</v>
      </c>
      <c r="I6" s="145">
        <f>I5+1</f>
        <v>2</v>
      </c>
      <c r="K6" s="148">
        <f>IF(L5&lt;10,IF(L5&gt;4.5,L5+VLOOKUP(CEILING(L5,1),Tables!$L$2:$M$14,2,FALSE),L5+VLOOKUP(FLOOR(L5,1),Tables!$L$2:$M$14,2,FALSE)),10-(1/3))</f>
        <v>4.5</v>
      </c>
      <c r="L6" s="163">
        <f t="shared" si="1"/>
        <v>4.5</v>
      </c>
      <c r="N6" s="145">
        <f t="shared" ref="N6:N34" si="2">N5+1</f>
        <v>2</v>
      </c>
      <c r="P6" s="148">
        <f>IF(Q5&lt;10,IF(Q5&gt;4.5,Q5+VLOOKUP(CEILING(Q5,1),Tables!$L$2:$M$14,2,FALSE),Q5+VLOOKUP(FLOOR(Q5,1),Tables!$L$2:$M$14,2,FALSE)),10-(1/3))</f>
        <v>4.5</v>
      </c>
      <c r="Q6" s="163">
        <f t="shared" si="0"/>
        <v>4.5</v>
      </c>
      <c r="U6" s="148"/>
      <c r="V6" s="163"/>
      <c r="Z6" s="148"/>
      <c r="AA6" s="163"/>
      <c r="AE6" s="148"/>
      <c r="AF6" s="163"/>
    </row>
    <row r="7" spans="2:33">
      <c r="B7" s="103">
        <f t="shared" ref="B7:B34" si="3">IF(AND(C6=16,D6=7),B6+1,B6)</f>
        <v>43</v>
      </c>
      <c r="C7" s="103">
        <f t="shared" ref="C7:C34" si="4">IF(B7&gt;B6,1,IF(D6=7,C6+1,C6))</f>
        <v>1</v>
      </c>
      <c r="D7" s="103">
        <f t="shared" ref="D7:D34" si="5">IF(D6=7,1,D6+1)</f>
        <v>4</v>
      </c>
      <c r="E7" s="102" t="str">
        <f t="shared" ref="E7:E34" si="6">CONCATENATE("s",B7,"w",C7,"d",D7)</f>
        <v>s43w1d4</v>
      </c>
      <c r="F7" s="151">
        <f t="shared" ref="F7:F34" si="7">F6+1</f>
        <v>40402</v>
      </c>
      <c r="G7" s="145">
        <f t="shared" ref="G7:G34" si="8">G6+1</f>
        <v>3</v>
      </c>
      <c r="H7" s="146">
        <f>IF(H6&gt;4.5,H6+VLOOKUP(CEILING(H6,1),Tables!$L$2:$M$14,2,FALSE),H6+VLOOKUP(FLOOR(H6,1),Tables!$L$2:$M$14,2,FALSE))</f>
        <v>4.5158730158730158</v>
      </c>
      <c r="I7" s="145">
        <f t="shared" ref="I7:I34" si="9">I6+1</f>
        <v>3</v>
      </c>
      <c r="K7" s="148">
        <f>IF(L6&lt;10,IF(L6&gt;4.5,L6+VLOOKUP(CEILING(L6,1),Tables!$L$2:$M$14,2,FALSE),L6+VLOOKUP(FLOOR(L6,1),Tables!$L$2:$M$14,2,FALSE)),10-(1/3))</f>
        <v>4.5158730158730158</v>
      </c>
      <c r="L7" s="163">
        <f t="shared" si="1"/>
        <v>4.5158730158730158</v>
      </c>
      <c r="N7" s="145">
        <f t="shared" si="2"/>
        <v>3</v>
      </c>
      <c r="P7" s="148">
        <f>IF(Q6&lt;10,IF(Q6&gt;4.5,Q6+VLOOKUP(CEILING(Q6,1),Tables!$L$2:$M$14,2,FALSE),Q6+VLOOKUP(FLOOR(Q6,1),Tables!$L$2:$M$14,2,FALSE)),10-(1/3))</f>
        <v>4.5158730158730158</v>
      </c>
      <c r="Q7" s="163">
        <f t="shared" si="0"/>
        <v>4.5158730158730158</v>
      </c>
      <c r="U7" s="148"/>
      <c r="V7" s="163"/>
      <c r="Z7" s="148"/>
      <c r="AA7" s="163"/>
      <c r="AE7" s="148"/>
      <c r="AF7" s="163"/>
    </row>
    <row r="8" spans="2:33">
      <c r="B8" s="103">
        <f t="shared" si="3"/>
        <v>43</v>
      </c>
      <c r="C8" s="103">
        <f t="shared" si="4"/>
        <v>1</v>
      </c>
      <c r="D8" s="103">
        <f t="shared" si="5"/>
        <v>5</v>
      </c>
      <c r="E8" s="102" t="str">
        <f t="shared" si="6"/>
        <v>s43w1d5</v>
      </c>
      <c r="F8" s="151">
        <f t="shared" si="7"/>
        <v>40403</v>
      </c>
      <c r="G8" s="145">
        <f t="shared" si="8"/>
        <v>4</v>
      </c>
      <c r="H8" s="146">
        <f>IF(H7&gt;4.5,H7+VLOOKUP(CEILING(H7,1),Tables!$L$2:$M$14,2,FALSE),H7+VLOOKUP(FLOOR(H7,1),Tables!$L$2:$M$14,2,FALSE))</f>
        <v>4.5</v>
      </c>
      <c r="I8" s="145">
        <f t="shared" si="9"/>
        <v>4</v>
      </c>
      <c r="K8" s="148">
        <f>IF(L7&lt;10,IF(L7&gt;4.5,L7+VLOOKUP(CEILING(L7,1),Tables!$L$2:$M$14,2,FALSE),L7+VLOOKUP(FLOOR(L7,1),Tables!$L$2:$M$14,2,FALSE)),10-(1/3))</f>
        <v>4.5</v>
      </c>
      <c r="L8" s="163">
        <f t="shared" si="1"/>
        <v>4.5</v>
      </c>
      <c r="N8" s="145">
        <f t="shared" si="2"/>
        <v>4</v>
      </c>
      <c r="P8" s="148">
        <f>IF(Q7&lt;10,IF(Q7&gt;4.5,Q7+VLOOKUP(CEILING(Q7,1),Tables!$L$2:$M$14,2,FALSE),Q7+VLOOKUP(FLOOR(Q7,1),Tables!$L$2:$M$14,2,FALSE)),10-(1/3))</f>
        <v>4.5</v>
      </c>
      <c r="Q8" s="163">
        <f t="shared" si="0"/>
        <v>4.5</v>
      </c>
      <c r="U8" s="148"/>
      <c r="V8" s="163"/>
      <c r="Z8" s="148"/>
      <c r="AA8" s="163"/>
      <c r="AE8" s="148"/>
      <c r="AF8" s="163"/>
    </row>
    <row r="9" spans="2:33">
      <c r="B9" s="103">
        <f t="shared" si="3"/>
        <v>43</v>
      </c>
      <c r="C9" s="103">
        <f t="shared" si="4"/>
        <v>1</v>
      </c>
      <c r="D9" s="103">
        <f t="shared" si="5"/>
        <v>6</v>
      </c>
      <c r="E9" s="102" t="str">
        <f t="shared" si="6"/>
        <v>s43w1d6</v>
      </c>
      <c r="F9" s="151">
        <f t="shared" si="7"/>
        <v>40404</v>
      </c>
      <c r="G9" s="145">
        <f t="shared" si="8"/>
        <v>5</v>
      </c>
      <c r="H9" s="146">
        <f>IF(H8&gt;4.5,H8+VLOOKUP(CEILING(H8,1),Tables!$L$2:$M$14,2,FALSE),H8+VLOOKUP(FLOOR(H8,1),Tables!$L$2:$M$14,2,FALSE))</f>
        <v>4.5158730158730158</v>
      </c>
      <c r="I9" s="145">
        <f t="shared" si="9"/>
        <v>5</v>
      </c>
      <c r="K9" s="148">
        <f>IF(L8&lt;10,IF(L8&gt;4.5,L8+VLOOKUP(CEILING(L8,1),Tables!$L$2:$M$14,2,FALSE),L8+VLOOKUP(FLOOR(L8,1),Tables!$L$2:$M$14,2,FALSE)),10-(1/3))</f>
        <v>4.5158730158730158</v>
      </c>
      <c r="L9" s="163">
        <f t="shared" si="1"/>
        <v>4.5158730158730158</v>
      </c>
      <c r="N9" s="145">
        <f t="shared" si="2"/>
        <v>5</v>
      </c>
      <c r="P9" s="148">
        <f>IF(Q8&lt;10,IF(Q8&gt;4.5,Q8+VLOOKUP(CEILING(Q8,1),Tables!$L$2:$M$14,2,FALSE),Q8+VLOOKUP(FLOOR(Q8,1),Tables!$L$2:$M$14,2,FALSE)),10-(1/3))</f>
        <v>4.5158730158730158</v>
      </c>
      <c r="Q9" s="163">
        <f t="shared" si="0"/>
        <v>4.5158730158730158</v>
      </c>
      <c r="U9" s="148"/>
      <c r="V9" s="163"/>
      <c r="Z9" s="148"/>
      <c r="AA9" s="163"/>
      <c r="AE9" s="148"/>
      <c r="AF9" s="163"/>
    </row>
    <row r="10" spans="2:33">
      <c r="B10" s="103">
        <f t="shared" si="3"/>
        <v>43</v>
      </c>
      <c r="C10" s="103">
        <f t="shared" si="4"/>
        <v>1</v>
      </c>
      <c r="D10" s="103">
        <f t="shared" si="5"/>
        <v>7</v>
      </c>
      <c r="E10" s="102" t="str">
        <f t="shared" si="6"/>
        <v>s43w1d7</v>
      </c>
      <c r="F10" s="151">
        <f t="shared" si="7"/>
        <v>40405</v>
      </c>
      <c r="G10" s="145">
        <f t="shared" si="8"/>
        <v>6</v>
      </c>
      <c r="H10" s="146">
        <f>IF(H9&gt;4.5,H9+VLOOKUP(CEILING(H9,1),Tables!$L$2:$M$14,2,FALSE),H9+VLOOKUP(FLOOR(H9,1),Tables!$L$2:$M$14,2,FALSE))</f>
        <v>4.5</v>
      </c>
      <c r="I10" s="145">
        <f t="shared" si="9"/>
        <v>6</v>
      </c>
      <c r="K10" s="148">
        <f>IF(L9&lt;10,IF(L9&gt;4.5,L9+VLOOKUP(CEILING(L9,1),Tables!$L$2:$M$14,2,FALSE),L9+VLOOKUP(FLOOR(L9,1),Tables!$L$2:$M$14,2,FALSE)),10-(1/3))</f>
        <v>4.5</v>
      </c>
      <c r="L10" s="163">
        <f t="shared" si="1"/>
        <v>4.5</v>
      </c>
      <c r="N10" s="145">
        <f t="shared" si="2"/>
        <v>6</v>
      </c>
      <c r="P10" s="148">
        <f>IF(Q9&lt;10,IF(Q9&gt;4.5,Q9+VLOOKUP(CEILING(Q9,1),Tables!$L$2:$M$14,2,FALSE),Q9+VLOOKUP(FLOOR(Q9,1),Tables!$L$2:$M$14,2,FALSE)),10-(1/3))</f>
        <v>4.5</v>
      </c>
      <c r="Q10" s="163">
        <f t="shared" si="0"/>
        <v>4.5</v>
      </c>
      <c r="U10" s="148"/>
      <c r="V10" s="163"/>
      <c r="Z10" s="148"/>
      <c r="AA10" s="163"/>
      <c r="AE10" s="148"/>
      <c r="AF10" s="163"/>
    </row>
    <row r="11" spans="2:33">
      <c r="B11" s="103">
        <f t="shared" si="3"/>
        <v>43</v>
      </c>
      <c r="C11" s="103">
        <f t="shared" si="4"/>
        <v>2</v>
      </c>
      <c r="D11" s="103">
        <f t="shared" si="5"/>
        <v>1</v>
      </c>
      <c r="E11" s="102" t="str">
        <f t="shared" si="6"/>
        <v>s43w2d1</v>
      </c>
      <c r="F11" s="151">
        <f t="shared" si="7"/>
        <v>40406</v>
      </c>
      <c r="G11" s="145">
        <f t="shared" si="8"/>
        <v>7</v>
      </c>
      <c r="H11" s="146">
        <f>IF(H10&gt;4.5,H10+VLOOKUP(CEILING(H10,1),Tables!$L$2:$M$14,2,FALSE),H10+VLOOKUP(FLOOR(H10,1),Tables!$L$2:$M$14,2,FALSE))</f>
        <v>4.5158730158730158</v>
      </c>
      <c r="I11" s="145">
        <f t="shared" si="9"/>
        <v>7</v>
      </c>
      <c r="K11" s="148">
        <f>IF(L10&lt;10,IF(L10&gt;4.5,L10+VLOOKUP(CEILING(L10,1),Tables!$L$2:$M$14,2,FALSE),L10+VLOOKUP(FLOOR(L10,1),Tables!$L$2:$M$14,2,FALSE)),10-(1/3))</f>
        <v>4.5158730158730158</v>
      </c>
      <c r="L11" s="163">
        <f t="shared" si="1"/>
        <v>4.5158730158730158</v>
      </c>
      <c r="N11" s="145">
        <f t="shared" si="2"/>
        <v>7</v>
      </c>
      <c r="P11" s="148">
        <f>IF(Q10&lt;10,IF(Q10&gt;4.5,Q10+VLOOKUP(CEILING(Q10,1),Tables!$L$2:$M$14,2,FALSE),Q10+VLOOKUP(FLOOR(Q10,1),Tables!$L$2:$M$14,2,FALSE)),10-(1/3))</f>
        <v>4.5158730158730158</v>
      </c>
      <c r="Q11" s="163">
        <f t="shared" si="0"/>
        <v>4.5158730158730158</v>
      </c>
      <c r="U11" s="148"/>
      <c r="V11" s="163"/>
      <c r="Z11" s="148"/>
      <c r="AA11" s="163"/>
      <c r="AE11" s="148"/>
      <c r="AF11" s="163"/>
    </row>
    <row r="12" spans="2:33">
      <c r="B12" s="103">
        <f t="shared" si="3"/>
        <v>43</v>
      </c>
      <c r="C12" s="103">
        <f t="shared" si="4"/>
        <v>2</v>
      </c>
      <c r="D12" s="103">
        <f t="shared" si="5"/>
        <v>2</v>
      </c>
      <c r="E12" s="102" t="str">
        <f t="shared" si="6"/>
        <v>s43w2d2</v>
      </c>
      <c r="F12" s="151">
        <f t="shared" si="7"/>
        <v>40407</v>
      </c>
      <c r="G12" s="145">
        <f t="shared" si="8"/>
        <v>8</v>
      </c>
      <c r="H12" s="146">
        <f>IF(H11&gt;4.5,H11+VLOOKUP(CEILING(H11,1),Tables!$L$2:$M$14,2,FALSE),H11+VLOOKUP(FLOOR(H11,1),Tables!$L$2:$M$14,2,FALSE))</f>
        <v>4.5</v>
      </c>
      <c r="I12" s="145">
        <f t="shared" si="9"/>
        <v>8</v>
      </c>
      <c r="K12" s="148">
        <f>IF(L11&lt;10,IF(L11&gt;4.5,L11+VLOOKUP(CEILING(L11,1),Tables!$L$2:$M$14,2,FALSE),L11+VLOOKUP(FLOOR(L11,1),Tables!$L$2:$M$14,2,FALSE)),10-(1/3))</f>
        <v>4.5</v>
      </c>
      <c r="L12" s="163">
        <f t="shared" si="1"/>
        <v>4.5</v>
      </c>
      <c r="N12" s="145">
        <f t="shared" si="2"/>
        <v>8</v>
      </c>
      <c r="P12" s="148">
        <f>IF(Q11&lt;10,IF(Q11&gt;4.5,Q11+VLOOKUP(CEILING(Q11,1),Tables!$L$2:$M$14,2,FALSE),Q11+VLOOKUP(FLOOR(Q11,1),Tables!$L$2:$M$14,2,FALSE)),10-(1/3))</f>
        <v>4.5</v>
      </c>
      <c r="Q12" s="163">
        <f t="shared" si="0"/>
        <v>4.5</v>
      </c>
      <c r="U12" s="148"/>
      <c r="V12" s="163"/>
      <c r="Z12" s="148"/>
      <c r="AA12" s="163"/>
      <c r="AE12" s="148"/>
      <c r="AF12" s="163"/>
    </row>
    <row r="13" spans="2:33">
      <c r="B13" s="103">
        <f t="shared" si="3"/>
        <v>43</v>
      </c>
      <c r="C13" s="103">
        <f t="shared" si="4"/>
        <v>2</v>
      </c>
      <c r="D13" s="103">
        <f t="shared" si="5"/>
        <v>3</v>
      </c>
      <c r="E13" s="102" t="str">
        <f t="shared" si="6"/>
        <v>s43w2d3</v>
      </c>
      <c r="F13" s="151">
        <f t="shared" si="7"/>
        <v>40408</v>
      </c>
      <c r="G13" s="145">
        <f t="shared" si="8"/>
        <v>9</v>
      </c>
      <c r="H13" s="146">
        <f>IF(H12&gt;4.5,H12+VLOOKUP(CEILING(H12,1),Tables!$L$2:$M$14,2,FALSE),H12+VLOOKUP(FLOOR(H12,1),Tables!$L$2:$M$14,2,FALSE))</f>
        <v>4.5158730158730158</v>
      </c>
      <c r="I13" s="145">
        <f t="shared" si="9"/>
        <v>9</v>
      </c>
      <c r="K13" s="148">
        <f>IF(L12&lt;10,IF(L12&gt;4.5,L12+VLOOKUP(CEILING(L12,1),Tables!$L$2:$M$14,2,FALSE),L12+VLOOKUP(FLOOR(L12,1),Tables!$L$2:$M$14,2,FALSE)),10-(1/3))</f>
        <v>4.5158730158730158</v>
      </c>
      <c r="L13" s="163">
        <f t="shared" si="1"/>
        <v>4.5158730158730158</v>
      </c>
      <c r="N13" s="145">
        <f t="shared" si="2"/>
        <v>9</v>
      </c>
      <c r="P13" s="148">
        <f>IF(Q12&lt;10,IF(Q12&gt;4.5,Q12+VLOOKUP(CEILING(Q12,1),Tables!$L$2:$M$14,2,FALSE),Q12+VLOOKUP(FLOOR(Q12,1),Tables!$L$2:$M$14,2,FALSE)),10-(1/3))</f>
        <v>4.5158730158730158</v>
      </c>
      <c r="Q13" s="163">
        <f t="shared" si="0"/>
        <v>4.5158730158730158</v>
      </c>
      <c r="U13" s="148"/>
      <c r="V13" s="163"/>
      <c r="Z13" s="148"/>
      <c r="AA13" s="163"/>
      <c r="AE13" s="148"/>
      <c r="AF13" s="163"/>
    </row>
    <row r="14" spans="2:33">
      <c r="B14" s="103">
        <f t="shared" si="3"/>
        <v>43</v>
      </c>
      <c r="C14" s="103">
        <f t="shared" si="4"/>
        <v>2</v>
      </c>
      <c r="D14" s="103">
        <f t="shared" si="5"/>
        <v>4</v>
      </c>
      <c r="E14" s="102" t="str">
        <f t="shared" si="6"/>
        <v>s43w2d4</v>
      </c>
      <c r="F14" s="151">
        <f t="shared" si="7"/>
        <v>40409</v>
      </c>
      <c r="G14" s="145">
        <f t="shared" si="8"/>
        <v>10</v>
      </c>
      <c r="H14" s="146">
        <f>IF(H13&gt;4.5,H13+VLOOKUP(CEILING(H13,1),Tables!$L$2:$M$14,2,FALSE),H13+VLOOKUP(FLOOR(H13,1),Tables!$L$2:$M$14,2,FALSE))</f>
        <v>4.5</v>
      </c>
      <c r="I14" s="145">
        <f t="shared" si="9"/>
        <v>10</v>
      </c>
      <c r="K14" s="148">
        <f>IF(L13&lt;10,IF(L13&gt;4.5,L13+VLOOKUP(CEILING(L13,1),Tables!$L$2:$M$14,2,FALSE),L13+VLOOKUP(FLOOR(L13,1),Tables!$L$2:$M$14,2,FALSE)),10-(1/3))</f>
        <v>4.5</v>
      </c>
      <c r="L14" s="163">
        <f t="shared" si="1"/>
        <v>4.5</v>
      </c>
      <c r="N14" s="145">
        <f t="shared" si="2"/>
        <v>10</v>
      </c>
      <c r="P14" s="148">
        <f>IF(Q13&lt;10,IF(Q13&gt;4.5,Q13+VLOOKUP(CEILING(Q13,1),Tables!$L$2:$M$14,2,FALSE),Q13+VLOOKUP(FLOOR(Q13,1),Tables!$L$2:$M$14,2,FALSE)),10-(1/3))</f>
        <v>4.5</v>
      </c>
      <c r="Q14" s="163">
        <f t="shared" si="0"/>
        <v>4.5</v>
      </c>
      <c r="U14" s="148"/>
      <c r="V14" s="163"/>
      <c r="Z14" s="148"/>
      <c r="AA14" s="163"/>
      <c r="AE14" s="148"/>
      <c r="AF14" s="163"/>
    </row>
    <row r="15" spans="2:33">
      <c r="B15" s="103">
        <f t="shared" si="3"/>
        <v>43</v>
      </c>
      <c r="C15" s="103">
        <f t="shared" si="4"/>
        <v>2</v>
      </c>
      <c r="D15" s="103">
        <f t="shared" si="5"/>
        <v>5</v>
      </c>
      <c r="E15" s="102" t="str">
        <f t="shared" si="6"/>
        <v>s43w2d5</v>
      </c>
      <c r="F15" s="151">
        <f t="shared" si="7"/>
        <v>40410</v>
      </c>
      <c r="G15" s="145">
        <f t="shared" si="8"/>
        <v>11</v>
      </c>
      <c r="H15" s="146">
        <f>IF(H14&gt;4.5,H14+VLOOKUP(CEILING(H14,1),Tables!$L$2:$M$14,2,FALSE),H14+VLOOKUP(FLOOR(H14,1),Tables!$L$2:$M$14,2,FALSE))</f>
        <v>4.5158730158730158</v>
      </c>
      <c r="I15" s="145">
        <f t="shared" si="9"/>
        <v>11</v>
      </c>
      <c r="K15" s="148">
        <f>IF(L14&lt;10,IF(L14&gt;4.5,L14+VLOOKUP(CEILING(L14,1),Tables!$L$2:$M$14,2,FALSE),L14+VLOOKUP(FLOOR(L14,1),Tables!$L$2:$M$14,2,FALSE)),10-(1/3))</f>
        <v>4.5158730158730158</v>
      </c>
      <c r="L15" s="163">
        <f t="shared" si="1"/>
        <v>4.5158730158730158</v>
      </c>
      <c r="N15" s="145">
        <f t="shared" si="2"/>
        <v>11</v>
      </c>
      <c r="P15" s="148">
        <f>IF(Q14&lt;10,IF(Q14&gt;4.5,Q14+VLOOKUP(CEILING(Q14,1),Tables!$L$2:$M$14,2,FALSE),Q14+VLOOKUP(FLOOR(Q14,1),Tables!$L$2:$M$14,2,FALSE)),10-(1/3))</f>
        <v>4.5158730158730158</v>
      </c>
      <c r="Q15" s="163">
        <f t="shared" si="0"/>
        <v>4.5158730158730158</v>
      </c>
      <c r="U15" s="148"/>
      <c r="V15" s="163"/>
      <c r="Z15" s="148"/>
      <c r="AA15" s="163"/>
      <c r="AE15" s="148"/>
      <c r="AF15" s="163"/>
    </row>
    <row r="16" spans="2:33">
      <c r="B16" s="103">
        <f t="shared" si="3"/>
        <v>43</v>
      </c>
      <c r="C16" s="103">
        <f t="shared" si="4"/>
        <v>2</v>
      </c>
      <c r="D16" s="103">
        <f t="shared" si="5"/>
        <v>6</v>
      </c>
      <c r="E16" s="102" t="str">
        <f t="shared" si="6"/>
        <v>s43w2d6</v>
      </c>
      <c r="F16" s="151">
        <f t="shared" si="7"/>
        <v>40411</v>
      </c>
      <c r="G16" s="145">
        <f t="shared" si="8"/>
        <v>12</v>
      </c>
      <c r="H16" s="146">
        <f>IF(H15&gt;4.5,H15+VLOOKUP(CEILING(H15,1),Tables!$L$2:$M$14,2,FALSE),H15+VLOOKUP(FLOOR(H15,1),Tables!$L$2:$M$14,2,FALSE))</f>
        <v>4.5</v>
      </c>
      <c r="I16" s="145">
        <f t="shared" si="9"/>
        <v>12</v>
      </c>
      <c r="K16" s="148">
        <f>IF(L15&lt;10,IF(L15&gt;4.5,L15+VLOOKUP(CEILING(L15,1),Tables!$L$2:$M$14,2,FALSE),L15+VLOOKUP(FLOOR(L15,1),Tables!$L$2:$M$14,2,FALSE)),10-(1/3))</f>
        <v>4.5</v>
      </c>
      <c r="L16" s="163">
        <f t="shared" si="1"/>
        <v>4.5</v>
      </c>
      <c r="N16" s="145">
        <f t="shared" si="2"/>
        <v>12</v>
      </c>
      <c r="P16" s="148">
        <f>IF(Q15&lt;10,IF(Q15&gt;4.5,Q15+VLOOKUP(CEILING(Q15,1),Tables!$L$2:$M$14,2,FALSE),Q15+VLOOKUP(FLOOR(Q15,1),Tables!$L$2:$M$14,2,FALSE)),10-(1/3))</f>
        <v>4.5</v>
      </c>
      <c r="Q16" s="163">
        <f t="shared" si="0"/>
        <v>4.5</v>
      </c>
      <c r="U16" s="148"/>
      <c r="V16" s="163"/>
      <c r="Z16" s="148"/>
      <c r="AA16" s="163"/>
      <c r="AE16" s="148"/>
      <c r="AF16" s="163"/>
    </row>
    <row r="17" spans="2:32">
      <c r="B17" s="103">
        <f t="shared" si="3"/>
        <v>43</v>
      </c>
      <c r="C17" s="103">
        <f t="shared" si="4"/>
        <v>2</v>
      </c>
      <c r="D17" s="103">
        <f t="shared" si="5"/>
        <v>7</v>
      </c>
      <c r="E17" s="102" t="str">
        <f t="shared" si="6"/>
        <v>s43w2d7</v>
      </c>
      <c r="F17" s="151">
        <f t="shared" si="7"/>
        <v>40412</v>
      </c>
      <c r="G17" s="145">
        <f t="shared" si="8"/>
        <v>13</v>
      </c>
      <c r="H17" s="146">
        <f>IF(H16&gt;4.5,H16+VLOOKUP(CEILING(H16,1),Tables!$L$2:$M$14,2,FALSE),H16+VLOOKUP(FLOOR(H16,1),Tables!$L$2:$M$14,2,FALSE))</f>
        <v>4.5158730158730158</v>
      </c>
      <c r="I17" s="145">
        <f t="shared" si="9"/>
        <v>13</v>
      </c>
      <c r="K17" s="148">
        <f>IF(L16&lt;10,IF(L16&gt;4.5,L16+VLOOKUP(CEILING(L16,1),Tables!$L$2:$M$14,2,FALSE),L16+VLOOKUP(FLOOR(L16,1),Tables!$L$2:$M$14,2,FALSE)),10-(1/3))</f>
        <v>4.5158730158730158</v>
      </c>
      <c r="L17" s="163">
        <f t="shared" si="1"/>
        <v>4.5158730158730158</v>
      </c>
      <c r="N17" s="145">
        <f t="shared" si="2"/>
        <v>13</v>
      </c>
      <c r="P17" s="148">
        <f>IF(Q16&lt;10,IF(Q16&gt;4.5,Q16+VLOOKUP(CEILING(Q16,1),Tables!$L$2:$M$14,2,FALSE),Q16+VLOOKUP(FLOOR(Q16,1),Tables!$L$2:$M$14,2,FALSE)),10-(1/3))</f>
        <v>4.5158730158730158</v>
      </c>
      <c r="Q17" s="163">
        <f t="shared" si="0"/>
        <v>4.5158730158730158</v>
      </c>
      <c r="U17" s="148"/>
      <c r="V17" s="163"/>
      <c r="Z17" s="148"/>
      <c r="AA17" s="163"/>
      <c r="AE17" s="148"/>
      <c r="AF17" s="163"/>
    </row>
    <row r="18" spans="2:32">
      <c r="B18" s="103">
        <f t="shared" si="3"/>
        <v>43</v>
      </c>
      <c r="C18" s="103">
        <f t="shared" si="4"/>
        <v>3</v>
      </c>
      <c r="D18" s="103">
        <f t="shared" si="5"/>
        <v>1</v>
      </c>
      <c r="E18" s="102" t="str">
        <f t="shared" si="6"/>
        <v>s43w3d1</v>
      </c>
      <c r="F18" s="151">
        <f t="shared" si="7"/>
        <v>40413</v>
      </c>
      <c r="G18" s="145">
        <f t="shared" si="8"/>
        <v>14</v>
      </c>
      <c r="H18" s="146">
        <f>IF(H17&gt;4.5,H17+VLOOKUP(CEILING(H17,1),Tables!$L$2:$M$14,2,FALSE),H17+VLOOKUP(FLOOR(H17,1),Tables!$L$2:$M$14,2,FALSE))</f>
        <v>4.5</v>
      </c>
      <c r="I18" s="145">
        <f t="shared" si="9"/>
        <v>14</v>
      </c>
      <c r="K18" s="148">
        <f>IF(L17&lt;10,IF(L17&gt;4.5,L17+VLOOKUP(CEILING(L17,1),Tables!$L$2:$M$14,2,FALSE),L17+VLOOKUP(FLOOR(L17,1),Tables!$L$2:$M$14,2,FALSE)),10-(1/3))</f>
        <v>4.5</v>
      </c>
      <c r="L18" s="163">
        <f t="shared" si="1"/>
        <v>4.5</v>
      </c>
      <c r="N18" s="145">
        <f t="shared" si="2"/>
        <v>14</v>
      </c>
      <c r="P18" s="148">
        <f>IF(Q17&lt;10,IF(Q17&gt;4.5,Q17+VLOOKUP(CEILING(Q17,1),Tables!$L$2:$M$14,2,FALSE),Q17+VLOOKUP(FLOOR(Q17,1),Tables!$L$2:$M$14,2,FALSE)),10-(1/3))</f>
        <v>4.5</v>
      </c>
      <c r="Q18" s="163">
        <f t="shared" si="0"/>
        <v>4.5</v>
      </c>
      <c r="U18" s="148"/>
      <c r="V18" s="163"/>
      <c r="Z18" s="148"/>
      <c r="AA18" s="163"/>
      <c r="AE18" s="148"/>
      <c r="AF18" s="163"/>
    </row>
    <row r="19" spans="2:32">
      <c r="B19" s="103">
        <f t="shared" si="3"/>
        <v>43</v>
      </c>
      <c r="C19" s="103">
        <f t="shared" si="4"/>
        <v>3</v>
      </c>
      <c r="D19" s="103">
        <f t="shared" si="5"/>
        <v>2</v>
      </c>
      <c r="E19" s="102" t="str">
        <f t="shared" si="6"/>
        <v>s43w3d2</v>
      </c>
      <c r="F19" s="151">
        <f t="shared" si="7"/>
        <v>40414</v>
      </c>
      <c r="G19" s="145">
        <f t="shared" si="8"/>
        <v>15</v>
      </c>
      <c r="H19" s="146">
        <f>IF(H18&gt;4.5,H18+VLOOKUP(CEILING(H18,1),Tables!$L$2:$M$14,2,FALSE),H18+VLOOKUP(FLOOR(H18,1),Tables!$L$2:$M$14,2,FALSE))</f>
        <v>4.5158730158730158</v>
      </c>
      <c r="I19" s="145">
        <f t="shared" si="9"/>
        <v>15</v>
      </c>
      <c r="K19" s="148">
        <f>IF(L18&lt;10,IF(L18&gt;4.5,L18+VLOOKUP(CEILING(L18,1),Tables!$L$2:$M$14,2,FALSE),L18+VLOOKUP(FLOOR(L18,1),Tables!$L$2:$M$14,2,FALSE)),10-(1/3))</f>
        <v>4.5158730158730158</v>
      </c>
      <c r="L19" s="163">
        <f t="shared" si="1"/>
        <v>4.5158730158730158</v>
      </c>
      <c r="N19" s="145">
        <f t="shared" si="2"/>
        <v>15</v>
      </c>
      <c r="P19" s="148">
        <f>IF(Q18&lt;10,IF(Q18&gt;4.5,Q18+VLOOKUP(CEILING(Q18,1),Tables!$L$2:$M$14,2,FALSE),Q18+VLOOKUP(FLOOR(Q18,1),Tables!$L$2:$M$14,2,FALSE)),10-(1/3))</f>
        <v>4.5158730158730158</v>
      </c>
      <c r="Q19" s="163">
        <f t="shared" si="0"/>
        <v>4.5158730158730158</v>
      </c>
      <c r="U19" s="148"/>
      <c r="V19" s="163"/>
      <c r="Z19" s="148"/>
      <c r="AA19" s="163"/>
      <c r="AE19" s="148"/>
      <c r="AF19" s="163"/>
    </row>
    <row r="20" spans="2:32">
      <c r="B20" s="103">
        <f t="shared" si="3"/>
        <v>43</v>
      </c>
      <c r="C20" s="103">
        <f t="shared" si="4"/>
        <v>3</v>
      </c>
      <c r="D20" s="103">
        <f t="shared" si="5"/>
        <v>3</v>
      </c>
      <c r="E20" s="102" t="str">
        <f t="shared" si="6"/>
        <v>s43w3d3</v>
      </c>
      <c r="F20" s="151">
        <f t="shared" si="7"/>
        <v>40415</v>
      </c>
      <c r="G20" s="145">
        <f t="shared" si="8"/>
        <v>16</v>
      </c>
      <c r="H20" s="146">
        <f>IF(H19&gt;4.5,H19+VLOOKUP(CEILING(H19,1),Tables!$L$2:$M$14,2,FALSE),H19+VLOOKUP(FLOOR(H19,1),Tables!$L$2:$M$14,2,FALSE))</f>
        <v>4.5</v>
      </c>
      <c r="I20" s="145">
        <f t="shared" si="9"/>
        <v>16</v>
      </c>
      <c r="K20" s="148">
        <f>IF(L19&lt;10,IF(L19&gt;4.5,L19+VLOOKUP(CEILING(L19,1),Tables!$L$2:$M$14,2,FALSE),L19+VLOOKUP(FLOOR(L19,1),Tables!$L$2:$M$14,2,FALSE)),10-(1/3))</f>
        <v>4.5</v>
      </c>
      <c r="L20" s="163">
        <f t="shared" si="1"/>
        <v>4.5</v>
      </c>
      <c r="N20" s="145">
        <f t="shared" si="2"/>
        <v>16</v>
      </c>
      <c r="P20" s="148">
        <f>IF(Q19&lt;10,IF(Q19&gt;4.5,Q19+VLOOKUP(CEILING(Q19,1),Tables!$L$2:$M$14,2,FALSE),Q19+VLOOKUP(FLOOR(Q19,1),Tables!$L$2:$M$14,2,FALSE)),10-(1/3))</f>
        <v>4.5</v>
      </c>
      <c r="Q20" s="163">
        <f t="shared" si="0"/>
        <v>4.5</v>
      </c>
      <c r="U20" s="148"/>
      <c r="V20" s="163"/>
      <c r="Z20" s="148"/>
      <c r="AA20" s="163"/>
      <c r="AE20" s="148"/>
      <c r="AF20" s="163"/>
    </row>
    <row r="21" spans="2:32">
      <c r="B21" s="103">
        <f t="shared" si="3"/>
        <v>43</v>
      </c>
      <c r="C21" s="103">
        <f t="shared" si="4"/>
        <v>3</v>
      </c>
      <c r="D21" s="103">
        <f t="shared" si="5"/>
        <v>4</v>
      </c>
      <c r="E21" s="102" t="str">
        <f t="shared" si="6"/>
        <v>s43w3d4</v>
      </c>
      <c r="F21" s="151">
        <f t="shared" si="7"/>
        <v>40416</v>
      </c>
      <c r="G21" s="145">
        <f t="shared" si="8"/>
        <v>17</v>
      </c>
      <c r="H21" s="146">
        <f>IF(H20&gt;4.5,H20+VLOOKUP(CEILING(H20,1),Tables!$L$2:$M$14,2,FALSE),H20+VLOOKUP(FLOOR(H20,1),Tables!$L$2:$M$14,2,FALSE))</f>
        <v>4.5158730158730158</v>
      </c>
      <c r="I21" s="145">
        <f t="shared" si="9"/>
        <v>17</v>
      </c>
      <c r="K21" s="148">
        <f>IF(L20&lt;10,IF(L20&gt;4.5,L20+VLOOKUP(CEILING(L20,1),Tables!$L$2:$M$14,2,FALSE),L20+VLOOKUP(FLOOR(L20,1),Tables!$L$2:$M$14,2,FALSE)),10-(1/3))</f>
        <v>4.5158730158730158</v>
      </c>
      <c r="L21" s="163">
        <f t="shared" si="1"/>
        <v>4.5158730158730158</v>
      </c>
      <c r="N21" s="145">
        <f t="shared" si="2"/>
        <v>17</v>
      </c>
      <c r="P21" s="148">
        <f>IF(Q20&lt;10,IF(Q20&gt;4.5,Q20+VLOOKUP(CEILING(Q20,1),Tables!$L$2:$M$14,2,FALSE),Q20+VLOOKUP(FLOOR(Q20,1),Tables!$L$2:$M$14,2,FALSE)),10-(1/3))</f>
        <v>4.5158730158730158</v>
      </c>
      <c r="Q21" s="163">
        <f t="shared" si="0"/>
        <v>4.5158730158730158</v>
      </c>
      <c r="U21" s="148"/>
      <c r="V21" s="163"/>
      <c r="Z21" s="148"/>
      <c r="AA21" s="163"/>
      <c r="AE21" s="148"/>
      <c r="AF21" s="163"/>
    </row>
    <row r="22" spans="2:32">
      <c r="B22" s="103">
        <f t="shared" si="3"/>
        <v>43</v>
      </c>
      <c r="C22" s="103">
        <f t="shared" si="4"/>
        <v>3</v>
      </c>
      <c r="D22" s="103">
        <f t="shared" si="5"/>
        <v>5</v>
      </c>
      <c r="E22" s="102" t="str">
        <f t="shared" si="6"/>
        <v>s43w3d5</v>
      </c>
      <c r="F22" s="151">
        <f t="shared" si="7"/>
        <v>40417</v>
      </c>
      <c r="G22" s="145">
        <f t="shared" si="8"/>
        <v>18</v>
      </c>
      <c r="H22" s="146">
        <f>IF(H21&gt;4.5,H21+VLOOKUP(CEILING(H21,1),Tables!$L$2:$M$14,2,FALSE),H21+VLOOKUP(FLOOR(H21,1),Tables!$L$2:$M$14,2,FALSE))</f>
        <v>4.5</v>
      </c>
      <c r="I22" s="145">
        <f t="shared" si="9"/>
        <v>18</v>
      </c>
      <c r="K22" s="148">
        <f>IF(L21&lt;10,IF(L21&gt;4.5,L21+VLOOKUP(CEILING(L21,1),Tables!$L$2:$M$14,2,FALSE),L21+VLOOKUP(FLOOR(L21,1),Tables!$L$2:$M$14,2,FALSE)),10-(1/3))</f>
        <v>4.5</v>
      </c>
      <c r="L22" s="163">
        <f t="shared" si="1"/>
        <v>4.5</v>
      </c>
      <c r="N22" s="145">
        <f t="shared" si="2"/>
        <v>18</v>
      </c>
      <c r="P22" s="148">
        <f>IF(Q21&lt;10,IF(Q21&gt;4.5,Q21+VLOOKUP(CEILING(Q21,1),Tables!$L$2:$M$14,2,FALSE),Q21+VLOOKUP(FLOOR(Q21,1),Tables!$L$2:$M$14,2,FALSE)),10-(1/3))</f>
        <v>4.5</v>
      </c>
      <c r="Q22" s="163">
        <f t="shared" si="0"/>
        <v>4.5</v>
      </c>
      <c r="U22" s="148"/>
      <c r="V22" s="163"/>
      <c r="Z22" s="148"/>
      <c r="AA22" s="163"/>
      <c r="AE22" s="148"/>
      <c r="AF22" s="163"/>
    </row>
    <row r="23" spans="2:32">
      <c r="B23" s="103">
        <f t="shared" si="3"/>
        <v>43</v>
      </c>
      <c r="C23" s="103">
        <f t="shared" si="4"/>
        <v>3</v>
      </c>
      <c r="D23" s="103">
        <f t="shared" si="5"/>
        <v>6</v>
      </c>
      <c r="E23" s="102" t="str">
        <f t="shared" si="6"/>
        <v>s43w3d6</v>
      </c>
      <c r="F23" s="151">
        <f t="shared" si="7"/>
        <v>40418</v>
      </c>
      <c r="G23" s="145">
        <f t="shared" si="8"/>
        <v>19</v>
      </c>
      <c r="H23" s="146">
        <f>IF(H22&gt;4.5,H22+VLOOKUP(CEILING(H22,1),Tables!$L$2:$M$14,2,FALSE),H22+VLOOKUP(FLOOR(H22,1),Tables!$L$2:$M$14,2,FALSE))</f>
        <v>4.5158730158730158</v>
      </c>
      <c r="I23" s="145">
        <f t="shared" si="9"/>
        <v>19</v>
      </c>
      <c r="K23" s="148">
        <f>IF(L22&lt;10,IF(L22&gt;4.5,L22+VLOOKUP(CEILING(L22,1),Tables!$L$2:$M$14,2,FALSE),L22+VLOOKUP(FLOOR(L22,1),Tables!$L$2:$M$14,2,FALSE)),10-(1/3))</f>
        <v>4.5158730158730158</v>
      </c>
      <c r="L23" s="163">
        <f t="shared" si="1"/>
        <v>4.5158730158730158</v>
      </c>
      <c r="N23" s="145">
        <f t="shared" si="2"/>
        <v>19</v>
      </c>
      <c r="P23" s="148">
        <f>IF(Q22&lt;10,IF(Q22&gt;4.5,Q22+VLOOKUP(CEILING(Q22,1),Tables!$L$2:$M$14,2,FALSE),Q22+VLOOKUP(FLOOR(Q22,1),Tables!$L$2:$M$14,2,FALSE)),10-(1/3))</f>
        <v>4.5158730158730158</v>
      </c>
      <c r="Q23" s="163">
        <f t="shared" si="0"/>
        <v>4.5158730158730158</v>
      </c>
      <c r="U23" s="148"/>
      <c r="V23" s="163"/>
      <c r="Z23" s="148"/>
      <c r="AA23" s="163"/>
      <c r="AE23" s="148"/>
      <c r="AF23" s="163"/>
    </row>
    <row r="24" spans="2:32">
      <c r="B24" s="103">
        <f t="shared" si="3"/>
        <v>43</v>
      </c>
      <c r="C24" s="103">
        <f t="shared" si="4"/>
        <v>3</v>
      </c>
      <c r="D24" s="103">
        <f t="shared" si="5"/>
        <v>7</v>
      </c>
      <c r="E24" s="102" t="str">
        <f t="shared" si="6"/>
        <v>s43w3d7</v>
      </c>
      <c r="F24" s="151">
        <f t="shared" si="7"/>
        <v>40419</v>
      </c>
      <c r="G24" s="145">
        <f t="shared" si="8"/>
        <v>20</v>
      </c>
      <c r="H24" s="146">
        <f>IF(H23&gt;4.5,H23+VLOOKUP(CEILING(H23,1),Tables!$L$2:$M$14,2,FALSE),H23+VLOOKUP(FLOOR(H23,1),Tables!$L$2:$M$14,2,FALSE))</f>
        <v>4.5</v>
      </c>
      <c r="I24" s="145">
        <f t="shared" si="9"/>
        <v>20</v>
      </c>
      <c r="K24" s="148">
        <f>IF(L23&lt;10,IF(L23&gt;4.5,L23+VLOOKUP(CEILING(L23,1),Tables!$L$2:$M$14,2,FALSE),L23+VLOOKUP(FLOOR(L23,1),Tables!$L$2:$M$14,2,FALSE)),10-(1/3))</f>
        <v>4.5</v>
      </c>
      <c r="L24" s="163">
        <f t="shared" si="1"/>
        <v>4.5</v>
      </c>
      <c r="N24" s="145">
        <f t="shared" si="2"/>
        <v>20</v>
      </c>
      <c r="P24" s="148">
        <f>IF(Q23&lt;10,IF(Q23&gt;4.5,Q23+VLOOKUP(CEILING(Q23,1),Tables!$L$2:$M$14,2,FALSE),Q23+VLOOKUP(FLOOR(Q23,1),Tables!$L$2:$M$14,2,FALSE)),10-(1/3))</f>
        <v>4.5</v>
      </c>
      <c r="Q24" s="163">
        <f t="shared" si="0"/>
        <v>4.5</v>
      </c>
      <c r="U24" s="148"/>
      <c r="V24" s="163"/>
      <c r="Z24" s="148"/>
      <c r="AA24" s="163"/>
      <c r="AE24" s="148"/>
      <c r="AF24" s="163"/>
    </row>
    <row r="25" spans="2:32">
      <c r="B25" s="103">
        <f t="shared" si="3"/>
        <v>43</v>
      </c>
      <c r="C25" s="103">
        <f t="shared" si="4"/>
        <v>4</v>
      </c>
      <c r="D25" s="103">
        <f t="shared" si="5"/>
        <v>1</v>
      </c>
      <c r="E25" s="102" t="str">
        <f t="shared" si="6"/>
        <v>s43w4d1</v>
      </c>
      <c r="F25" s="151">
        <f t="shared" si="7"/>
        <v>40420</v>
      </c>
      <c r="G25" s="145">
        <f t="shared" si="8"/>
        <v>21</v>
      </c>
      <c r="H25" s="146">
        <f>IF(H24&gt;4.5,H24+VLOOKUP(CEILING(H24,1),Tables!$L$2:$M$14,2,FALSE),H24+VLOOKUP(FLOOR(H24,1),Tables!$L$2:$M$14,2,FALSE))</f>
        <v>4.5158730158730158</v>
      </c>
      <c r="I25" s="145">
        <f t="shared" si="9"/>
        <v>21</v>
      </c>
      <c r="K25" s="148">
        <f>IF(L24&lt;10,IF(L24&gt;4.5,L24+VLOOKUP(CEILING(L24,1),Tables!$L$2:$M$14,2,FALSE),L24+VLOOKUP(FLOOR(L24,1),Tables!$L$2:$M$14,2,FALSE)),10-(1/3))</f>
        <v>4.5158730158730158</v>
      </c>
      <c r="L25" s="163">
        <f t="shared" si="1"/>
        <v>4.5158730158730158</v>
      </c>
      <c r="N25" s="145">
        <f t="shared" si="2"/>
        <v>21</v>
      </c>
      <c r="P25" s="148">
        <f>IF(Q24&lt;10,IF(Q24&gt;4.5,Q24+VLOOKUP(CEILING(Q24,1),Tables!$L$2:$M$14,2,FALSE),Q24+VLOOKUP(FLOOR(Q24,1),Tables!$L$2:$M$14,2,FALSE)),10-(1/3))</f>
        <v>4.5158730158730158</v>
      </c>
      <c r="Q25" s="163">
        <f t="shared" si="0"/>
        <v>4.5158730158730158</v>
      </c>
      <c r="U25" s="148"/>
      <c r="V25" s="163"/>
      <c r="Z25" s="148"/>
      <c r="AA25" s="163"/>
      <c r="AE25" s="148"/>
      <c r="AF25" s="163"/>
    </row>
    <row r="26" spans="2:32">
      <c r="B26" s="103">
        <f t="shared" si="3"/>
        <v>43</v>
      </c>
      <c r="C26" s="103">
        <f t="shared" si="4"/>
        <v>4</v>
      </c>
      <c r="D26" s="103">
        <f t="shared" si="5"/>
        <v>2</v>
      </c>
      <c r="E26" s="102" t="str">
        <f t="shared" si="6"/>
        <v>s43w4d2</v>
      </c>
      <c r="F26" s="151">
        <f t="shared" si="7"/>
        <v>40421</v>
      </c>
      <c r="G26" s="145">
        <f t="shared" si="8"/>
        <v>22</v>
      </c>
      <c r="H26" s="146">
        <f>IF(H25&gt;4.5,H25+VLOOKUP(CEILING(H25,1),Tables!$L$2:$M$14,2,FALSE),H25+VLOOKUP(FLOOR(H25,1),Tables!$L$2:$M$14,2,FALSE))</f>
        <v>4.5</v>
      </c>
      <c r="I26" s="145">
        <f t="shared" si="9"/>
        <v>22</v>
      </c>
      <c r="K26" s="148">
        <f>IF(L25&lt;10,IF(L25&gt;4.5,L25+VLOOKUP(CEILING(L25,1),Tables!$L$2:$M$14,2,FALSE),L25+VLOOKUP(FLOOR(L25,1),Tables!$L$2:$M$14,2,FALSE)),10-(1/3))</f>
        <v>4.5</v>
      </c>
      <c r="L26" s="163">
        <f t="shared" si="1"/>
        <v>4.5</v>
      </c>
      <c r="N26" s="145">
        <f t="shared" si="2"/>
        <v>22</v>
      </c>
      <c r="P26" s="148">
        <f>IF(Q25&lt;10,IF(Q25&gt;4.5,Q25+VLOOKUP(CEILING(Q25,1),Tables!$L$2:$M$14,2,FALSE),Q25+VLOOKUP(FLOOR(Q25,1),Tables!$L$2:$M$14,2,FALSE)),10-(1/3))</f>
        <v>4.5</v>
      </c>
      <c r="Q26" s="163">
        <f t="shared" si="0"/>
        <v>4.5</v>
      </c>
      <c r="U26" s="148"/>
      <c r="V26" s="163"/>
      <c r="Z26" s="148"/>
      <c r="AA26" s="163"/>
      <c r="AE26" s="148"/>
      <c r="AF26" s="163"/>
    </row>
    <row r="27" spans="2:32">
      <c r="B27" s="103">
        <f t="shared" si="3"/>
        <v>43</v>
      </c>
      <c r="C27" s="103">
        <f t="shared" si="4"/>
        <v>4</v>
      </c>
      <c r="D27" s="103">
        <f t="shared" si="5"/>
        <v>3</v>
      </c>
      <c r="E27" s="102" t="str">
        <f t="shared" si="6"/>
        <v>s43w4d3</v>
      </c>
      <c r="F27" s="151">
        <f t="shared" si="7"/>
        <v>40422</v>
      </c>
      <c r="G27" s="145">
        <f t="shared" si="8"/>
        <v>23</v>
      </c>
      <c r="H27" s="146">
        <f>IF(H26&gt;4.5,H26+VLOOKUP(CEILING(H26,1),Tables!$L$2:$M$14,2,FALSE),H26+VLOOKUP(FLOOR(H26,1),Tables!$L$2:$M$14,2,FALSE))</f>
        <v>4.5158730158730158</v>
      </c>
      <c r="I27" s="145">
        <f t="shared" si="9"/>
        <v>23</v>
      </c>
      <c r="K27" s="148">
        <f>IF(L26&lt;10,IF(L26&gt;4.5,L26+VLOOKUP(CEILING(L26,1),Tables!$L$2:$M$14,2,FALSE),L26+VLOOKUP(FLOOR(L26,1),Tables!$L$2:$M$14,2,FALSE)),10-(1/3))</f>
        <v>4.5158730158730158</v>
      </c>
      <c r="L27" s="163">
        <f t="shared" si="1"/>
        <v>4.5158730158730158</v>
      </c>
      <c r="N27" s="145">
        <f t="shared" si="2"/>
        <v>23</v>
      </c>
      <c r="P27" s="148">
        <f>IF(Q26&lt;10,IF(Q26&gt;4.5,Q26+VLOOKUP(CEILING(Q26,1),Tables!$L$2:$M$14,2,FALSE),Q26+VLOOKUP(FLOOR(Q26,1),Tables!$L$2:$M$14,2,FALSE)),10-(1/3))</f>
        <v>4.5158730158730158</v>
      </c>
      <c r="Q27" s="163">
        <f t="shared" si="0"/>
        <v>4.5158730158730158</v>
      </c>
      <c r="U27" s="148"/>
      <c r="V27" s="163"/>
      <c r="Z27" s="148"/>
      <c r="AA27" s="163"/>
      <c r="AE27" s="148"/>
      <c r="AF27" s="163"/>
    </row>
    <row r="28" spans="2:32">
      <c r="B28" s="103">
        <f t="shared" si="3"/>
        <v>43</v>
      </c>
      <c r="C28" s="103">
        <f t="shared" si="4"/>
        <v>4</v>
      </c>
      <c r="D28" s="103">
        <f t="shared" si="5"/>
        <v>4</v>
      </c>
      <c r="E28" s="102" t="str">
        <f t="shared" si="6"/>
        <v>s43w4d4</v>
      </c>
      <c r="F28" s="151">
        <f t="shared" si="7"/>
        <v>40423</v>
      </c>
      <c r="G28" s="145">
        <f t="shared" si="8"/>
        <v>24</v>
      </c>
      <c r="H28" s="146">
        <f>IF(H27&gt;4.5,H27+VLOOKUP(CEILING(H27,1),Tables!$L$2:$M$14,2,FALSE),H27+VLOOKUP(FLOOR(H27,1),Tables!$L$2:$M$14,2,FALSE))</f>
        <v>4.5</v>
      </c>
      <c r="I28" s="145">
        <f t="shared" si="9"/>
        <v>24</v>
      </c>
      <c r="K28" s="148">
        <f>IF(L27&lt;10,IF(L27&gt;4.5,L27+VLOOKUP(CEILING(L27,1),Tables!$L$2:$M$14,2,FALSE),L27+VLOOKUP(FLOOR(L27,1),Tables!$L$2:$M$14,2,FALSE)),10-(1/3))</f>
        <v>4.5</v>
      </c>
      <c r="L28" s="163">
        <f t="shared" si="1"/>
        <v>4.5</v>
      </c>
      <c r="N28" s="145">
        <f t="shared" si="2"/>
        <v>24</v>
      </c>
      <c r="P28" s="148">
        <f>IF(Q27&lt;10,IF(Q27&gt;4.5,Q27+VLOOKUP(CEILING(Q27,1),Tables!$L$2:$M$14,2,FALSE),Q27+VLOOKUP(FLOOR(Q27,1),Tables!$L$2:$M$14,2,FALSE)),10-(1/3))</f>
        <v>4.5</v>
      </c>
      <c r="Q28" s="163">
        <f t="shared" si="0"/>
        <v>4.5</v>
      </c>
      <c r="U28" s="148"/>
      <c r="V28" s="163"/>
      <c r="Z28" s="148"/>
      <c r="AA28" s="163"/>
      <c r="AE28" s="148"/>
      <c r="AF28" s="163"/>
    </row>
    <row r="29" spans="2:32">
      <c r="B29" s="103">
        <f t="shared" si="3"/>
        <v>43</v>
      </c>
      <c r="C29" s="103">
        <f t="shared" si="4"/>
        <v>4</v>
      </c>
      <c r="D29" s="103">
        <f t="shared" si="5"/>
        <v>5</v>
      </c>
      <c r="E29" s="102" t="str">
        <f t="shared" si="6"/>
        <v>s43w4d5</v>
      </c>
      <c r="F29" s="151">
        <f t="shared" si="7"/>
        <v>40424</v>
      </c>
      <c r="G29" s="145">
        <f t="shared" si="8"/>
        <v>25</v>
      </c>
      <c r="H29" s="146">
        <f>IF(H28&gt;4.5,H28+VLOOKUP(CEILING(H28,1),Tables!$L$2:$M$14,2,FALSE),H28+VLOOKUP(FLOOR(H28,1),Tables!$L$2:$M$14,2,FALSE))</f>
        <v>4.5158730158730158</v>
      </c>
      <c r="I29" s="145">
        <f t="shared" si="9"/>
        <v>25</v>
      </c>
      <c r="K29" s="148">
        <f>IF(L28&lt;10,IF(L28&gt;4.5,L28+VLOOKUP(CEILING(L28,1),Tables!$L$2:$M$14,2,FALSE),L28+VLOOKUP(FLOOR(L28,1),Tables!$L$2:$M$14,2,FALSE)),10-(1/3))</f>
        <v>4.5158730158730158</v>
      </c>
      <c r="L29" s="163">
        <f t="shared" si="1"/>
        <v>4.5158730158730158</v>
      </c>
      <c r="N29" s="145">
        <f t="shared" si="2"/>
        <v>25</v>
      </c>
      <c r="P29" s="148">
        <f>IF(Q28&lt;10,IF(Q28&gt;4.5,Q28+VLOOKUP(CEILING(Q28,1),Tables!$L$2:$M$14,2,FALSE),Q28+VLOOKUP(FLOOR(Q28,1),Tables!$L$2:$M$14,2,FALSE)),10-(1/3))</f>
        <v>4.5158730158730158</v>
      </c>
      <c r="Q29" s="163">
        <f t="shared" si="0"/>
        <v>4.5158730158730158</v>
      </c>
      <c r="U29" s="148"/>
      <c r="V29" s="163"/>
      <c r="Z29" s="148"/>
      <c r="AA29" s="163"/>
      <c r="AE29" s="148"/>
      <c r="AF29" s="163"/>
    </row>
    <row r="30" spans="2:32">
      <c r="B30" s="103">
        <f t="shared" si="3"/>
        <v>43</v>
      </c>
      <c r="C30" s="103">
        <f t="shared" si="4"/>
        <v>4</v>
      </c>
      <c r="D30" s="103">
        <f t="shared" si="5"/>
        <v>6</v>
      </c>
      <c r="E30" s="102" t="str">
        <f t="shared" si="6"/>
        <v>s43w4d6</v>
      </c>
      <c r="F30" s="151">
        <f t="shared" si="7"/>
        <v>40425</v>
      </c>
      <c r="G30" s="145">
        <f t="shared" si="8"/>
        <v>26</v>
      </c>
      <c r="H30" s="146">
        <f>IF(H29&gt;4.5,H29+VLOOKUP(CEILING(H29,1),Tables!$L$2:$M$14,2,FALSE),H29+VLOOKUP(FLOOR(H29,1),Tables!$L$2:$M$14,2,FALSE))</f>
        <v>4.5</v>
      </c>
      <c r="I30" s="145">
        <f t="shared" si="9"/>
        <v>26</v>
      </c>
      <c r="K30" s="148">
        <f>IF(L29&lt;10,IF(L29&gt;4.5,L29+VLOOKUP(CEILING(L29,1),Tables!$L$2:$M$14,2,FALSE),L29+VLOOKUP(FLOOR(L29,1),Tables!$L$2:$M$14,2,FALSE)),10-(1/3))</f>
        <v>4.5</v>
      </c>
      <c r="L30" s="163">
        <f t="shared" si="1"/>
        <v>4.5</v>
      </c>
      <c r="N30" s="145">
        <f t="shared" si="2"/>
        <v>26</v>
      </c>
      <c r="P30" s="148">
        <f>IF(Q29&lt;10,IF(Q29&gt;4.5,Q29+VLOOKUP(CEILING(Q29,1),Tables!$L$2:$M$14,2,FALSE),Q29+VLOOKUP(FLOOR(Q29,1),Tables!$L$2:$M$14,2,FALSE)),10-(1/3))</f>
        <v>4.5</v>
      </c>
      <c r="Q30" s="163">
        <f t="shared" si="0"/>
        <v>4.5</v>
      </c>
      <c r="U30" s="148"/>
      <c r="V30" s="163"/>
      <c r="Z30" s="148"/>
      <c r="AA30" s="163"/>
      <c r="AE30" s="148"/>
      <c r="AF30" s="163"/>
    </row>
    <row r="31" spans="2:32">
      <c r="B31" s="103">
        <f t="shared" si="3"/>
        <v>43</v>
      </c>
      <c r="C31" s="103">
        <f t="shared" si="4"/>
        <v>4</v>
      </c>
      <c r="D31" s="103">
        <f t="shared" si="5"/>
        <v>7</v>
      </c>
      <c r="E31" s="102" t="str">
        <f t="shared" si="6"/>
        <v>s43w4d7</v>
      </c>
      <c r="F31" s="151">
        <f t="shared" si="7"/>
        <v>40426</v>
      </c>
      <c r="G31" s="145">
        <f t="shared" si="8"/>
        <v>27</v>
      </c>
      <c r="H31" s="146">
        <f>IF(H30&gt;4.5,H30+VLOOKUP(CEILING(H30,1),Tables!$L$2:$M$14,2,FALSE),H30+VLOOKUP(FLOOR(H30,1),Tables!$L$2:$M$14,2,FALSE))</f>
        <v>4.5158730158730158</v>
      </c>
      <c r="I31" s="145">
        <f t="shared" si="9"/>
        <v>27</v>
      </c>
      <c r="K31" s="148">
        <f>IF(L30&lt;10,IF(L30&gt;4.5,L30+VLOOKUP(CEILING(L30,1),Tables!$L$2:$M$14,2,FALSE),L30+VLOOKUP(FLOOR(L30,1),Tables!$L$2:$M$14,2,FALSE)),10-(1/3))</f>
        <v>4.5158730158730158</v>
      </c>
      <c r="L31" s="163">
        <f t="shared" si="1"/>
        <v>4.5158730158730158</v>
      </c>
      <c r="N31" s="145">
        <f t="shared" si="2"/>
        <v>27</v>
      </c>
      <c r="P31" s="148">
        <f>IF(Q30&lt;10,IF(Q30&gt;4.5,Q30+VLOOKUP(CEILING(Q30,1),Tables!$L$2:$M$14,2,FALSE),Q30+VLOOKUP(FLOOR(Q30,1),Tables!$L$2:$M$14,2,FALSE)),10-(1/3))</f>
        <v>4.5158730158730158</v>
      </c>
      <c r="Q31" s="163">
        <f t="shared" si="0"/>
        <v>4.5158730158730158</v>
      </c>
      <c r="U31" s="148"/>
      <c r="V31" s="163"/>
      <c r="Z31" s="148"/>
      <c r="AA31" s="163"/>
      <c r="AE31" s="148"/>
      <c r="AF31" s="163"/>
    </row>
    <row r="32" spans="2:32">
      <c r="B32" s="103">
        <f t="shared" si="3"/>
        <v>43</v>
      </c>
      <c r="C32" s="103">
        <f t="shared" si="4"/>
        <v>5</v>
      </c>
      <c r="D32" s="103">
        <f t="shared" si="5"/>
        <v>1</v>
      </c>
      <c r="E32" s="102" t="str">
        <f t="shared" si="6"/>
        <v>s43w5d1</v>
      </c>
      <c r="F32" s="151">
        <f t="shared" si="7"/>
        <v>40427</v>
      </c>
      <c r="G32" s="145">
        <f t="shared" si="8"/>
        <v>28</v>
      </c>
      <c r="H32" s="146">
        <f>IF(H31&gt;4.5,H31+VLOOKUP(CEILING(H31,1),Tables!$L$2:$M$14,2,FALSE),H31+VLOOKUP(FLOOR(H31,1),Tables!$L$2:$M$14,2,FALSE))</f>
        <v>4.5</v>
      </c>
      <c r="I32" s="145">
        <f t="shared" si="9"/>
        <v>28</v>
      </c>
      <c r="K32" s="148">
        <f>IF(L31&lt;10,IF(L31&gt;4.5,L31+VLOOKUP(CEILING(L31,1),Tables!$L$2:$M$14,2,FALSE),L31+VLOOKUP(FLOOR(L31,1),Tables!$L$2:$M$14,2,FALSE)),10-(1/3))</f>
        <v>4.5</v>
      </c>
      <c r="L32" s="163">
        <f t="shared" si="1"/>
        <v>4.5</v>
      </c>
      <c r="N32" s="145">
        <f t="shared" si="2"/>
        <v>28</v>
      </c>
      <c r="P32" s="148">
        <f>IF(Q31&lt;10,IF(Q31&gt;4.5,Q31+VLOOKUP(CEILING(Q31,1),Tables!$L$2:$M$14,2,FALSE),Q31+VLOOKUP(FLOOR(Q31,1),Tables!$L$2:$M$14,2,FALSE)),10-(1/3))</f>
        <v>4.5</v>
      </c>
      <c r="Q32" s="163">
        <f t="shared" si="0"/>
        <v>4.5</v>
      </c>
      <c r="U32" s="148"/>
      <c r="V32" s="163"/>
      <c r="Z32" s="148"/>
      <c r="AA32" s="163"/>
      <c r="AE32" s="148"/>
      <c r="AF32" s="163"/>
    </row>
    <row r="33" spans="2:32">
      <c r="B33" s="103">
        <f t="shared" si="3"/>
        <v>43</v>
      </c>
      <c r="C33" s="103">
        <f t="shared" si="4"/>
        <v>5</v>
      </c>
      <c r="D33" s="103">
        <f t="shared" si="5"/>
        <v>2</v>
      </c>
      <c r="E33" s="102" t="str">
        <f t="shared" si="6"/>
        <v>s43w5d2</v>
      </c>
      <c r="F33" s="151">
        <f t="shared" si="7"/>
        <v>40428</v>
      </c>
      <c r="G33" s="145">
        <f t="shared" si="8"/>
        <v>29</v>
      </c>
      <c r="H33" s="146">
        <f>IF(H32&gt;4.5,H32+VLOOKUP(CEILING(H32,1),Tables!$L$2:$M$14,2,FALSE),H32+VLOOKUP(FLOOR(H32,1),Tables!$L$2:$M$14,2,FALSE))</f>
        <v>4.5158730158730158</v>
      </c>
      <c r="I33" s="145">
        <f t="shared" si="9"/>
        <v>29</v>
      </c>
      <c r="K33" s="148">
        <f>IF(L32&lt;10,IF(L32&gt;4.5,L32+VLOOKUP(CEILING(L32,1),Tables!$L$2:$M$14,2,FALSE),L32+VLOOKUP(FLOOR(L32,1),Tables!$L$2:$M$14,2,FALSE)),10-(1/3))</f>
        <v>4.5158730158730158</v>
      </c>
      <c r="L33" s="163">
        <f t="shared" si="1"/>
        <v>4.5158730158730158</v>
      </c>
      <c r="N33" s="145">
        <f t="shared" si="2"/>
        <v>29</v>
      </c>
      <c r="P33" s="148">
        <f>IF(Q32&lt;10,IF(Q32&gt;4.5,Q32+VLOOKUP(CEILING(Q32,1),Tables!$L$2:$M$14,2,FALSE),Q32+VLOOKUP(FLOOR(Q32,1),Tables!$L$2:$M$14,2,FALSE)),10-(1/3))</f>
        <v>4.5158730158730158</v>
      </c>
      <c r="Q33" s="163">
        <f t="shared" si="0"/>
        <v>4.5158730158730158</v>
      </c>
      <c r="U33" s="148"/>
      <c r="V33" s="163"/>
      <c r="Z33" s="148"/>
      <c r="AA33" s="163"/>
      <c r="AE33" s="148"/>
      <c r="AF33" s="163"/>
    </row>
    <row r="34" spans="2:32">
      <c r="B34" s="103">
        <f t="shared" si="3"/>
        <v>43</v>
      </c>
      <c r="C34" s="103">
        <f t="shared" si="4"/>
        <v>5</v>
      </c>
      <c r="D34" s="103">
        <f t="shared" si="5"/>
        <v>3</v>
      </c>
      <c r="E34" s="102" t="str">
        <f t="shared" si="6"/>
        <v>s43w5d3</v>
      </c>
      <c r="F34" s="151">
        <f t="shared" si="7"/>
        <v>40429</v>
      </c>
      <c r="G34" s="145">
        <f t="shared" si="8"/>
        <v>30</v>
      </c>
      <c r="H34" s="146">
        <f>IF(H33&gt;4.5,H33+VLOOKUP(CEILING(H33,1),Tables!$L$2:$M$14,2,FALSE),H33+VLOOKUP(FLOOR(H33,1),Tables!$L$2:$M$14,2,FALSE))</f>
        <v>4.5</v>
      </c>
      <c r="I34" s="145">
        <f t="shared" si="9"/>
        <v>30</v>
      </c>
      <c r="K34" s="148">
        <f>IF(L33&lt;10,IF(L33&gt;4.5,L33+VLOOKUP(CEILING(L33,1),Tables!$L$2:$M$14,2,FALSE),L33+VLOOKUP(FLOOR(L33,1),Tables!$L$2:$M$14,2,FALSE)),10-(1/3))</f>
        <v>4.5</v>
      </c>
      <c r="L34" s="163">
        <f t="shared" si="1"/>
        <v>4.5</v>
      </c>
      <c r="N34" s="145">
        <f t="shared" si="2"/>
        <v>30</v>
      </c>
      <c r="P34" s="148">
        <f>IF(Q33&lt;10,IF(Q33&gt;4.5,Q33+VLOOKUP(CEILING(Q33,1),Tables!$L$2:$M$14,2,FALSE),Q33+VLOOKUP(FLOOR(Q33,1),Tables!$L$2:$M$14,2,FALSE)),10-(1/3))</f>
        <v>4.5</v>
      </c>
      <c r="Q34" s="163">
        <f t="shared" si="0"/>
        <v>4.5</v>
      </c>
      <c r="U34" s="148"/>
      <c r="V34" s="163"/>
      <c r="Z34" s="148"/>
      <c r="AA34" s="163"/>
      <c r="AE34" s="148"/>
      <c r="AF34" s="163"/>
    </row>
    <row r="35" spans="2:32">
      <c r="B35" s="103">
        <f t="shared" ref="B35:B98" si="10">IF(AND(C34=16,D34=7),B34+1,B34)</f>
        <v>43</v>
      </c>
      <c r="C35" s="103">
        <f t="shared" ref="C35:C98" si="11">IF(B35&gt;B34,1,IF(D34=7,C34+1,C34))</f>
        <v>5</v>
      </c>
      <c r="D35" s="103">
        <f t="shared" ref="D35:D98" si="12">IF(D34=7,1,D34+1)</f>
        <v>4</v>
      </c>
      <c r="E35" s="102" t="str">
        <f t="shared" ref="E35:E98" si="13">CONCATENATE("s",B35,"w",C35,"d",D35)</f>
        <v>s43w5d4</v>
      </c>
      <c r="F35" s="151">
        <f t="shared" ref="F35:F98" si="14">F34+1</f>
        <v>40430</v>
      </c>
      <c r="G35" s="145">
        <f t="shared" ref="G35:G98" si="15">G34+1</f>
        <v>31</v>
      </c>
      <c r="H35" s="146">
        <f>IF(H34&gt;4.5,H34+VLOOKUP(CEILING(H34,1),Tables!$L$2:$M$14,2,FALSE),H34+VLOOKUP(FLOOR(H34,1),Tables!$L$2:$M$14,2,FALSE))</f>
        <v>4.5158730158730158</v>
      </c>
      <c r="I35" s="145">
        <f t="shared" ref="I35:I98" si="16">I34+1</f>
        <v>31</v>
      </c>
      <c r="K35" s="148">
        <f>IF(L34&lt;10,IF(L34&gt;4.5,L34+VLOOKUP(CEILING(L34,1),Tables!$L$2:$M$14,2,FALSE),L34+VLOOKUP(FLOOR(L34,1),Tables!$L$2:$M$14,2,FALSE)),10-(1/3))</f>
        <v>4.5158730158730158</v>
      </c>
      <c r="L35" s="163">
        <f t="shared" ref="L35:L98" si="17">IF(J35="pic",K35*1.33,IF(J35="mots",K35*0.5,K35))</f>
        <v>4.5158730158730158</v>
      </c>
      <c r="N35" s="145">
        <f t="shared" ref="N35:N98" si="18">N34+1</f>
        <v>31</v>
      </c>
      <c r="P35" s="148">
        <f>IF(Q34&lt;10,IF(Q34&gt;4.5,Q34+VLOOKUP(CEILING(Q34,1),Tables!$L$2:$M$14,2,FALSE),Q34+VLOOKUP(FLOOR(Q34,1),Tables!$L$2:$M$14,2,FALSE)),10-(1/3))</f>
        <v>4.5158730158730158</v>
      </c>
      <c r="Q35" s="163">
        <f t="shared" ref="Q35:Q98" si="19">IF(O35="pic",P35*1.33,IF(O35="mots",P35*0.5,P35))</f>
        <v>4.5158730158730158</v>
      </c>
      <c r="U35" s="148"/>
      <c r="V35" s="163"/>
      <c r="Z35" s="148"/>
      <c r="AA35" s="163"/>
      <c r="AE35" s="148"/>
      <c r="AF35" s="163"/>
    </row>
    <row r="36" spans="2:32">
      <c r="B36" s="103">
        <f t="shared" si="10"/>
        <v>43</v>
      </c>
      <c r="C36" s="103">
        <f t="shared" si="11"/>
        <v>5</v>
      </c>
      <c r="D36" s="103">
        <f t="shared" si="12"/>
        <v>5</v>
      </c>
      <c r="E36" s="102" t="str">
        <f t="shared" si="13"/>
        <v>s43w5d5</v>
      </c>
      <c r="F36" s="151">
        <f t="shared" si="14"/>
        <v>40431</v>
      </c>
      <c r="G36" s="145">
        <f t="shared" si="15"/>
        <v>32</v>
      </c>
      <c r="H36" s="146">
        <f>IF(H35&gt;4.5,H35+VLOOKUP(CEILING(H35,1),Tables!$L$2:$M$14,2,FALSE),H35+VLOOKUP(FLOOR(H35,1),Tables!$L$2:$M$14,2,FALSE))</f>
        <v>4.5</v>
      </c>
      <c r="I36" s="145">
        <f t="shared" si="16"/>
        <v>32</v>
      </c>
      <c r="K36" s="148">
        <f>IF(L35&lt;10,IF(L35&gt;4.5,L35+VLOOKUP(CEILING(L35,1),Tables!$L$2:$M$14,2,FALSE),L35+VLOOKUP(FLOOR(L35,1),Tables!$L$2:$M$14,2,FALSE)),10-(1/3))</f>
        <v>4.5</v>
      </c>
      <c r="L36" s="163">
        <f t="shared" si="17"/>
        <v>4.5</v>
      </c>
      <c r="N36" s="145">
        <f t="shared" si="18"/>
        <v>32</v>
      </c>
      <c r="P36" s="148">
        <f>IF(Q35&lt;10,IF(Q35&gt;4.5,Q35+VLOOKUP(CEILING(Q35,1),Tables!$L$2:$M$14,2,FALSE),Q35+VLOOKUP(FLOOR(Q35,1),Tables!$L$2:$M$14,2,FALSE)),10-(1/3))</f>
        <v>4.5</v>
      </c>
      <c r="Q36" s="163">
        <f t="shared" si="19"/>
        <v>4.5</v>
      </c>
      <c r="U36" s="148"/>
      <c r="V36" s="163"/>
      <c r="Z36" s="148"/>
      <c r="AA36" s="163"/>
      <c r="AE36" s="148"/>
      <c r="AF36" s="163"/>
    </row>
    <row r="37" spans="2:32">
      <c r="B37" s="103">
        <f t="shared" si="10"/>
        <v>43</v>
      </c>
      <c r="C37" s="103">
        <f t="shared" si="11"/>
        <v>5</v>
      </c>
      <c r="D37" s="103">
        <f t="shared" si="12"/>
        <v>6</v>
      </c>
      <c r="E37" s="102" t="str">
        <f t="shared" si="13"/>
        <v>s43w5d6</v>
      </c>
      <c r="F37" s="151">
        <f t="shared" si="14"/>
        <v>40432</v>
      </c>
      <c r="G37" s="145">
        <f t="shared" si="15"/>
        <v>33</v>
      </c>
      <c r="H37" s="146">
        <f>IF(H36&gt;4.5,H36+VLOOKUP(CEILING(H36,1),Tables!$L$2:$M$14,2,FALSE),H36+VLOOKUP(FLOOR(H36,1),Tables!$L$2:$M$14,2,FALSE))</f>
        <v>4.5158730158730158</v>
      </c>
      <c r="I37" s="145">
        <f t="shared" si="16"/>
        <v>33</v>
      </c>
      <c r="K37" s="148">
        <f>IF(L36&lt;10,IF(L36&gt;4.5,L36+VLOOKUP(CEILING(L36,1),Tables!$L$2:$M$14,2,FALSE),L36+VLOOKUP(FLOOR(L36,1),Tables!$L$2:$M$14,2,FALSE)),10-(1/3))</f>
        <v>4.5158730158730158</v>
      </c>
      <c r="L37" s="163">
        <f t="shared" si="17"/>
        <v>4.5158730158730158</v>
      </c>
      <c r="N37" s="145">
        <f t="shared" si="18"/>
        <v>33</v>
      </c>
      <c r="P37" s="148">
        <f>IF(Q36&lt;10,IF(Q36&gt;4.5,Q36+VLOOKUP(CEILING(Q36,1),Tables!$L$2:$M$14,2,FALSE),Q36+VLOOKUP(FLOOR(Q36,1),Tables!$L$2:$M$14,2,FALSE)),10-(1/3))</f>
        <v>4.5158730158730158</v>
      </c>
      <c r="Q37" s="163">
        <f t="shared" si="19"/>
        <v>4.5158730158730158</v>
      </c>
      <c r="U37" s="148"/>
      <c r="V37" s="163"/>
      <c r="Z37" s="148"/>
      <c r="AA37" s="163"/>
      <c r="AE37" s="148"/>
      <c r="AF37" s="163"/>
    </row>
    <row r="38" spans="2:32">
      <c r="B38" s="103">
        <f t="shared" si="10"/>
        <v>43</v>
      </c>
      <c r="C38" s="103">
        <f t="shared" si="11"/>
        <v>5</v>
      </c>
      <c r="D38" s="103">
        <f t="shared" si="12"/>
        <v>7</v>
      </c>
      <c r="E38" s="102" t="str">
        <f t="shared" si="13"/>
        <v>s43w5d7</v>
      </c>
      <c r="F38" s="151">
        <f t="shared" si="14"/>
        <v>40433</v>
      </c>
      <c r="G38" s="145">
        <f t="shared" si="15"/>
        <v>34</v>
      </c>
      <c r="H38" s="146">
        <f>IF(H37&gt;4.5,H37+VLOOKUP(CEILING(H37,1),Tables!$L$2:$M$14,2,FALSE),H37+VLOOKUP(FLOOR(H37,1),Tables!$L$2:$M$14,2,FALSE))</f>
        <v>4.5</v>
      </c>
      <c r="I38" s="145">
        <f t="shared" si="16"/>
        <v>34</v>
      </c>
      <c r="K38" s="148">
        <f>IF(L37&lt;10,IF(L37&gt;4.5,L37+VLOOKUP(CEILING(L37,1),Tables!$L$2:$M$14,2,FALSE),L37+VLOOKUP(FLOOR(L37,1),Tables!$L$2:$M$14,2,FALSE)),10-(1/3))</f>
        <v>4.5</v>
      </c>
      <c r="L38" s="163">
        <f t="shared" si="17"/>
        <v>4.5</v>
      </c>
      <c r="N38" s="145">
        <f t="shared" si="18"/>
        <v>34</v>
      </c>
      <c r="P38" s="148">
        <f>IF(Q37&lt;10,IF(Q37&gt;4.5,Q37+VLOOKUP(CEILING(Q37,1),Tables!$L$2:$M$14,2,FALSE),Q37+VLOOKUP(FLOOR(Q37,1),Tables!$L$2:$M$14,2,FALSE)),10-(1/3))</f>
        <v>4.5</v>
      </c>
      <c r="Q38" s="163">
        <f t="shared" si="19"/>
        <v>4.5</v>
      </c>
      <c r="U38" s="148"/>
      <c r="V38" s="163"/>
      <c r="Z38" s="148"/>
      <c r="AA38" s="163"/>
      <c r="AE38" s="148"/>
      <c r="AF38" s="163"/>
    </row>
    <row r="39" spans="2:32">
      <c r="B39" s="103">
        <f t="shared" si="10"/>
        <v>43</v>
      </c>
      <c r="C39" s="103">
        <f t="shared" si="11"/>
        <v>6</v>
      </c>
      <c r="D39" s="103">
        <f t="shared" si="12"/>
        <v>1</v>
      </c>
      <c r="E39" s="102" t="str">
        <f t="shared" si="13"/>
        <v>s43w6d1</v>
      </c>
      <c r="F39" s="151">
        <f t="shared" si="14"/>
        <v>40434</v>
      </c>
      <c r="G39" s="145">
        <f t="shared" si="15"/>
        <v>35</v>
      </c>
      <c r="H39" s="146">
        <f>IF(H38&gt;4.5,H38+VLOOKUP(CEILING(H38,1),Tables!$L$2:$M$14,2,FALSE),H38+VLOOKUP(FLOOR(H38,1),Tables!$L$2:$M$14,2,FALSE))</f>
        <v>4.5158730158730158</v>
      </c>
      <c r="I39" s="145">
        <f t="shared" si="16"/>
        <v>35</v>
      </c>
      <c r="K39" s="148">
        <f>IF(L38&lt;10,IF(L38&gt;4.5,L38+VLOOKUP(CEILING(L38,1),Tables!$L$2:$M$14,2,FALSE),L38+VLOOKUP(FLOOR(L38,1),Tables!$L$2:$M$14,2,FALSE)),10-(1/3))</f>
        <v>4.5158730158730158</v>
      </c>
      <c r="L39" s="163">
        <f t="shared" si="17"/>
        <v>4.5158730158730158</v>
      </c>
      <c r="N39" s="145">
        <f t="shared" si="18"/>
        <v>35</v>
      </c>
      <c r="P39" s="148">
        <f>IF(Q38&lt;10,IF(Q38&gt;4.5,Q38+VLOOKUP(CEILING(Q38,1),Tables!$L$2:$M$14,2,FALSE),Q38+VLOOKUP(FLOOR(Q38,1),Tables!$L$2:$M$14,2,FALSE)),10-(1/3))</f>
        <v>4.5158730158730158</v>
      </c>
      <c r="Q39" s="163">
        <f t="shared" si="19"/>
        <v>4.5158730158730158</v>
      </c>
      <c r="U39" s="148"/>
      <c r="V39" s="163"/>
      <c r="Z39" s="148"/>
      <c r="AA39" s="163"/>
      <c r="AE39" s="148"/>
      <c r="AF39" s="163"/>
    </row>
    <row r="40" spans="2:32">
      <c r="B40" s="103">
        <f t="shared" si="10"/>
        <v>43</v>
      </c>
      <c r="C40" s="103">
        <f t="shared" si="11"/>
        <v>6</v>
      </c>
      <c r="D40" s="103">
        <f t="shared" si="12"/>
        <v>2</v>
      </c>
      <c r="E40" s="102" t="str">
        <f t="shared" si="13"/>
        <v>s43w6d2</v>
      </c>
      <c r="F40" s="151">
        <f t="shared" si="14"/>
        <v>40435</v>
      </c>
      <c r="G40" s="145">
        <f t="shared" si="15"/>
        <v>36</v>
      </c>
      <c r="H40" s="146">
        <f>IF(H39&gt;4.5,H39+VLOOKUP(CEILING(H39,1),Tables!$L$2:$M$14,2,FALSE),H39+VLOOKUP(FLOOR(H39,1),Tables!$L$2:$M$14,2,FALSE))</f>
        <v>4.5</v>
      </c>
      <c r="I40" s="145">
        <f t="shared" si="16"/>
        <v>36</v>
      </c>
      <c r="K40" s="148">
        <f>IF(L39&lt;10,IF(L39&gt;4.5,L39+VLOOKUP(CEILING(L39,1),Tables!$L$2:$M$14,2,FALSE),L39+VLOOKUP(FLOOR(L39,1),Tables!$L$2:$M$14,2,FALSE)),10-(1/3))</f>
        <v>4.5</v>
      </c>
      <c r="L40" s="163">
        <f t="shared" si="17"/>
        <v>4.5</v>
      </c>
      <c r="N40" s="145">
        <f t="shared" si="18"/>
        <v>36</v>
      </c>
      <c r="P40" s="148">
        <f>IF(Q39&lt;10,IF(Q39&gt;4.5,Q39+VLOOKUP(CEILING(Q39,1),Tables!$L$2:$M$14,2,FALSE),Q39+VLOOKUP(FLOOR(Q39,1),Tables!$L$2:$M$14,2,FALSE)),10-(1/3))</f>
        <v>4.5</v>
      </c>
      <c r="Q40" s="163">
        <f t="shared" si="19"/>
        <v>4.5</v>
      </c>
      <c r="U40" s="148"/>
      <c r="V40" s="163"/>
      <c r="Z40" s="148"/>
      <c r="AA40" s="163"/>
      <c r="AE40" s="148"/>
      <c r="AF40" s="163"/>
    </row>
    <row r="41" spans="2:32">
      <c r="B41" s="103">
        <f t="shared" si="10"/>
        <v>43</v>
      </c>
      <c r="C41" s="103">
        <f t="shared" si="11"/>
        <v>6</v>
      </c>
      <c r="D41" s="103">
        <f t="shared" si="12"/>
        <v>3</v>
      </c>
      <c r="E41" s="102" t="str">
        <f t="shared" si="13"/>
        <v>s43w6d3</v>
      </c>
      <c r="F41" s="151">
        <f t="shared" si="14"/>
        <v>40436</v>
      </c>
      <c r="G41" s="145">
        <f t="shared" si="15"/>
        <v>37</v>
      </c>
      <c r="H41" s="146">
        <f>IF(H40&gt;4.5,H40+VLOOKUP(CEILING(H40,1),Tables!$L$2:$M$14,2,FALSE),H40+VLOOKUP(FLOOR(H40,1),Tables!$L$2:$M$14,2,FALSE))</f>
        <v>4.5158730158730158</v>
      </c>
      <c r="I41" s="145">
        <f t="shared" si="16"/>
        <v>37</v>
      </c>
      <c r="K41" s="148">
        <f>IF(L40&lt;10,IF(L40&gt;4.5,L40+VLOOKUP(CEILING(L40,1),Tables!$L$2:$M$14,2,FALSE),L40+VLOOKUP(FLOOR(L40,1),Tables!$L$2:$M$14,2,FALSE)),10-(1/3))</f>
        <v>4.5158730158730158</v>
      </c>
      <c r="L41" s="163">
        <f t="shared" si="17"/>
        <v>4.5158730158730158</v>
      </c>
      <c r="N41" s="145">
        <f t="shared" si="18"/>
        <v>37</v>
      </c>
      <c r="P41" s="148">
        <f>IF(Q40&lt;10,IF(Q40&gt;4.5,Q40+VLOOKUP(CEILING(Q40,1),Tables!$L$2:$M$14,2,FALSE),Q40+VLOOKUP(FLOOR(Q40,1),Tables!$L$2:$M$14,2,FALSE)),10-(1/3))</f>
        <v>4.5158730158730158</v>
      </c>
      <c r="Q41" s="163">
        <f t="shared" si="19"/>
        <v>4.5158730158730158</v>
      </c>
      <c r="U41" s="148"/>
      <c r="V41" s="163"/>
      <c r="Z41" s="148"/>
      <c r="AA41" s="163"/>
      <c r="AE41" s="148"/>
      <c r="AF41" s="163"/>
    </row>
    <row r="42" spans="2:32">
      <c r="B42" s="103">
        <f t="shared" si="10"/>
        <v>43</v>
      </c>
      <c r="C42" s="103">
        <f t="shared" si="11"/>
        <v>6</v>
      </c>
      <c r="D42" s="103">
        <f t="shared" si="12"/>
        <v>4</v>
      </c>
      <c r="E42" s="102" t="str">
        <f t="shared" si="13"/>
        <v>s43w6d4</v>
      </c>
      <c r="F42" s="151">
        <f t="shared" si="14"/>
        <v>40437</v>
      </c>
      <c r="G42" s="145">
        <f t="shared" si="15"/>
        <v>38</v>
      </c>
      <c r="H42" s="146">
        <f>IF(H41&gt;4.5,H41+VLOOKUP(CEILING(H41,1),Tables!$L$2:$M$14,2,FALSE),H41+VLOOKUP(FLOOR(H41,1),Tables!$L$2:$M$14,2,FALSE))</f>
        <v>4.5</v>
      </c>
      <c r="I42" s="145">
        <f t="shared" si="16"/>
        <v>38</v>
      </c>
      <c r="K42" s="148">
        <f>IF(L41&lt;10,IF(L41&gt;4.5,L41+VLOOKUP(CEILING(L41,1),Tables!$L$2:$M$14,2,FALSE),L41+VLOOKUP(FLOOR(L41,1),Tables!$L$2:$M$14,2,FALSE)),10-(1/3))</f>
        <v>4.5</v>
      </c>
      <c r="L42" s="163">
        <f t="shared" si="17"/>
        <v>4.5</v>
      </c>
      <c r="N42" s="145">
        <f t="shared" si="18"/>
        <v>38</v>
      </c>
      <c r="P42" s="148">
        <f>IF(Q41&lt;10,IF(Q41&gt;4.5,Q41+VLOOKUP(CEILING(Q41,1),Tables!$L$2:$M$14,2,FALSE),Q41+VLOOKUP(FLOOR(Q41,1),Tables!$L$2:$M$14,2,FALSE)),10-(1/3))</f>
        <v>4.5</v>
      </c>
      <c r="Q42" s="163">
        <f t="shared" si="19"/>
        <v>4.5</v>
      </c>
      <c r="U42" s="148"/>
      <c r="V42" s="163"/>
      <c r="Z42" s="148"/>
      <c r="AA42" s="163"/>
      <c r="AE42" s="148"/>
      <c r="AF42" s="163"/>
    </row>
    <row r="43" spans="2:32">
      <c r="B43" s="103">
        <f t="shared" si="10"/>
        <v>43</v>
      </c>
      <c r="C43" s="103">
        <f t="shared" si="11"/>
        <v>6</v>
      </c>
      <c r="D43" s="103">
        <f t="shared" si="12"/>
        <v>5</v>
      </c>
      <c r="E43" s="102" t="str">
        <f t="shared" si="13"/>
        <v>s43w6d5</v>
      </c>
      <c r="F43" s="151">
        <f t="shared" si="14"/>
        <v>40438</v>
      </c>
      <c r="G43" s="145">
        <f t="shared" si="15"/>
        <v>39</v>
      </c>
      <c r="H43" s="146">
        <f>IF(H42&gt;4.5,H42+VLOOKUP(CEILING(H42,1),Tables!$L$2:$M$14,2,FALSE),H42+VLOOKUP(FLOOR(H42,1),Tables!$L$2:$M$14,2,FALSE))</f>
        <v>4.5158730158730158</v>
      </c>
      <c r="I43" s="145">
        <f t="shared" si="16"/>
        <v>39</v>
      </c>
      <c r="K43" s="148">
        <f>IF(L42&lt;10,IF(L42&gt;4.5,L42+VLOOKUP(CEILING(L42,1),Tables!$L$2:$M$14,2,FALSE),L42+VLOOKUP(FLOOR(L42,1),Tables!$L$2:$M$14,2,FALSE)),10-(1/3))</f>
        <v>4.5158730158730158</v>
      </c>
      <c r="L43" s="163">
        <f t="shared" si="17"/>
        <v>4.5158730158730158</v>
      </c>
      <c r="N43" s="145">
        <f t="shared" si="18"/>
        <v>39</v>
      </c>
      <c r="P43" s="148">
        <f>IF(Q42&lt;10,IF(Q42&gt;4.5,Q42+VLOOKUP(CEILING(Q42,1),Tables!$L$2:$M$14,2,FALSE),Q42+VLOOKUP(FLOOR(Q42,1),Tables!$L$2:$M$14,2,FALSE)),10-(1/3))</f>
        <v>4.5158730158730158</v>
      </c>
      <c r="Q43" s="163">
        <f t="shared" si="19"/>
        <v>4.5158730158730158</v>
      </c>
      <c r="U43" s="148"/>
      <c r="V43" s="163"/>
      <c r="Z43" s="148"/>
      <c r="AA43" s="163"/>
      <c r="AE43" s="148"/>
      <c r="AF43" s="163"/>
    </row>
    <row r="44" spans="2:32">
      <c r="B44" s="103">
        <f t="shared" si="10"/>
        <v>43</v>
      </c>
      <c r="C44" s="103">
        <f t="shared" si="11"/>
        <v>6</v>
      </c>
      <c r="D44" s="103">
        <f t="shared" si="12"/>
        <v>6</v>
      </c>
      <c r="E44" s="102" t="str">
        <f t="shared" si="13"/>
        <v>s43w6d6</v>
      </c>
      <c r="F44" s="151">
        <f t="shared" si="14"/>
        <v>40439</v>
      </c>
      <c r="G44" s="145">
        <f t="shared" si="15"/>
        <v>40</v>
      </c>
      <c r="H44" s="146">
        <f>IF(H43&gt;4.5,H43+VLOOKUP(CEILING(H43,1),Tables!$L$2:$M$14,2,FALSE),H43+VLOOKUP(FLOOR(H43,1),Tables!$L$2:$M$14,2,FALSE))</f>
        <v>4.5</v>
      </c>
      <c r="I44" s="145">
        <f t="shared" si="16"/>
        <v>40</v>
      </c>
      <c r="K44" s="148">
        <f>IF(L43&lt;10,IF(L43&gt;4.5,L43+VLOOKUP(CEILING(L43,1),Tables!$L$2:$M$14,2,FALSE),L43+VLOOKUP(FLOOR(L43,1),Tables!$L$2:$M$14,2,FALSE)),10-(1/3))</f>
        <v>4.5</v>
      </c>
      <c r="L44" s="163">
        <f t="shared" si="17"/>
        <v>4.5</v>
      </c>
      <c r="N44" s="145">
        <f t="shared" si="18"/>
        <v>40</v>
      </c>
      <c r="P44" s="148">
        <f>IF(Q43&lt;10,IF(Q43&gt;4.5,Q43+VLOOKUP(CEILING(Q43,1),Tables!$L$2:$M$14,2,FALSE),Q43+VLOOKUP(FLOOR(Q43,1),Tables!$L$2:$M$14,2,FALSE)),10-(1/3))</f>
        <v>4.5</v>
      </c>
      <c r="Q44" s="163">
        <f t="shared" si="19"/>
        <v>4.5</v>
      </c>
      <c r="U44" s="148"/>
      <c r="V44" s="163"/>
      <c r="Z44" s="148"/>
      <c r="AA44" s="163"/>
      <c r="AE44" s="148"/>
      <c r="AF44" s="163"/>
    </row>
    <row r="45" spans="2:32">
      <c r="B45" s="103">
        <f t="shared" si="10"/>
        <v>43</v>
      </c>
      <c r="C45" s="103">
        <f t="shared" si="11"/>
        <v>6</v>
      </c>
      <c r="D45" s="103">
        <f t="shared" si="12"/>
        <v>7</v>
      </c>
      <c r="E45" s="102" t="str">
        <f t="shared" si="13"/>
        <v>s43w6d7</v>
      </c>
      <c r="F45" s="151">
        <f t="shared" si="14"/>
        <v>40440</v>
      </c>
      <c r="G45" s="145">
        <f t="shared" si="15"/>
        <v>41</v>
      </c>
      <c r="H45" s="146">
        <f>IF(H44&gt;4.5,H44+VLOOKUP(CEILING(H44,1),Tables!$L$2:$M$14,2,FALSE),H44+VLOOKUP(FLOOR(H44,1),Tables!$L$2:$M$14,2,FALSE))</f>
        <v>4.5158730158730158</v>
      </c>
      <c r="I45" s="145">
        <f t="shared" si="16"/>
        <v>41</v>
      </c>
      <c r="K45" s="148">
        <f>IF(L44&lt;10,IF(L44&gt;4.5,L44+VLOOKUP(CEILING(L44,1),Tables!$L$2:$M$14,2,FALSE),L44+VLOOKUP(FLOOR(L44,1),Tables!$L$2:$M$14,2,FALSE)),10-(1/3))</f>
        <v>4.5158730158730158</v>
      </c>
      <c r="L45" s="163">
        <f t="shared" si="17"/>
        <v>4.5158730158730158</v>
      </c>
      <c r="N45" s="145">
        <f t="shared" si="18"/>
        <v>41</v>
      </c>
      <c r="P45" s="148">
        <f>IF(Q44&lt;10,IF(Q44&gt;4.5,Q44+VLOOKUP(CEILING(Q44,1),Tables!$L$2:$M$14,2,FALSE),Q44+VLOOKUP(FLOOR(Q44,1),Tables!$L$2:$M$14,2,FALSE)),10-(1/3))</f>
        <v>4.5158730158730158</v>
      </c>
      <c r="Q45" s="163">
        <f t="shared" si="19"/>
        <v>4.5158730158730158</v>
      </c>
      <c r="U45" s="148"/>
      <c r="V45" s="163"/>
      <c r="Z45" s="148"/>
      <c r="AA45" s="163"/>
      <c r="AE45" s="148"/>
      <c r="AF45" s="163"/>
    </row>
    <row r="46" spans="2:32">
      <c r="B46" s="103">
        <f t="shared" si="10"/>
        <v>43</v>
      </c>
      <c r="C46" s="103">
        <f t="shared" si="11"/>
        <v>7</v>
      </c>
      <c r="D46" s="103">
        <f t="shared" si="12"/>
        <v>1</v>
      </c>
      <c r="E46" s="102" t="str">
        <f t="shared" si="13"/>
        <v>s43w7d1</v>
      </c>
      <c r="F46" s="151">
        <f t="shared" si="14"/>
        <v>40441</v>
      </c>
      <c r="G46" s="145">
        <f t="shared" si="15"/>
        <v>42</v>
      </c>
      <c r="H46" s="146">
        <f>IF(H45&gt;4.5,H45+VLOOKUP(CEILING(H45,1),Tables!$L$2:$M$14,2,FALSE),H45+VLOOKUP(FLOOR(H45,1),Tables!$L$2:$M$14,2,FALSE))</f>
        <v>4.5</v>
      </c>
      <c r="I46" s="145">
        <f t="shared" si="16"/>
        <v>42</v>
      </c>
      <c r="K46" s="148">
        <f>IF(L45&lt;10,IF(L45&gt;4.5,L45+VLOOKUP(CEILING(L45,1),Tables!$L$2:$M$14,2,FALSE),L45+VLOOKUP(FLOOR(L45,1),Tables!$L$2:$M$14,2,FALSE)),10-(1/3))</f>
        <v>4.5</v>
      </c>
      <c r="L46" s="163">
        <f t="shared" si="17"/>
        <v>4.5</v>
      </c>
      <c r="N46" s="145">
        <f t="shared" si="18"/>
        <v>42</v>
      </c>
      <c r="P46" s="148">
        <f>IF(Q45&lt;10,IF(Q45&gt;4.5,Q45+VLOOKUP(CEILING(Q45,1),Tables!$L$2:$M$14,2,FALSE),Q45+VLOOKUP(FLOOR(Q45,1),Tables!$L$2:$M$14,2,FALSE)),10-(1/3))</f>
        <v>4.5</v>
      </c>
      <c r="Q46" s="163">
        <f t="shared" si="19"/>
        <v>4.5</v>
      </c>
      <c r="U46" s="148"/>
      <c r="V46" s="163"/>
      <c r="Z46" s="148"/>
      <c r="AA46" s="163"/>
      <c r="AE46" s="148"/>
      <c r="AF46" s="163"/>
    </row>
    <row r="47" spans="2:32">
      <c r="B47" s="103">
        <f t="shared" si="10"/>
        <v>43</v>
      </c>
      <c r="C47" s="103">
        <f t="shared" si="11"/>
        <v>7</v>
      </c>
      <c r="D47" s="103">
        <f t="shared" si="12"/>
        <v>2</v>
      </c>
      <c r="E47" s="102" t="str">
        <f t="shared" si="13"/>
        <v>s43w7d2</v>
      </c>
      <c r="F47" s="151">
        <f t="shared" si="14"/>
        <v>40442</v>
      </c>
      <c r="G47" s="145">
        <f t="shared" si="15"/>
        <v>43</v>
      </c>
      <c r="H47" s="146">
        <f>IF(H46&gt;4.5,H46+VLOOKUP(CEILING(H46,1),Tables!$L$2:$M$14,2,FALSE),H46+VLOOKUP(FLOOR(H46,1),Tables!$L$2:$M$14,2,FALSE))</f>
        <v>4.5158730158730158</v>
      </c>
      <c r="I47" s="145">
        <f t="shared" si="16"/>
        <v>43</v>
      </c>
      <c r="K47" s="148">
        <f>IF(L46&lt;10,IF(L46&gt;4.5,L46+VLOOKUP(CEILING(L46,1),Tables!$L$2:$M$14,2,FALSE),L46+VLOOKUP(FLOOR(L46,1),Tables!$L$2:$M$14,2,FALSE)),10-(1/3))</f>
        <v>4.5158730158730158</v>
      </c>
      <c r="L47" s="163">
        <f t="shared" si="17"/>
        <v>4.5158730158730158</v>
      </c>
      <c r="N47" s="145">
        <f t="shared" si="18"/>
        <v>43</v>
      </c>
      <c r="P47" s="148">
        <f>IF(Q46&lt;10,IF(Q46&gt;4.5,Q46+VLOOKUP(CEILING(Q46,1),Tables!$L$2:$M$14,2,FALSE),Q46+VLOOKUP(FLOOR(Q46,1),Tables!$L$2:$M$14,2,FALSE)),10-(1/3))</f>
        <v>4.5158730158730158</v>
      </c>
      <c r="Q47" s="163">
        <f t="shared" si="19"/>
        <v>4.5158730158730158</v>
      </c>
      <c r="U47" s="148"/>
      <c r="V47" s="163"/>
      <c r="Z47" s="148"/>
      <c r="AA47" s="163"/>
      <c r="AE47" s="148"/>
      <c r="AF47" s="163"/>
    </row>
    <row r="48" spans="2:32">
      <c r="B48" s="103">
        <f t="shared" si="10"/>
        <v>43</v>
      </c>
      <c r="C48" s="103">
        <f t="shared" si="11"/>
        <v>7</v>
      </c>
      <c r="D48" s="103">
        <f t="shared" si="12"/>
        <v>3</v>
      </c>
      <c r="E48" s="102" t="str">
        <f t="shared" si="13"/>
        <v>s43w7d3</v>
      </c>
      <c r="F48" s="151">
        <f t="shared" si="14"/>
        <v>40443</v>
      </c>
      <c r="G48" s="145">
        <f t="shared" si="15"/>
        <v>44</v>
      </c>
      <c r="H48" s="146">
        <f>IF(H47&gt;4.5,H47+VLOOKUP(CEILING(H47,1),Tables!$L$2:$M$14,2,FALSE),H47+VLOOKUP(FLOOR(H47,1),Tables!$L$2:$M$14,2,FALSE))</f>
        <v>4.5</v>
      </c>
      <c r="I48" s="145">
        <f t="shared" si="16"/>
        <v>44</v>
      </c>
      <c r="K48" s="148">
        <f>IF(L47&lt;10,IF(L47&gt;4.5,L47+VLOOKUP(CEILING(L47,1),Tables!$L$2:$M$14,2,FALSE),L47+VLOOKUP(FLOOR(L47,1),Tables!$L$2:$M$14,2,FALSE)),10-(1/3))</f>
        <v>4.5</v>
      </c>
      <c r="L48" s="163">
        <f t="shared" si="17"/>
        <v>4.5</v>
      </c>
      <c r="N48" s="145">
        <f t="shared" si="18"/>
        <v>44</v>
      </c>
      <c r="P48" s="148">
        <f>IF(Q47&lt;10,IF(Q47&gt;4.5,Q47+VLOOKUP(CEILING(Q47,1),Tables!$L$2:$M$14,2,FALSE),Q47+VLOOKUP(FLOOR(Q47,1),Tables!$L$2:$M$14,2,FALSE)),10-(1/3))</f>
        <v>4.5</v>
      </c>
      <c r="Q48" s="163">
        <f t="shared" si="19"/>
        <v>4.5</v>
      </c>
      <c r="U48" s="148"/>
      <c r="V48" s="163"/>
      <c r="Z48" s="148"/>
      <c r="AA48" s="163"/>
      <c r="AE48" s="148"/>
      <c r="AF48" s="163"/>
    </row>
    <row r="49" spans="2:32">
      <c r="B49" s="103">
        <f t="shared" si="10"/>
        <v>43</v>
      </c>
      <c r="C49" s="103">
        <f t="shared" si="11"/>
        <v>7</v>
      </c>
      <c r="D49" s="103">
        <f t="shared" si="12"/>
        <v>4</v>
      </c>
      <c r="E49" s="102" t="str">
        <f t="shared" si="13"/>
        <v>s43w7d4</v>
      </c>
      <c r="F49" s="151">
        <f t="shared" si="14"/>
        <v>40444</v>
      </c>
      <c r="G49" s="145">
        <f t="shared" si="15"/>
        <v>45</v>
      </c>
      <c r="H49" s="146">
        <f>IF(H48&gt;4.5,H48+VLOOKUP(CEILING(H48,1),Tables!$L$2:$M$14,2,FALSE),H48+VLOOKUP(FLOOR(H48,1),Tables!$L$2:$M$14,2,FALSE))</f>
        <v>4.5158730158730158</v>
      </c>
      <c r="I49" s="145">
        <f t="shared" si="16"/>
        <v>45</v>
      </c>
      <c r="K49" s="148">
        <f>IF(L48&lt;10,IF(L48&gt;4.5,L48+VLOOKUP(CEILING(L48,1),Tables!$L$2:$M$14,2,FALSE),L48+VLOOKUP(FLOOR(L48,1),Tables!$L$2:$M$14,2,FALSE)),10-(1/3))</f>
        <v>4.5158730158730158</v>
      </c>
      <c r="L49" s="163">
        <f t="shared" si="17"/>
        <v>4.5158730158730158</v>
      </c>
      <c r="N49" s="145">
        <f t="shared" si="18"/>
        <v>45</v>
      </c>
      <c r="P49" s="148">
        <f>IF(Q48&lt;10,IF(Q48&gt;4.5,Q48+VLOOKUP(CEILING(Q48,1),Tables!$L$2:$M$14,2,FALSE),Q48+VLOOKUP(FLOOR(Q48,1),Tables!$L$2:$M$14,2,FALSE)),10-(1/3))</f>
        <v>4.5158730158730158</v>
      </c>
      <c r="Q49" s="163">
        <f t="shared" si="19"/>
        <v>4.5158730158730158</v>
      </c>
      <c r="U49" s="148"/>
      <c r="V49" s="163"/>
      <c r="Z49" s="148"/>
      <c r="AA49" s="163"/>
      <c r="AE49" s="148"/>
      <c r="AF49" s="163"/>
    </row>
    <row r="50" spans="2:32">
      <c r="B50" s="103">
        <f t="shared" si="10"/>
        <v>43</v>
      </c>
      <c r="C50" s="103">
        <f t="shared" si="11"/>
        <v>7</v>
      </c>
      <c r="D50" s="103">
        <f t="shared" si="12"/>
        <v>5</v>
      </c>
      <c r="E50" s="102" t="str">
        <f t="shared" si="13"/>
        <v>s43w7d5</v>
      </c>
      <c r="F50" s="151">
        <f t="shared" si="14"/>
        <v>40445</v>
      </c>
      <c r="G50" s="145">
        <f t="shared" si="15"/>
        <v>46</v>
      </c>
      <c r="H50" s="146">
        <f>IF(H49&gt;4.5,H49+VLOOKUP(CEILING(H49,1),Tables!$L$2:$M$14,2,FALSE),H49+VLOOKUP(FLOOR(H49,1),Tables!$L$2:$M$14,2,FALSE))</f>
        <v>4.5</v>
      </c>
      <c r="I50" s="145">
        <f t="shared" si="16"/>
        <v>46</v>
      </c>
      <c r="K50" s="148">
        <f>IF(L49&lt;10,IF(L49&gt;4.5,L49+VLOOKUP(CEILING(L49,1),Tables!$L$2:$M$14,2,FALSE),L49+VLOOKUP(FLOOR(L49,1),Tables!$L$2:$M$14,2,FALSE)),10-(1/3))</f>
        <v>4.5</v>
      </c>
      <c r="L50" s="163">
        <f t="shared" si="17"/>
        <v>4.5</v>
      </c>
      <c r="N50" s="145">
        <f t="shared" si="18"/>
        <v>46</v>
      </c>
      <c r="P50" s="148">
        <f>IF(Q49&lt;10,IF(Q49&gt;4.5,Q49+VLOOKUP(CEILING(Q49,1),Tables!$L$2:$M$14,2,FALSE),Q49+VLOOKUP(FLOOR(Q49,1),Tables!$L$2:$M$14,2,FALSE)),10-(1/3))</f>
        <v>4.5</v>
      </c>
      <c r="Q50" s="163">
        <f t="shared" si="19"/>
        <v>4.5</v>
      </c>
      <c r="U50" s="148"/>
      <c r="V50" s="163"/>
      <c r="Z50" s="148"/>
      <c r="AA50" s="163"/>
      <c r="AE50" s="148"/>
      <c r="AF50" s="163"/>
    </row>
    <row r="51" spans="2:32">
      <c r="B51" s="103">
        <f t="shared" si="10"/>
        <v>43</v>
      </c>
      <c r="C51" s="103">
        <f t="shared" si="11"/>
        <v>7</v>
      </c>
      <c r="D51" s="103">
        <f t="shared" si="12"/>
        <v>6</v>
      </c>
      <c r="E51" s="102" t="str">
        <f t="shared" si="13"/>
        <v>s43w7d6</v>
      </c>
      <c r="F51" s="151">
        <f t="shared" si="14"/>
        <v>40446</v>
      </c>
      <c r="G51" s="145">
        <f t="shared" si="15"/>
        <v>47</v>
      </c>
      <c r="H51" s="146">
        <f>IF(H50&gt;4.5,H50+VLOOKUP(CEILING(H50,1),Tables!$L$2:$M$14,2,FALSE),H50+VLOOKUP(FLOOR(H50,1),Tables!$L$2:$M$14,2,FALSE))</f>
        <v>4.5158730158730158</v>
      </c>
      <c r="I51" s="145">
        <f t="shared" si="16"/>
        <v>47</v>
      </c>
      <c r="K51" s="148">
        <f>IF(L50&lt;10,IF(L50&gt;4.5,L50+VLOOKUP(CEILING(L50,1),Tables!$L$2:$M$14,2,FALSE),L50+VLOOKUP(FLOOR(L50,1),Tables!$L$2:$M$14,2,FALSE)),10-(1/3))</f>
        <v>4.5158730158730158</v>
      </c>
      <c r="L51" s="163">
        <f t="shared" si="17"/>
        <v>4.5158730158730158</v>
      </c>
      <c r="N51" s="145">
        <f t="shared" si="18"/>
        <v>47</v>
      </c>
      <c r="P51" s="148">
        <f>IF(Q50&lt;10,IF(Q50&gt;4.5,Q50+VLOOKUP(CEILING(Q50,1),Tables!$L$2:$M$14,2,FALSE),Q50+VLOOKUP(FLOOR(Q50,1),Tables!$L$2:$M$14,2,FALSE)),10-(1/3))</f>
        <v>4.5158730158730158</v>
      </c>
      <c r="Q51" s="163">
        <f t="shared" si="19"/>
        <v>4.5158730158730158</v>
      </c>
      <c r="U51" s="148"/>
      <c r="V51" s="163"/>
      <c r="Z51" s="148"/>
      <c r="AA51" s="163"/>
      <c r="AE51" s="148"/>
      <c r="AF51" s="163"/>
    </row>
    <row r="52" spans="2:32">
      <c r="B52" s="103">
        <f t="shared" si="10"/>
        <v>43</v>
      </c>
      <c r="C52" s="103">
        <f t="shared" si="11"/>
        <v>7</v>
      </c>
      <c r="D52" s="103">
        <f t="shared" si="12"/>
        <v>7</v>
      </c>
      <c r="E52" s="102" t="str">
        <f t="shared" si="13"/>
        <v>s43w7d7</v>
      </c>
      <c r="F52" s="151">
        <f t="shared" si="14"/>
        <v>40447</v>
      </c>
      <c r="G52" s="145">
        <f t="shared" si="15"/>
        <v>48</v>
      </c>
      <c r="H52" s="146">
        <f>IF(H51&gt;4.5,H51+VLOOKUP(CEILING(H51,1),Tables!$L$2:$M$14,2,FALSE),H51+VLOOKUP(FLOOR(H51,1),Tables!$L$2:$M$14,2,FALSE))</f>
        <v>4.5</v>
      </c>
      <c r="I52" s="145">
        <f t="shared" si="16"/>
        <v>48</v>
      </c>
      <c r="K52" s="148">
        <f>IF(L51&lt;10,IF(L51&gt;4.5,L51+VLOOKUP(CEILING(L51,1),Tables!$L$2:$M$14,2,FALSE),L51+VLOOKUP(FLOOR(L51,1),Tables!$L$2:$M$14,2,FALSE)),10-(1/3))</f>
        <v>4.5</v>
      </c>
      <c r="L52" s="163">
        <f t="shared" si="17"/>
        <v>4.5</v>
      </c>
      <c r="N52" s="145">
        <f t="shared" si="18"/>
        <v>48</v>
      </c>
      <c r="P52" s="148">
        <f>IF(Q51&lt;10,IF(Q51&gt;4.5,Q51+VLOOKUP(CEILING(Q51,1),Tables!$L$2:$M$14,2,FALSE),Q51+VLOOKUP(FLOOR(Q51,1),Tables!$L$2:$M$14,2,FALSE)),10-(1/3))</f>
        <v>4.5</v>
      </c>
      <c r="Q52" s="163">
        <f t="shared" si="19"/>
        <v>4.5</v>
      </c>
      <c r="U52" s="148"/>
      <c r="V52" s="163"/>
      <c r="Z52" s="148"/>
      <c r="AA52" s="163"/>
      <c r="AE52" s="148"/>
      <c r="AF52" s="163"/>
    </row>
    <row r="53" spans="2:32">
      <c r="B53" s="103">
        <f t="shared" si="10"/>
        <v>43</v>
      </c>
      <c r="C53" s="103">
        <f t="shared" si="11"/>
        <v>8</v>
      </c>
      <c r="D53" s="103">
        <f t="shared" si="12"/>
        <v>1</v>
      </c>
      <c r="E53" s="102" t="str">
        <f t="shared" si="13"/>
        <v>s43w8d1</v>
      </c>
      <c r="F53" s="151">
        <f t="shared" si="14"/>
        <v>40448</v>
      </c>
      <c r="G53" s="145">
        <f t="shared" si="15"/>
        <v>49</v>
      </c>
      <c r="H53" s="146">
        <f>IF(H52&gt;4.5,H52+VLOOKUP(CEILING(H52,1),Tables!$L$2:$M$14,2,FALSE),H52+VLOOKUP(FLOOR(H52,1),Tables!$L$2:$M$14,2,FALSE))</f>
        <v>4.5158730158730158</v>
      </c>
      <c r="I53" s="145">
        <f t="shared" si="16"/>
        <v>49</v>
      </c>
      <c r="K53" s="148">
        <f>IF(L52&lt;10,IF(L52&gt;4.5,L52+VLOOKUP(CEILING(L52,1),Tables!$L$2:$M$14,2,FALSE),L52+VLOOKUP(FLOOR(L52,1),Tables!$L$2:$M$14,2,FALSE)),10-(1/3))</f>
        <v>4.5158730158730158</v>
      </c>
      <c r="L53" s="163">
        <f t="shared" si="17"/>
        <v>4.5158730158730158</v>
      </c>
      <c r="N53" s="145">
        <f t="shared" si="18"/>
        <v>49</v>
      </c>
      <c r="P53" s="148">
        <f>IF(Q52&lt;10,IF(Q52&gt;4.5,Q52+VLOOKUP(CEILING(Q52,1),Tables!$L$2:$M$14,2,FALSE),Q52+VLOOKUP(FLOOR(Q52,1),Tables!$L$2:$M$14,2,FALSE)),10-(1/3))</f>
        <v>4.5158730158730158</v>
      </c>
      <c r="Q53" s="163">
        <f t="shared" si="19"/>
        <v>4.5158730158730158</v>
      </c>
      <c r="U53" s="148"/>
      <c r="V53" s="163"/>
      <c r="Z53" s="148"/>
      <c r="AA53" s="163"/>
      <c r="AE53" s="148"/>
      <c r="AF53" s="163"/>
    </row>
    <row r="54" spans="2:32">
      <c r="B54" s="103">
        <f t="shared" si="10"/>
        <v>43</v>
      </c>
      <c r="C54" s="103">
        <f t="shared" si="11"/>
        <v>8</v>
      </c>
      <c r="D54" s="103">
        <f t="shared" si="12"/>
        <v>2</v>
      </c>
      <c r="E54" s="102" t="str">
        <f t="shared" si="13"/>
        <v>s43w8d2</v>
      </c>
      <c r="F54" s="151">
        <f t="shared" si="14"/>
        <v>40449</v>
      </c>
      <c r="G54" s="145">
        <f t="shared" si="15"/>
        <v>50</v>
      </c>
      <c r="H54" s="146">
        <f>IF(H53&gt;4.5,H53+VLOOKUP(CEILING(H53,1),Tables!$L$2:$M$14,2,FALSE),H53+VLOOKUP(FLOOR(H53,1),Tables!$L$2:$M$14,2,FALSE))</f>
        <v>4.5</v>
      </c>
      <c r="I54" s="145">
        <f t="shared" si="16"/>
        <v>50</v>
      </c>
      <c r="K54" s="148">
        <f>IF(L53&lt;10,IF(L53&gt;4.5,L53+VLOOKUP(CEILING(L53,1),Tables!$L$2:$M$14,2,FALSE),L53+VLOOKUP(FLOOR(L53,1),Tables!$L$2:$M$14,2,FALSE)),10-(1/3))</f>
        <v>4.5</v>
      </c>
      <c r="L54" s="163">
        <f t="shared" si="17"/>
        <v>4.5</v>
      </c>
      <c r="N54" s="145">
        <f t="shared" si="18"/>
        <v>50</v>
      </c>
      <c r="P54" s="148">
        <f>IF(Q53&lt;10,IF(Q53&gt;4.5,Q53+VLOOKUP(CEILING(Q53,1),Tables!$L$2:$M$14,2,FALSE),Q53+VLOOKUP(FLOOR(Q53,1),Tables!$L$2:$M$14,2,FALSE)),10-(1/3))</f>
        <v>4.5</v>
      </c>
      <c r="Q54" s="163">
        <f t="shared" si="19"/>
        <v>4.5</v>
      </c>
      <c r="U54" s="148"/>
      <c r="V54" s="163"/>
      <c r="Z54" s="148"/>
      <c r="AA54" s="163"/>
      <c r="AE54" s="148"/>
      <c r="AF54" s="163"/>
    </row>
    <row r="55" spans="2:32">
      <c r="B55" s="103">
        <f t="shared" si="10"/>
        <v>43</v>
      </c>
      <c r="C55" s="103">
        <f t="shared" si="11"/>
        <v>8</v>
      </c>
      <c r="D55" s="103">
        <f t="shared" si="12"/>
        <v>3</v>
      </c>
      <c r="E55" s="102" t="str">
        <f t="shared" si="13"/>
        <v>s43w8d3</v>
      </c>
      <c r="F55" s="151">
        <f t="shared" si="14"/>
        <v>40450</v>
      </c>
      <c r="G55" s="145">
        <f t="shared" si="15"/>
        <v>51</v>
      </c>
      <c r="H55" s="146">
        <f>IF(H54&gt;4.5,H54+VLOOKUP(CEILING(H54,1),Tables!$L$2:$M$14,2,FALSE),H54+VLOOKUP(FLOOR(H54,1),Tables!$L$2:$M$14,2,FALSE))</f>
        <v>4.5158730158730158</v>
      </c>
      <c r="I55" s="145">
        <f t="shared" si="16"/>
        <v>51</v>
      </c>
      <c r="K55" s="148">
        <f>IF(L54&lt;10,IF(L54&gt;4.5,L54+VLOOKUP(CEILING(L54,1),Tables!$L$2:$M$14,2,FALSE),L54+VLOOKUP(FLOOR(L54,1),Tables!$L$2:$M$14,2,FALSE)),10-(1/3))</f>
        <v>4.5158730158730158</v>
      </c>
      <c r="L55" s="163">
        <f t="shared" si="17"/>
        <v>4.5158730158730158</v>
      </c>
      <c r="N55" s="145">
        <f t="shared" si="18"/>
        <v>51</v>
      </c>
      <c r="O55" s="147" t="s">
        <v>451</v>
      </c>
      <c r="P55" s="148">
        <f>IF(Q54&lt;10,IF(Q54&gt;4.5,Q54+VLOOKUP(CEILING(Q54,1),Tables!$L$2:$M$14,2,FALSE),Q54+VLOOKUP(FLOOR(Q54,1),Tables!$L$2:$M$14,2,FALSE)),10-(1/3))</f>
        <v>4.5158730158730158</v>
      </c>
      <c r="Q55" s="163">
        <f t="shared" si="19"/>
        <v>6.0061111111111112</v>
      </c>
      <c r="U55" s="148"/>
      <c r="V55" s="163"/>
      <c r="Z55" s="148"/>
      <c r="AA55" s="163"/>
      <c r="AE55" s="148"/>
      <c r="AF55" s="163"/>
    </row>
    <row r="56" spans="2:32">
      <c r="B56" s="103">
        <f t="shared" si="10"/>
        <v>43</v>
      </c>
      <c r="C56" s="103">
        <f t="shared" si="11"/>
        <v>8</v>
      </c>
      <c r="D56" s="103">
        <f t="shared" si="12"/>
        <v>4</v>
      </c>
      <c r="E56" s="102" t="str">
        <f t="shared" si="13"/>
        <v>s43w8d4</v>
      </c>
      <c r="F56" s="151">
        <f t="shared" si="14"/>
        <v>40451</v>
      </c>
      <c r="G56" s="145">
        <f t="shared" si="15"/>
        <v>52</v>
      </c>
      <c r="H56" s="146">
        <f>IF(H55&gt;4.5,H55+VLOOKUP(CEILING(H55,1),Tables!$L$2:$M$14,2,FALSE),H55+VLOOKUP(FLOOR(H55,1),Tables!$L$2:$M$14,2,FALSE))</f>
        <v>4.5</v>
      </c>
      <c r="I56" s="145">
        <f t="shared" si="16"/>
        <v>52</v>
      </c>
      <c r="K56" s="148">
        <f>IF(L55&lt;10,IF(L55&gt;4.5,L55+VLOOKUP(CEILING(L55,1),Tables!$L$2:$M$14,2,FALSE),L55+VLOOKUP(FLOOR(L55,1),Tables!$L$2:$M$14,2,FALSE)),10-(1/3))</f>
        <v>4.5</v>
      </c>
      <c r="L56" s="163">
        <f t="shared" si="17"/>
        <v>4.5</v>
      </c>
      <c r="N56" s="145">
        <f t="shared" si="18"/>
        <v>52</v>
      </c>
      <c r="P56" s="148">
        <f>IF(Q55&lt;10,IF(Q55&gt;4.5,Q55+VLOOKUP(CEILING(Q55,1),Tables!$L$2:$M$14,2,FALSE),Q55+VLOOKUP(FLOOR(Q55,1),Tables!$L$2:$M$14,2,FALSE)),10-(1/3))</f>
        <v>5.9291880341880345</v>
      </c>
      <c r="Q56" s="163">
        <f t="shared" si="19"/>
        <v>5.9291880341880345</v>
      </c>
      <c r="U56" s="148"/>
      <c r="V56" s="163"/>
      <c r="Z56" s="148"/>
      <c r="AA56" s="163"/>
      <c r="AE56" s="148"/>
      <c r="AF56" s="163"/>
    </row>
    <row r="57" spans="2:32">
      <c r="B57" s="103">
        <f t="shared" si="10"/>
        <v>43</v>
      </c>
      <c r="C57" s="103">
        <f t="shared" si="11"/>
        <v>8</v>
      </c>
      <c r="D57" s="103">
        <f t="shared" si="12"/>
        <v>5</v>
      </c>
      <c r="E57" s="102" t="str">
        <f t="shared" si="13"/>
        <v>s43w8d5</v>
      </c>
      <c r="F57" s="151">
        <f t="shared" si="14"/>
        <v>40452</v>
      </c>
      <c r="G57" s="145">
        <f t="shared" si="15"/>
        <v>53</v>
      </c>
      <c r="H57" s="146">
        <f>IF(H56&gt;4.5,H56+VLOOKUP(CEILING(H56,1),Tables!$L$2:$M$14,2,FALSE),H56+VLOOKUP(FLOOR(H56,1),Tables!$L$2:$M$14,2,FALSE))</f>
        <v>4.5158730158730158</v>
      </c>
      <c r="I57" s="145">
        <f t="shared" si="16"/>
        <v>53</v>
      </c>
      <c r="K57" s="148">
        <f>IF(L56&lt;10,IF(L56&gt;4.5,L56+VLOOKUP(CEILING(L56,1),Tables!$L$2:$M$14,2,FALSE),L56+VLOOKUP(FLOOR(L56,1),Tables!$L$2:$M$14,2,FALSE)),10-(1/3))</f>
        <v>4.5158730158730158</v>
      </c>
      <c r="L57" s="163">
        <f t="shared" si="17"/>
        <v>4.5158730158730158</v>
      </c>
      <c r="N57" s="145">
        <f t="shared" si="18"/>
        <v>53</v>
      </c>
      <c r="P57" s="148">
        <f>IF(Q56&lt;10,IF(Q56&gt;4.5,Q56+VLOOKUP(CEILING(Q56,1),Tables!$L$2:$M$14,2,FALSE),Q56+VLOOKUP(FLOOR(Q56,1),Tables!$L$2:$M$14,2,FALSE)),10-(1/3))</f>
        <v>5.8988850038850043</v>
      </c>
      <c r="Q57" s="163">
        <f t="shared" si="19"/>
        <v>5.8988850038850043</v>
      </c>
      <c r="U57" s="148"/>
      <c r="V57" s="163"/>
      <c r="Z57" s="148"/>
      <c r="AA57" s="163"/>
      <c r="AE57" s="148"/>
      <c r="AF57" s="163"/>
    </row>
    <row r="58" spans="2:32">
      <c r="B58" s="103">
        <f t="shared" si="10"/>
        <v>43</v>
      </c>
      <c r="C58" s="103">
        <f t="shared" si="11"/>
        <v>8</v>
      </c>
      <c r="D58" s="103">
        <f t="shared" si="12"/>
        <v>6</v>
      </c>
      <c r="E58" s="102" t="str">
        <f t="shared" si="13"/>
        <v>s43w8d6</v>
      </c>
      <c r="F58" s="151">
        <f t="shared" si="14"/>
        <v>40453</v>
      </c>
      <c r="G58" s="145">
        <f t="shared" si="15"/>
        <v>54</v>
      </c>
      <c r="H58" s="146">
        <f>IF(H57&gt;4.5,H57+VLOOKUP(CEILING(H57,1),Tables!$L$2:$M$14,2,FALSE),H57+VLOOKUP(FLOOR(H57,1),Tables!$L$2:$M$14,2,FALSE))</f>
        <v>4.5</v>
      </c>
      <c r="I58" s="145">
        <f t="shared" si="16"/>
        <v>54</v>
      </c>
      <c r="K58" s="148">
        <f>IF(L57&lt;10,IF(L57&gt;4.5,L57+VLOOKUP(CEILING(L57,1),Tables!$L$2:$M$14,2,FALSE),L57+VLOOKUP(FLOOR(L57,1),Tables!$L$2:$M$14,2,FALSE)),10-(1/3))</f>
        <v>4.5</v>
      </c>
      <c r="L58" s="163">
        <f t="shared" si="17"/>
        <v>4.5</v>
      </c>
      <c r="N58" s="145">
        <f t="shared" si="18"/>
        <v>54</v>
      </c>
      <c r="P58" s="148">
        <f>IF(Q57&lt;10,IF(Q57&gt;4.5,Q57+VLOOKUP(CEILING(Q57,1),Tables!$L$2:$M$14,2,FALSE),Q57+VLOOKUP(FLOOR(Q57,1),Tables!$L$2:$M$14,2,FALSE)),10-(1/3))</f>
        <v>5.868581973581974</v>
      </c>
      <c r="Q58" s="163">
        <f t="shared" si="19"/>
        <v>5.868581973581974</v>
      </c>
      <c r="U58" s="148"/>
      <c r="V58" s="163"/>
      <c r="Z58" s="148"/>
      <c r="AA58" s="163"/>
      <c r="AE58" s="148"/>
      <c r="AF58" s="163"/>
    </row>
    <row r="59" spans="2:32">
      <c r="B59" s="103">
        <f t="shared" si="10"/>
        <v>43</v>
      </c>
      <c r="C59" s="103">
        <f t="shared" si="11"/>
        <v>8</v>
      </c>
      <c r="D59" s="103">
        <f t="shared" si="12"/>
        <v>7</v>
      </c>
      <c r="E59" s="102" t="str">
        <f t="shared" si="13"/>
        <v>s43w8d7</v>
      </c>
      <c r="F59" s="151">
        <f t="shared" si="14"/>
        <v>40454</v>
      </c>
      <c r="G59" s="145">
        <f t="shared" si="15"/>
        <v>55</v>
      </c>
      <c r="H59" s="146">
        <f>IF(H58&gt;4.5,H58+VLOOKUP(CEILING(H58,1),Tables!$L$2:$M$14,2,FALSE),H58+VLOOKUP(FLOOR(H58,1),Tables!$L$2:$M$14,2,FALSE))</f>
        <v>4.5158730158730158</v>
      </c>
      <c r="I59" s="145">
        <f t="shared" si="16"/>
        <v>55</v>
      </c>
      <c r="K59" s="148">
        <f>IF(L58&lt;10,IF(L58&gt;4.5,L58+VLOOKUP(CEILING(L58,1),Tables!$L$2:$M$14,2,FALSE),L58+VLOOKUP(FLOOR(L58,1),Tables!$L$2:$M$14,2,FALSE)),10-(1/3))</f>
        <v>4.5158730158730158</v>
      </c>
      <c r="L59" s="163">
        <f t="shared" si="17"/>
        <v>4.5158730158730158</v>
      </c>
      <c r="N59" s="145">
        <f t="shared" si="18"/>
        <v>55</v>
      </c>
      <c r="O59" s="147" t="s">
        <v>451</v>
      </c>
      <c r="P59" s="148">
        <f>IF(Q58&lt;10,IF(Q58&gt;4.5,Q58+VLOOKUP(CEILING(Q58,1),Tables!$L$2:$M$14,2,FALSE),Q58+VLOOKUP(FLOOR(Q58,1),Tables!$L$2:$M$14,2,FALSE)),10-(1/3))</f>
        <v>5.8382789432789437</v>
      </c>
      <c r="Q59" s="163">
        <f t="shared" si="19"/>
        <v>7.7649109945609958</v>
      </c>
      <c r="U59" s="148"/>
      <c r="V59" s="163"/>
      <c r="Z59" s="148"/>
      <c r="AA59" s="163"/>
      <c r="AE59" s="148"/>
      <c r="AF59" s="163"/>
    </row>
    <row r="60" spans="2:32">
      <c r="B60" s="103">
        <f t="shared" si="10"/>
        <v>43</v>
      </c>
      <c r="C60" s="103">
        <f t="shared" si="11"/>
        <v>9</v>
      </c>
      <c r="D60" s="103">
        <f t="shared" si="12"/>
        <v>1</v>
      </c>
      <c r="E60" s="102" t="str">
        <f t="shared" si="13"/>
        <v>s43w9d1</v>
      </c>
      <c r="F60" s="151">
        <f t="shared" si="14"/>
        <v>40455</v>
      </c>
      <c r="G60" s="145">
        <f t="shared" si="15"/>
        <v>56</v>
      </c>
      <c r="H60" s="146">
        <f>IF(H59&gt;4.5,H59+VLOOKUP(CEILING(H59,1),Tables!$L$2:$M$14,2,FALSE),H59+VLOOKUP(FLOOR(H59,1),Tables!$L$2:$M$14,2,FALSE))</f>
        <v>4.5</v>
      </c>
      <c r="I60" s="145">
        <f t="shared" si="16"/>
        <v>56</v>
      </c>
      <c r="K60" s="148">
        <f>IF(L59&lt;10,IF(L59&gt;4.5,L59+VLOOKUP(CEILING(L59,1),Tables!$L$2:$M$14,2,FALSE),L59+VLOOKUP(FLOOR(L59,1),Tables!$L$2:$M$14,2,FALSE)),10-(1/3))</f>
        <v>4.5</v>
      </c>
      <c r="L60" s="163">
        <f t="shared" si="17"/>
        <v>4.5</v>
      </c>
      <c r="N60" s="145">
        <f t="shared" si="18"/>
        <v>56</v>
      </c>
      <c r="P60" s="148">
        <f>IF(Q59&lt;10,IF(Q59&gt;4.5,Q59+VLOOKUP(CEILING(Q59,1),Tables!$L$2:$M$14,2,FALSE),Q59+VLOOKUP(FLOOR(Q59,1),Tables!$L$2:$M$14,2,FALSE)),10-(1/3))</f>
        <v>7.6220538517038525</v>
      </c>
      <c r="Q60" s="163">
        <f t="shared" si="19"/>
        <v>7.6220538517038525</v>
      </c>
      <c r="U60" s="148"/>
      <c r="V60" s="163"/>
      <c r="Z60" s="148"/>
      <c r="AA60" s="163"/>
      <c r="AE60" s="148"/>
      <c r="AF60" s="163"/>
    </row>
    <row r="61" spans="2:32">
      <c r="B61" s="103">
        <f t="shared" si="10"/>
        <v>43</v>
      </c>
      <c r="C61" s="103">
        <f t="shared" si="11"/>
        <v>9</v>
      </c>
      <c r="D61" s="103">
        <f t="shared" si="12"/>
        <v>2</v>
      </c>
      <c r="E61" s="102" t="str">
        <f t="shared" si="13"/>
        <v>s43w9d2</v>
      </c>
      <c r="F61" s="151">
        <f t="shared" si="14"/>
        <v>40456</v>
      </c>
      <c r="G61" s="145">
        <f t="shared" si="15"/>
        <v>57</v>
      </c>
      <c r="H61" s="146">
        <f>IF(H60&gt;4.5,H60+VLOOKUP(CEILING(H60,1),Tables!$L$2:$M$14,2,FALSE),H60+VLOOKUP(FLOOR(H60,1),Tables!$L$2:$M$14,2,FALSE))</f>
        <v>4.5158730158730158</v>
      </c>
      <c r="I61" s="145">
        <f t="shared" si="16"/>
        <v>57</v>
      </c>
      <c r="K61" s="148">
        <f>IF(L60&lt;10,IF(L60&gt;4.5,L60+VLOOKUP(CEILING(L60,1),Tables!$L$2:$M$14,2,FALSE),L60+VLOOKUP(FLOOR(L60,1),Tables!$L$2:$M$14,2,FALSE)),10-(1/3))</f>
        <v>4.5158730158730158</v>
      </c>
      <c r="L61" s="163">
        <f t="shared" si="17"/>
        <v>4.5158730158730158</v>
      </c>
      <c r="N61" s="145">
        <f t="shared" si="18"/>
        <v>57</v>
      </c>
      <c r="P61" s="148">
        <f>IF(Q60&lt;10,IF(Q60&gt;4.5,Q60+VLOOKUP(CEILING(Q60,1),Tables!$L$2:$M$14,2,FALSE),Q60+VLOOKUP(FLOOR(Q60,1),Tables!$L$2:$M$14,2,FALSE)),10-(1/3))</f>
        <v>7.4791967088467093</v>
      </c>
      <c r="Q61" s="163">
        <f t="shared" si="19"/>
        <v>7.4791967088467093</v>
      </c>
      <c r="U61" s="148"/>
      <c r="V61" s="163"/>
      <c r="Z61" s="148"/>
      <c r="AA61" s="163"/>
      <c r="AE61" s="148"/>
      <c r="AF61" s="163"/>
    </row>
    <row r="62" spans="2:32">
      <c r="B62" s="103">
        <f t="shared" si="10"/>
        <v>43</v>
      </c>
      <c r="C62" s="103">
        <f t="shared" si="11"/>
        <v>9</v>
      </c>
      <c r="D62" s="103">
        <f t="shared" si="12"/>
        <v>3</v>
      </c>
      <c r="E62" s="102" t="str">
        <f t="shared" si="13"/>
        <v>s43w9d3</v>
      </c>
      <c r="F62" s="151">
        <f t="shared" si="14"/>
        <v>40457</v>
      </c>
      <c r="G62" s="145">
        <f t="shared" si="15"/>
        <v>58</v>
      </c>
      <c r="H62" s="146">
        <f>IF(H61&gt;4.5,H61+VLOOKUP(CEILING(H61,1),Tables!$L$2:$M$14,2,FALSE),H61+VLOOKUP(FLOOR(H61,1),Tables!$L$2:$M$14,2,FALSE))</f>
        <v>4.5</v>
      </c>
      <c r="I62" s="145">
        <f t="shared" si="16"/>
        <v>58</v>
      </c>
      <c r="K62" s="148">
        <f>IF(L61&lt;10,IF(L61&gt;4.5,L61+VLOOKUP(CEILING(L61,1),Tables!$L$2:$M$14,2,FALSE),L61+VLOOKUP(FLOOR(L61,1),Tables!$L$2:$M$14,2,FALSE)),10-(1/3))</f>
        <v>4.5</v>
      </c>
      <c r="L62" s="163">
        <f t="shared" si="17"/>
        <v>4.5</v>
      </c>
      <c r="N62" s="145">
        <f t="shared" si="18"/>
        <v>58</v>
      </c>
      <c r="O62" s="147" t="s">
        <v>451</v>
      </c>
      <c r="P62" s="148">
        <f>IF(Q61&lt;10,IF(Q61&gt;4.5,Q61+VLOOKUP(CEILING(Q61,1),Tables!$L$2:$M$14,2,FALSE),Q61+VLOOKUP(FLOOR(Q61,1),Tables!$L$2:$M$14,2,FALSE)),10-(1/3))</f>
        <v>7.336339565989566</v>
      </c>
      <c r="Q62" s="163">
        <f t="shared" si="19"/>
        <v>9.7573316227661238</v>
      </c>
      <c r="U62" s="148"/>
      <c r="V62" s="163"/>
      <c r="Z62" s="148"/>
      <c r="AA62" s="163"/>
      <c r="AE62" s="148"/>
      <c r="AF62" s="163"/>
    </row>
    <row r="63" spans="2:32">
      <c r="B63" s="103">
        <f t="shared" si="10"/>
        <v>43</v>
      </c>
      <c r="C63" s="103">
        <f t="shared" si="11"/>
        <v>9</v>
      </c>
      <c r="D63" s="103">
        <f t="shared" si="12"/>
        <v>4</v>
      </c>
      <c r="E63" s="102" t="str">
        <f t="shared" si="13"/>
        <v>s43w9d4</v>
      </c>
      <c r="F63" s="151">
        <f t="shared" si="14"/>
        <v>40458</v>
      </c>
      <c r="G63" s="145">
        <f t="shared" si="15"/>
        <v>59</v>
      </c>
      <c r="H63" s="146">
        <f>IF(H62&gt;4.5,H62+VLOOKUP(CEILING(H62,1),Tables!$L$2:$M$14,2,FALSE),H62+VLOOKUP(FLOOR(H62,1),Tables!$L$2:$M$14,2,FALSE))</f>
        <v>4.5158730158730158</v>
      </c>
      <c r="I63" s="145">
        <f t="shared" si="16"/>
        <v>59</v>
      </c>
      <c r="K63" s="148">
        <f>IF(L62&lt;10,IF(L62&gt;4.5,L62+VLOOKUP(CEILING(L62,1),Tables!$L$2:$M$14,2,FALSE),L62+VLOOKUP(FLOOR(L62,1),Tables!$L$2:$M$14,2,FALSE)),10-(1/3))</f>
        <v>4.5158730158730158</v>
      </c>
      <c r="L63" s="163">
        <f t="shared" si="17"/>
        <v>4.5158730158730158</v>
      </c>
      <c r="N63" s="145">
        <f t="shared" si="18"/>
        <v>59</v>
      </c>
      <c r="P63" s="148">
        <f>IF(Q62&lt;10,IF(Q62&gt;4.5,Q62+VLOOKUP(CEILING(Q62,1),Tables!$L$2:$M$14,2,FALSE),Q62+VLOOKUP(FLOOR(Q62,1),Tables!$L$2:$M$14,2,FALSE)),10-(1/3))</f>
        <v>9.4239982894327898</v>
      </c>
      <c r="Q63" s="163">
        <f t="shared" si="19"/>
        <v>9.4239982894327898</v>
      </c>
      <c r="U63" s="148"/>
      <c r="V63" s="163"/>
      <c r="Z63" s="148"/>
      <c r="AA63" s="163"/>
      <c r="AE63" s="148"/>
      <c r="AF63" s="163"/>
    </row>
    <row r="64" spans="2:32">
      <c r="B64" s="103">
        <f t="shared" si="10"/>
        <v>43</v>
      </c>
      <c r="C64" s="103">
        <f t="shared" si="11"/>
        <v>9</v>
      </c>
      <c r="D64" s="103">
        <f t="shared" si="12"/>
        <v>5</v>
      </c>
      <c r="E64" s="102" t="str">
        <f t="shared" si="13"/>
        <v>s43w9d5</v>
      </c>
      <c r="F64" s="151">
        <f t="shared" si="14"/>
        <v>40459</v>
      </c>
      <c r="G64" s="145">
        <f t="shared" si="15"/>
        <v>60</v>
      </c>
      <c r="H64" s="146">
        <f>IF(H63&gt;4.5,H63+VLOOKUP(CEILING(H63,1),Tables!$L$2:$M$14,2,FALSE),H63+VLOOKUP(FLOOR(H63,1),Tables!$L$2:$M$14,2,FALSE))</f>
        <v>4.5</v>
      </c>
      <c r="I64" s="145">
        <f t="shared" si="16"/>
        <v>60</v>
      </c>
      <c r="K64" s="148">
        <f>IF(L63&lt;10,IF(L63&gt;4.5,L63+VLOOKUP(CEILING(L63,1),Tables!$L$2:$M$14,2,FALSE),L63+VLOOKUP(FLOOR(L63,1),Tables!$L$2:$M$14,2,FALSE)),10-(1/3))</f>
        <v>4.5</v>
      </c>
      <c r="L64" s="163">
        <f t="shared" si="17"/>
        <v>4.5</v>
      </c>
      <c r="N64" s="145">
        <f t="shared" si="18"/>
        <v>60</v>
      </c>
      <c r="P64" s="148">
        <f>IF(Q63&lt;10,IF(Q63&gt;4.5,Q63+VLOOKUP(CEILING(Q63,1),Tables!$L$2:$M$14,2,FALSE),Q63+VLOOKUP(FLOOR(Q63,1),Tables!$L$2:$M$14,2,FALSE)),10-(1/3))</f>
        <v>9.0906649560994559</v>
      </c>
      <c r="Q64" s="163">
        <f t="shared" si="19"/>
        <v>9.0906649560994559</v>
      </c>
      <c r="U64" s="148"/>
      <c r="V64" s="163"/>
      <c r="Z64" s="148"/>
      <c r="AA64" s="163"/>
      <c r="AE64" s="148"/>
      <c r="AF64" s="163"/>
    </row>
    <row r="65" spans="2:32">
      <c r="B65" s="103">
        <f t="shared" si="10"/>
        <v>43</v>
      </c>
      <c r="C65" s="103">
        <f t="shared" si="11"/>
        <v>9</v>
      </c>
      <c r="D65" s="103">
        <f t="shared" si="12"/>
        <v>6</v>
      </c>
      <c r="E65" s="102" t="str">
        <f t="shared" si="13"/>
        <v>s43w9d6</v>
      </c>
      <c r="F65" s="151">
        <f t="shared" si="14"/>
        <v>40460</v>
      </c>
      <c r="G65" s="145">
        <f t="shared" si="15"/>
        <v>61</v>
      </c>
      <c r="H65" s="146">
        <f>IF(H64&gt;4.5,H64+VLOOKUP(CEILING(H64,1),Tables!$L$2:$M$14,2,FALSE),H64+VLOOKUP(FLOOR(H64,1),Tables!$L$2:$M$14,2,FALSE))</f>
        <v>4.5158730158730158</v>
      </c>
      <c r="I65" s="145">
        <f t="shared" si="16"/>
        <v>61</v>
      </c>
      <c r="K65" s="148">
        <f>IF(L64&lt;10,IF(L64&gt;4.5,L64+VLOOKUP(CEILING(L64,1),Tables!$L$2:$M$14,2,FALSE),L64+VLOOKUP(FLOOR(L64,1),Tables!$L$2:$M$14,2,FALSE)),10-(1/3))</f>
        <v>4.5158730158730158</v>
      </c>
      <c r="L65" s="163">
        <f t="shared" si="17"/>
        <v>4.5158730158730158</v>
      </c>
      <c r="N65" s="145">
        <f t="shared" si="18"/>
        <v>61</v>
      </c>
      <c r="P65" s="148">
        <f>IF(Q64&lt;10,IF(Q64&gt;4.5,Q64+VLOOKUP(CEILING(Q64,1),Tables!$L$2:$M$14,2,FALSE),Q64+VLOOKUP(FLOOR(Q64,1),Tables!$L$2:$M$14,2,FALSE)),10-(1/3))</f>
        <v>8.757331622766122</v>
      </c>
      <c r="Q65" s="163">
        <f t="shared" si="19"/>
        <v>8.757331622766122</v>
      </c>
      <c r="U65" s="148"/>
      <c r="V65" s="163"/>
      <c r="Z65" s="148"/>
      <c r="AA65" s="163"/>
      <c r="AE65" s="148"/>
      <c r="AF65" s="163"/>
    </row>
    <row r="66" spans="2:32">
      <c r="B66" s="103">
        <f t="shared" si="10"/>
        <v>43</v>
      </c>
      <c r="C66" s="103">
        <f t="shared" si="11"/>
        <v>9</v>
      </c>
      <c r="D66" s="103">
        <f t="shared" si="12"/>
        <v>7</v>
      </c>
      <c r="E66" s="102" t="str">
        <f t="shared" si="13"/>
        <v>s43w9d7</v>
      </c>
      <c r="F66" s="151">
        <f t="shared" si="14"/>
        <v>40461</v>
      </c>
      <c r="G66" s="145">
        <f t="shared" si="15"/>
        <v>62</v>
      </c>
      <c r="H66" s="146">
        <f>IF(H65&gt;4.5,H65+VLOOKUP(CEILING(H65,1),Tables!$L$2:$M$14,2,FALSE),H65+VLOOKUP(FLOOR(H65,1),Tables!$L$2:$M$14,2,FALSE))</f>
        <v>4.5</v>
      </c>
      <c r="I66" s="145">
        <f t="shared" si="16"/>
        <v>62</v>
      </c>
      <c r="K66" s="148">
        <f>IF(L65&lt;10,IF(L65&gt;4.5,L65+VLOOKUP(CEILING(L65,1),Tables!$L$2:$M$14,2,FALSE),L65+VLOOKUP(FLOOR(L65,1),Tables!$L$2:$M$14,2,FALSE)),10-(1/3))</f>
        <v>4.5</v>
      </c>
      <c r="L66" s="163">
        <f t="shared" si="17"/>
        <v>4.5</v>
      </c>
      <c r="N66" s="145">
        <f t="shared" si="18"/>
        <v>62</v>
      </c>
      <c r="O66" s="147" t="s">
        <v>451</v>
      </c>
      <c r="P66" s="148">
        <f>IF(Q65&lt;10,IF(Q65&gt;4.5,Q65+VLOOKUP(CEILING(Q65,1),Tables!$L$2:$M$14,2,FALSE),Q65+VLOOKUP(FLOOR(Q65,1),Tables!$L$2:$M$14,2,FALSE)),10-(1/3))</f>
        <v>8.5573316227661227</v>
      </c>
      <c r="Q66" s="163">
        <f t="shared" si="19"/>
        <v>11.381251058278943</v>
      </c>
      <c r="U66" s="148"/>
      <c r="V66" s="163"/>
      <c r="Z66" s="148"/>
      <c r="AA66" s="163"/>
      <c r="AE66" s="148"/>
      <c r="AF66" s="163"/>
    </row>
    <row r="67" spans="2:32">
      <c r="B67" s="103">
        <f t="shared" si="10"/>
        <v>43</v>
      </c>
      <c r="C67" s="103">
        <f t="shared" si="11"/>
        <v>10</v>
      </c>
      <c r="D67" s="103">
        <f t="shared" si="12"/>
        <v>1</v>
      </c>
      <c r="E67" s="102" t="str">
        <f t="shared" si="13"/>
        <v>s43w10d1</v>
      </c>
      <c r="F67" s="151">
        <f t="shared" si="14"/>
        <v>40462</v>
      </c>
      <c r="G67" s="145">
        <f t="shared" si="15"/>
        <v>63</v>
      </c>
      <c r="H67" s="146">
        <f>IF(H66&gt;4.5,H66+VLOOKUP(CEILING(H66,1),Tables!$L$2:$M$14,2,FALSE),H66+VLOOKUP(FLOOR(H66,1),Tables!$L$2:$M$14,2,FALSE))</f>
        <v>4.5158730158730158</v>
      </c>
      <c r="I67" s="145">
        <f t="shared" si="16"/>
        <v>63</v>
      </c>
      <c r="K67" s="148">
        <f>IF(L66&lt;10,IF(L66&gt;4.5,L66+VLOOKUP(CEILING(L66,1),Tables!$L$2:$M$14,2,FALSE),L66+VLOOKUP(FLOOR(L66,1),Tables!$L$2:$M$14,2,FALSE)),10-(1/3))</f>
        <v>4.5158730158730158</v>
      </c>
      <c r="L67" s="163">
        <f t="shared" si="17"/>
        <v>4.5158730158730158</v>
      </c>
      <c r="N67" s="145">
        <f t="shared" si="18"/>
        <v>63</v>
      </c>
      <c r="P67" s="148">
        <f>IF(Q66&lt;10,IF(Q66&gt;4.5,Q66+VLOOKUP(CEILING(Q66,1),Tables!$L$2:$M$14,2,FALSE),Q66+VLOOKUP(FLOOR(Q66,1),Tables!$L$2:$M$14,2,FALSE)),10-(1/3))</f>
        <v>9.6666666666666661</v>
      </c>
      <c r="Q67" s="163">
        <f t="shared" si="19"/>
        <v>9.6666666666666661</v>
      </c>
      <c r="U67" s="148"/>
      <c r="V67" s="163"/>
      <c r="Z67" s="148"/>
      <c r="AA67" s="163"/>
      <c r="AE67" s="148"/>
      <c r="AF67" s="163"/>
    </row>
    <row r="68" spans="2:32">
      <c r="B68" s="103">
        <f t="shared" si="10"/>
        <v>43</v>
      </c>
      <c r="C68" s="103">
        <f t="shared" si="11"/>
        <v>10</v>
      </c>
      <c r="D68" s="103">
        <f t="shared" si="12"/>
        <v>2</v>
      </c>
      <c r="E68" s="102" t="str">
        <f t="shared" si="13"/>
        <v>s43w10d2</v>
      </c>
      <c r="F68" s="151">
        <f t="shared" si="14"/>
        <v>40463</v>
      </c>
      <c r="G68" s="145">
        <f t="shared" si="15"/>
        <v>64</v>
      </c>
      <c r="H68" s="146">
        <f>IF(H67&gt;4.5,H67+VLOOKUP(CEILING(H67,1),Tables!$L$2:$M$14,2,FALSE),H67+VLOOKUP(FLOOR(H67,1),Tables!$L$2:$M$14,2,FALSE))</f>
        <v>4.5</v>
      </c>
      <c r="I68" s="145">
        <f t="shared" si="16"/>
        <v>64</v>
      </c>
      <c r="K68" s="148">
        <f>IF(L67&lt;10,IF(L67&gt;4.5,L67+VLOOKUP(CEILING(L67,1),Tables!$L$2:$M$14,2,FALSE),L67+VLOOKUP(FLOOR(L67,1),Tables!$L$2:$M$14,2,FALSE)),10-(1/3))</f>
        <v>4.5</v>
      </c>
      <c r="L68" s="163">
        <f t="shared" si="17"/>
        <v>4.5</v>
      </c>
      <c r="N68" s="145">
        <f t="shared" si="18"/>
        <v>64</v>
      </c>
      <c r="P68" s="148">
        <f>IF(Q67&lt;10,IF(Q67&gt;4.5,Q67+VLOOKUP(CEILING(Q67,1),Tables!$L$2:$M$14,2,FALSE),Q67+VLOOKUP(FLOOR(Q67,1),Tables!$L$2:$M$14,2,FALSE)),10-(1/3))</f>
        <v>9.3333333333333321</v>
      </c>
      <c r="Q68" s="163">
        <f t="shared" si="19"/>
        <v>9.3333333333333321</v>
      </c>
      <c r="U68" s="148"/>
      <c r="V68" s="163"/>
      <c r="Z68" s="148"/>
      <c r="AA68" s="163"/>
      <c r="AE68" s="148"/>
      <c r="AF68" s="163"/>
    </row>
    <row r="69" spans="2:32">
      <c r="B69" s="103">
        <f t="shared" si="10"/>
        <v>43</v>
      </c>
      <c r="C69" s="103">
        <f t="shared" si="11"/>
        <v>10</v>
      </c>
      <c r="D69" s="103">
        <f t="shared" si="12"/>
        <v>3</v>
      </c>
      <c r="E69" s="102" t="str">
        <f t="shared" si="13"/>
        <v>s43w10d3</v>
      </c>
      <c r="F69" s="151">
        <f t="shared" si="14"/>
        <v>40464</v>
      </c>
      <c r="G69" s="145">
        <f t="shared" si="15"/>
        <v>65</v>
      </c>
      <c r="H69" s="146">
        <f>IF(H68&gt;4.5,H68+VLOOKUP(CEILING(H68,1),Tables!$L$2:$M$14,2,FALSE),H68+VLOOKUP(FLOOR(H68,1),Tables!$L$2:$M$14,2,FALSE))</f>
        <v>4.5158730158730158</v>
      </c>
      <c r="I69" s="145">
        <f t="shared" si="16"/>
        <v>65</v>
      </c>
      <c r="K69" s="148">
        <f>IF(L68&lt;10,IF(L68&gt;4.5,L68+VLOOKUP(CEILING(L68,1),Tables!$L$2:$M$14,2,FALSE),L68+VLOOKUP(FLOOR(L68,1),Tables!$L$2:$M$14,2,FALSE)),10-(1/3))</f>
        <v>4.5158730158730158</v>
      </c>
      <c r="L69" s="163">
        <f t="shared" si="17"/>
        <v>4.5158730158730158</v>
      </c>
      <c r="N69" s="145">
        <f t="shared" si="18"/>
        <v>65</v>
      </c>
      <c r="O69" s="147" t="s">
        <v>451</v>
      </c>
      <c r="P69" s="148">
        <f>IF(Q68&lt;10,IF(Q68&gt;4.5,Q68+VLOOKUP(CEILING(Q68,1),Tables!$L$2:$M$14,2,FALSE),Q68+VLOOKUP(FLOOR(Q68,1),Tables!$L$2:$M$14,2,FALSE)),10-(1/3))</f>
        <v>8.9999999999999982</v>
      </c>
      <c r="Q69" s="163">
        <f t="shared" si="19"/>
        <v>11.969999999999999</v>
      </c>
      <c r="U69" s="148"/>
      <c r="V69" s="163"/>
      <c r="Z69" s="148"/>
      <c r="AA69" s="163"/>
      <c r="AE69" s="148"/>
      <c r="AF69" s="163"/>
    </row>
    <row r="70" spans="2:32">
      <c r="B70" s="103">
        <f t="shared" si="10"/>
        <v>43</v>
      </c>
      <c r="C70" s="103">
        <f t="shared" si="11"/>
        <v>10</v>
      </c>
      <c r="D70" s="103">
        <f t="shared" si="12"/>
        <v>4</v>
      </c>
      <c r="E70" s="102" t="str">
        <f t="shared" si="13"/>
        <v>s43w10d4</v>
      </c>
      <c r="F70" s="151">
        <f t="shared" si="14"/>
        <v>40465</v>
      </c>
      <c r="G70" s="145">
        <f t="shared" si="15"/>
        <v>66</v>
      </c>
      <c r="H70" s="146">
        <f>IF(H69&gt;4.5,H69+VLOOKUP(CEILING(H69,1),Tables!$L$2:$M$14,2,FALSE),H69+VLOOKUP(FLOOR(H69,1),Tables!$L$2:$M$14,2,FALSE))</f>
        <v>4.5</v>
      </c>
      <c r="I70" s="145">
        <f t="shared" si="16"/>
        <v>66</v>
      </c>
      <c r="K70" s="148">
        <f>IF(L69&lt;10,IF(L69&gt;4.5,L69+VLOOKUP(CEILING(L69,1),Tables!$L$2:$M$14,2,FALSE),L69+VLOOKUP(FLOOR(L69,1),Tables!$L$2:$M$14,2,FALSE)),10-(1/3))</f>
        <v>4.5</v>
      </c>
      <c r="L70" s="163">
        <f t="shared" si="17"/>
        <v>4.5</v>
      </c>
      <c r="N70" s="145">
        <f t="shared" si="18"/>
        <v>66</v>
      </c>
      <c r="P70" s="148">
        <f>IF(Q69&lt;10,IF(Q69&gt;4.5,Q69+VLOOKUP(CEILING(Q69,1),Tables!$L$2:$M$14,2,FALSE),Q69+VLOOKUP(FLOOR(Q69,1),Tables!$L$2:$M$14,2,FALSE)),10-(1/3))</f>
        <v>9.6666666666666661</v>
      </c>
      <c r="Q70" s="163">
        <f t="shared" si="19"/>
        <v>9.6666666666666661</v>
      </c>
      <c r="U70" s="148"/>
      <c r="V70" s="163"/>
      <c r="Z70" s="148"/>
      <c r="AA70" s="163"/>
      <c r="AE70" s="148"/>
      <c r="AF70" s="163"/>
    </row>
    <row r="71" spans="2:32">
      <c r="B71" s="103">
        <f t="shared" si="10"/>
        <v>43</v>
      </c>
      <c r="C71" s="103">
        <f t="shared" si="11"/>
        <v>10</v>
      </c>
      <c r="D71" s="103">
        <f t="shared" si="12"/>
        <v>5</v>
      </c>
      <c r="E71" s="102" t="str">
        <f t="shared" si="13"/>
        <v>s43w10d5</v>
      </c>
      <c r="F71" s="151">
        <f t="shared" si="14"/>
        <v>40466</v>
      </c>
      <c r="G71" s="145">
        <f t="shared" si="15"/>
        <v>67</v>
      </c>
      <c r="H71" s="146">
        <f>IF(H70&gt;4.5,H70+VLOOKUP(CEILING(H70,1),Tables!$L$2:$M$14,2,FALSE),H70+VLOOKUP(FLOOR(H70,1),Tables!$L$2:$M$14,2,FALSE))</f>
        <v>4.5158730158730158</v>
      </c>
      <c r="I71" s="145">
        <f t="shared" si="16"/>
        <v>67</v>
      </c>
      <c r="K71" s="148">
        <f>IF(L70&lt;10,IF(L70&gt;4.5,L70+VLOOKUP(CEILING(L70,1),Tables!$L$2:$M$14,2,FALSE),L70+VLOOKUP(FLOOR(L70,1),Tables!$L$2:$M$14,2,FALSE)),10-(1/3))</f>
        <v>4.5158730158730158</v>
      </c>
      <c r="L71" s="163">
        <f t="shared" si="17"/>
        <v>4.5158730158730158</v>
      </c>
      <c r="N71" s="145">
        <f t="shared" si="18"/>
        <v>67</v>
      </c>
      <c r="P71" s="148">
        <f>IF(Q70&lt;10,IF(Q70&gt;4.5,Q70+VLOOKUP(CEILING(Q70,1),Tables!$L$2:$M$14,2,FALSE),Q70+VLOOKUP(FLOOR(Q70,1),Tables!$L$2:$M$14,2,FALSE)),10-(1/3))</f>
        <v>9.3333333333333321</v>
      </c>
      <c r="Q71" s="163">
        <f t="shared" si="19"/>
        <v>9.3333333333333321</v>
      </c>
      <c r="U71" s="148"/>
      <c r="V71" s="163"/>
      <c r="Z71" s="148"/>
      <c r="AA71" s="163"/>
      <c r="AE71" s="148"/>
      <c r="AF71" s="163"/>
    </row>
    <row r="72" spans="2:32">
      <c r="B72" s="103">
        <f t="shared" si="10"/>
        <v>43</v>
      </c>
      <c r="C72" s="103">
        <f t="shared" si="11"/>
        <v>10</v>
      </c>
      <c r="D72" s="103">
        <f t="shared" si="12"/>
        <v>6</v>
      </c>
      <c r="E72" s="102" t="str">
        <f t="shared" si="13"/>
        <v>s43w10d6</v>
      </c>
      <c r="F72" s="151">
        <f t="shared" si="14"/>
        <v>40467</v>
      </c>
      <c r="G72" s="145">
        <f t="shared" si="15"/>
        <v>68</v>
      </c>
      <c r="H72" s="146">
        <f>IF(H71&gt;4.5,H71+VLOOKUP(CEILING(H71,1),Tables!$L$2:$M$14,2,FALSE),H71+VLOOKUP(FLOOR(H71,1),Tables!$L$2:$M$14,2,FALSE))</f>
        <v>4.5</v>
      </c>
      <c r="I72" s="145">
        <f t="shared" si="16"/>
        <v>68</v>
      </c>
      <c r="K72" s="148">
        <f>IF(L71&lt;10,IF(L71&gt;4.5,L71+VLOOKUP(CEILING(L71,1),Tables!$L$2:$M$14,2,FALSE),L71+VLOOKUP(FLOOR(L71,1),Tables!$L$2:$M$14,2,FALSE)),10-(1/3))</f>
        <v>4.5</v>
      </c>
      <c r="L72" s="163">
        <f t="shared" si="17"/>
        <v>4.5</v>
      </c>
      <c r="N72" s="145">
        <f t="shared" si="18"/>
        <v>68</v>
      </c>
      <c r="P72" s="148">
        <f>IF(Q71&lt;10,IF(Q71&gt;4.5,Q71+VLOOKUP(CEILING(Q71,1),Tables!$L$2:$M$14,2,FALSE),Q71+VLOOKUP(FLOOR(Q71,1),Tables!$L$2:$M$14,2,FALSE)),10-(1/3))</f>
        <v>8.9999999999999982</v>
      </c>
      <c r="Q72" s="163">
        <f t="shared" si="19"/>
        <v>8.9999999999999982</v>
      </c>
      <c r="U72" s="148"/>
      <c r="V72" s="163"/>
      <c r="Z72" s="148"/>
      <c r="AA72" s="163"/>
      <c r="AE72" s="148"/>
      <c r="AF72" s="163"/>
    </row>
    <row r="73" spans="2:32">
      <c r="B73" s="103">
        <f t="shared" si="10"/>
        <v>43</v>
      </c>
      <c r="C73" s="103">
        <f t="shared" si="11"/>
        <v>10</v>
      </c>
      <c r="D73" s="103">
        <f t="shared" si="12"/>
        <v>7</v>
      </c>
      <c r="E73" s="102" t="str">
        <f t="shared" si="13"/>
        <v>s43w10d7</v>
      </c>
      <c r="F73" s="151">
        <f t="shared" si="14"/>
        <v>40468</v>
      </c>
      <c r="G73" s="145">
        <f t="shared" si="15"/>
        <v>69</v>
      </c>
      <c r="H73" s="146">
        <f>IF(H72&gt;4.5,H72+VLOOKUP(CEILING(H72,1),Tables!$L$2:$M$14,2,FALSE),H72+VLOOKUP(FLOOR(H72,1),Tables!$L$2:$M$14,2,FALSE))</f>
        <v>4.5158730158730158</v>
      </c>
      <c r="I73" s="145">
        <f t="shared" si="16"/>
        <v>69</v>
      </c>
      <c r="K73" s="148">
        <f>IF(L72&lt;10,IF(L72&gt;4.5,L72+VLOOKUP(CEILING(L72,1),Tables!$L$2:$M$14,2,FALSE),L72+VLOOKUP(FLOOR(L72,1),Tables!$L$2:$M$14,2,FALSE)),10-(1/3))</f>
        <v>4.5158730158730158</v>
      </c>
      <c r="L73" s="163">
        <f t="shared" si="17"/>
        <v>4.5158730158730158</v>
      </c>
      <c r="N73" s="145">
        <f t="shared" si="18"/>
        <v>69</v>
      </c>
      <c r="P73" s="148">
        <f>IF(Q72&lt;10,IF(Q72&gt;4.5,Q72+VLOOKUP(CEILING(Q72,1),Tables!$L$2:$M$14,2,FALSE),Q72+VLOOKUP(FLOOR(Q72,1),Tables!$L$2:$M$14,2,FALSE)),10-(1/3))</f>
        <v>8.7999999999999989</v>
      </c>
      <c r="Q73" s="163">
        <f t="shared" si="19"/>
        <v>8.7999999999999989</v>
      </c>
      <c r="U73" s="148"/>
      <c r="V73" s="163"/>
      <c r="Z73" s="148"/>
      <c r="AA73" s="163"/>
      <c r="AE73" s="148"/>
      <c r="AF73" s="163"/>
    </row>
    <row r="74" spans="2:32">
      <c r="B74" s="103">
        <f t="shared" si="10"/>
        <v>43</v>
      </c>
      <c r="C74" s="103">
        <f t="shared" si="11"/>
        <v>11</v>
      </c>
      <c r="D74" s="103">
        <f t="shared" si="12"/>
        <v>1</v>
      </c>
      <c r="E74" s="102" t="str">
        <f t="shared" si="13"/>
        <v>s43w11d1</v>
      </c>
      <c r="F74" s="151">
        <f t="shared" si="14"/>
        <v>40469</v>
      </c>
      <c r="G74" s="145">
        <f t="shared" si="15"/>
        <v>70</v>
      </c>
      <c r="H74" s="146">
        <f>IF(H73&gt;4.5,H73+VLOOKUP(CEILING(H73,1),Tables!$L$2:$M$14,2,FALSE),H73+VLOOKUP(FLOOR(H73,1),Tables!$L$2:$M$14,2,FALSE))</f>
        <v>4.5</v>
      </c>
      <c r="I74" s="145">
        <f t="shared" si="16"/>
        <v>70</v>
      </c>
      <c r="K74" s="148">
        <f>IF(L73&lt;10,IF(L73&gt;4.5,L73+VLOOKUP(CEILING(L73,1),Tables!$L$2:$M$14,2,FALSE),L73+VLOOKUP(FLOOR(L73,1),Tables!$L$2:$M$14,2,FALSE)),10-(1/3))</f>
        <v>4.5</v>
      </c>
      <c r="L74" s="163">
        <f t="shared" si="17"/>
        <v>4.5</v>
      </c>
      <c r="N74" s="145">
        <f t="shared" si="18"/>
        <v>70</v>
      </c>
      <c r="P74" s="148">
        <f>IF(Q73&lt;10,IF(Q73&gt;4.5,Q73+VLOOKUP(CEILING(Q73,1),Tables!$L$2:$M$14,2,FALSE),Q73+VLOOKUP(FLOOR(Q73,1),Tables!$L$2:$M$14,2,FALSE)),10-(1/3))</f>
        <v>8.6</v>
      </c>
      <c r="Q74" s="163">
        <f t="shared" si="19"/>
        <v>8.6</v>
      </c>
      <c r="U74" s="148"/>
      <c r="V74" s="163"/>
      <c r="Z74" s="148"/>
      <c r="AA74" s="163"/>
      <c r="AE74" s="148"/>
      <c r="AF74" s="163"/>
    </row>
    <row r="75" spans="2:32">
      <c r="B75" s="103">
        <f t="shared" si="10"/>
        <v>43</v>
      </c>
      <c r="C75" s="103">
        <f t="shared" si="11"/>
        <v>11</v>
      </c>
      <c r="D75" s="103">
        <f t="shared" si="12"/>
        <v>2</v>
      </c>
      <c r="E75" s="102" t="str">
        <f t="shared" si="13"/>
        <v>s43w11d2</v>
      </c>
      <c r="F75" s="151">
        <f t="shared" si="14"/>
        <v>40470</v>
      </c>
      <c r="G75" s="145">
        <f t="shared" si="15"/>
        <v>71</v>
      </c>
      <c r="H75" s="146">
        <f>IF(H74&gt;4.5,H74+VLOOKUP(CEILING(H74,1),Tables!$L$2:$M$14,2,FALSE),H74+VLOOKUP(FLOOR(H74,1),Tables!$L$2:$M$14,2,FALSE))</f>
        <v>4.5158730158730158</v>
      </c>
      <c r="I75" s="145">
        <f t="shared" si="16"/>
        <v>71</v>
      </c>
      <c r="K75" s="148">
        <f>IF(L74&lt;10,IF(L74&gt;4.5,L74+VLOOKUP(CEILING(L74,1),Tables!$L$2:$M$14,2,FALSE),L74+VLOOKUP(FLOOR(L74,1),Tables!$L$2:$M$14,2,FALSE)),10-(1/3))</f>
        <v>4.5158730158730158</v>
      </c>
      <c r="L75" s="163">
        <f t="shared" si="17"/>
        <v>4.5158730158730158</v>
      </c>
      <c r="N75" s="145">
        <f t="shared" si="18"/>
        <v>71</v>
      </c>
      <c r="P75" s="148">
        <f>IF(Q74&lt;10,IF(Q74&gt;4.5,Q74+VLOOKUP(CEILING(Q74,1),Tables!$L$2:$M$14,2,FALSE),Q74+VLOOKUP(FLOOR(Q74,1),Tables!$L$2:$M$14,2,FALSE)),10-(1/3))</f>
        <v>8.4</v>
      </c>
      <c r="Q75" s="163">
        <f t="shared" si="19"/>
        <v>8.4</v>
      </c>
      <c r="U75" s="148"/>
      <c r="V75" s="163"/>
      <c r="Z75" s="148"/>
      <c r="AA75" s="163"/>
      <c r="AE75" s="148"/>
      <c r="AF75" s="163"/>
    </row>
    <row r="76" spans="2:32">
      <c r="B76" s="103">
        <f t="shared" si="10"/>
        <v>43</v>
      </c>
      <c r="C76" s="103">
        <f t="shared" si="11"/>
        <v>11</v>
      </c>
      <c r="D76" s="103">
        <f t="shared" si="12"/>
        <v>3</v>
      </c>
      <c r="E76" s="102" t="str">
        <f t="shared" si="13"/>
        <v>s43w11d3</v>
      </c>
      <c r="F76" s="151">
        <f t="shared" si="14"/>
        <v>40471</v>
      </c>
      <c r="G76" s="145">
        <f t="shared" si="15"/>
        <v>72</v>
      </c>
      <c r="H76" s="146">
        <f>IF(H75&gt;4.5,H75+VLOOKUP(CEILING(H75,1),Tables!$L$2:$M$14,2,FALSE),H75+VLOOKUP(FLOOR(H75,1),Tables!$L$2:$M$14,2,FALSE))</f>
        <v>4.5</v>
      </c>
      <c r="I76" s="145">
        <f t="shared" si="16"/>
        <v>72</v>
      </c>
      <c r="K76" s="148">
        <f>IF(L75&lt;10,IF(L75&gt;4.5,L75+VLOOKUP(CEILING(L75,1),Tables!$L$2:$M$14,2,FALSE),L75+VLOOKUP(FLOOR(L75,1),Tables!$L$2:$M$14,2,FALSE)),10-(1/3))</f>
        <v>4.5</v>
      </c>
      <c r="L76" s="163">
        <f t="shared" si="17"/>
        <v>4.5</v>
      </c>
      <c r="N76" s="145">
        <f t="shared" si="18"/>
        <v>72</v>
      </c>
      <c r="P76" s="148">
        <f>IF(Q75&lt;10,IF(Q75&gt;4.5,Q75+VLOOKUP(CEILING(Q75,1),Tables!$L$2:$M$14,2,FALSE),Q75+VLOOKUP(FLOOR(Q75,1),Tables!$L$2:$M$14,2,FALSE)),10-(1/3))</f>
        <v>8.2000000000000011</v>
      </c>
      <c r="Q76" s="163">
        <f t="shared" si="19"/>
        <v>8.2000000000000011</v>
      </c>
      <c r="U76" s="148"/>
      <c r="V76" s="163"/>
      <c r="Z76" s="148"/>
      <c r="AA76" s="163"/>
      <c r="AE76" s="148"/>
      <c r="AF76" s="163"/>
    </row>
    <row r="77" spans="2:32">
      <c r="B77" s="103">
        <f t="shared" si="10"/>
        <v>43</v>
      </c>
      <c r="C77" s="103">
        <f t="shared" si="11"/>
        <v>11</v>
      </c>
      <c r="D77" s="103">
        <f t="shared" si="12"/>
        <v>4</v>
      </c>
      <c r="E77" s="102" t="str">
        <f t="shared" si="13"/>
        <v>s43w11d4</v>
      </c>
      <c r="F77" s="151">
        <f t="shared" si="14"/>
        <v>40472</v>
      </c>
      <c r="G77" s="145">
        <f t="shared" si="15"/>
        <v>73</v>
      </c>
      <c r="H77" s="146">
        <f>IF(H76&gt;4.5,H76+VLOOKUP(CEILING(H76,1),Tables!$L$2:$M$14,2,FALSE),H76+VLOOKUP(FLOOR(H76,1),Tables!$L$2:$M$14,2,FALSE))</f>
        <v>4.5158730158730158</v>
      </c>
      <c r="I77" s="145">
        <f t="shared" si="16"/>
        <v>73</v>
      </c>
      <c r="K77" s="148">
        <f>IF(L76&lt;10,IF(L76&gt;4.5,L76+VLOOKUP(CEILING(L76,1),Tables!$L$2:$M$14,2,FALSE),L76+VLOOKUP(FLOOR(L76,1),Tables!$L$2:$M$14,2,FALSE)),10-(1/3))</f>
        <v>4.5158730158730158</v>
      </c>
      <c r="L77" s="163">
        <f t="shared" si="17"/>
        <v>4.5158730158730158</v>
      </c>
      <c r="N77" s="145">
        <f t="shared" si="18"/>
        <v>73</v>
      </c>
      <c r="P77" s="148">
        <f>IF(Q76&lt;10,IF(Q76&gt;4.5,Q76+VLOOKUP(CEILING(Q76,1),Tables!$L$2:$M$14,2,FALSE),Q76+VLOOKUP(FLOOR(Q76,1),Tables!$L$2:$M$14,2,FALSE)),10-(1/3))</f>
        <v>8.0000000000000018</v>
      </c>
      <c r="Q77" s="163">
        <f t="shared" si="19"/>
        <v>8.0000000000000018</v>
      </c>
      <c r="U77" s="148"/>
      <c r="V77" s="163"/>
      <c r="Z77" s="148"/>
      <c r="AA77" s="163"/>
      <c r="AE77" s="148"/>
      <c r="AF77" s="163"/>
    </row>
    <row r="78" spans="2:32">
      <c r="B78" s="103">
        <f t="shared" si="10"/>
        <v>43</v>
      </c>
      <c r="C78" s="103">
        <f t="shared" si="11"/>
        <v>11</v>
      </c>
      <c r="D78" s="103">
        <f t="shared" si="12"/>
        <v>5</v>
      </c>
      <c r="E78" s="102" t="str">
        <f t="shared" si="13"/>
        <v>s43w11d5</v>
      </c>
      <c r="F78" s="151">
        <f t="shared" si="14"/>
        <v>40473</v>
      </c>
      <c r="G78" s="145">
        <f t="shared" si="15"/>
        <v>74</v>
      </c>
      <c r="H78" s="146">
        <f>IF(H77&gt;4.5,H77+VLOOKUP(CEILING(H77,1),Tables!$L$2:$M$14,2,FALSE),H77+VLOOKUP(FLOOR(H77,1),Tables!$L$2:$M$14,2,FALSE))</f>
        <v>4.5</v>
      </c>
      <c r="I78" s="145">
        <f t="shared" si="16"/>
        <v>74</v>
      </c>
      <c r="K78" s="148">
        <f>IF(L77&lt;10,IF(L77&gt;4.5,L77+VLOOKUP(CEILING(L77,1),Tables!$L$2:$M$14,2,FALSE),L77+VLOOKUP(FLOOR(L77,1),Tables!$L$2:$M$14,2,FALSE)),10-(1/3))</f>
        <v>4.5</v>
      </c>
      <c r="L78" s="163">
        <f t="shared" si="17"/>
        <v>4.5</v>
      </c>
      <c r="N78" s="145">
        <f t="shared" si="18"/>
        <v>74</v>
      </c>
      <c r="P78" s="148">
        <f>IF(Q77&lt;10,IF(Q77&gt;4.5,Q77+VLOOKUP(CEILING(Q77,1),Tables!$L$2:$M$14,2,FALSE),Q77+VLOOKUP(FLOOR(Q77,1),Tables!$L$2:$M$14,2,FALSE)),10-(1/3))</f>
        <v>7.8571428571428585</v>
      </c>
      <c r="Q78" s="163">
        <f t="shared" si="19"/>
        <v>7.8571428571428585</v>
      </c>
      <c r="U78" s="148"/>
      <c r="V78" s="163"/>
      <c r="Z78" s="148"/>
      <c r="AA78" s="163"/>
      <c r="AE78" s="148"/>
      <c r="AF78" s="163"/>
    </row>
    <row r="79" spans="2:32">
      <c r="B79" s="103">
        <f t="shared" si="10"/>
        <v>43</v>
      </c>
      <c r="C79" s="103">
        <f t="shared" si="11"/>
        <v>11</v>
      </c>
      <c r="D79" s="103">
        <f t="shared" si="12"/>
        <v>6</v>
      </c>
      <c r="E79" s="102" t="str">
        <f t="shared" si="13"/>
        <v>s43w11d6</v>
      </c>
      <c r="F79" s="151">
        <f t="shared" si="14"/>
        <v>40474</v>
      </c>
      <c r="G79" s="145">
        <f t="shared" si="15"/>
        <v>75</v>
      </c>
      <c r="H79" s="146">
        <f>IF(H78&gt;4.5,H78+VLOOKUP(CEILING(H78,1),Tables!$L$2:$M$14,2,FALSE),H78+VLOOKUP(FLOOR(H78,1),Tables!$L$2:$M$14,2,FALSE))</f>
        <v>4.5158730158730158</v>
      </c>
      <c r="I79" s="145">
        <f t="shared" si="16"/>
        <v>75</v>
      </c>
      <c r="K79" s="148">
        <f>IF(L78&lt;10,IF(L78&gt;4.5,L78+VLOOKUP(CEILING(L78,1),Tables!$L$2:$M$14,2,FALSE),L78+VLOOKUP(FLOOR(L78,1),Tables!$L$2:$M$14,2,FALSE)),10-(1/3))</f>
        <v>4.5158730158730158</v>
      </c>
      <c r="L79" s="163">
        <f t="shared" si="17"/>
        <v>4.5158730158730158</v>
      </c>
      <c r="N79" s="145">
        <f t="shared" si="18"/>
        <v>75</v>
      </c>
      <c r="P79" s="148">
        <f>IF(Q78&lt;10,IF(Q78&gt;4.5,Q78+VLOOKUP(CEILING(Q78,1),Tables!$L$2:$M$14,2,FALSE),Q78+VLOOKUP(FLOOR(Q78,1),Tables!$L$2:$M$14,2,FALSE)),10-(1/3))</f>
        <v>7.7142857142857153</v>
      </c>
      <c r="Q79" s="163">
        <f t="shared" si="19"/>
        <v>7.7142857142857153</v>
      </c>
      <c r="U79" s="148"/>
      <c r="V79" s="163"/>
      <c r="Z79" s="148"/>
      <c r="AA79" s="163"/>
      <c r="AE79" s="148"/>
      <c r="AF79" s="163"/>
    </row>
    <row r="80" spans="2:32">
      <c r="B80" s="103">
        <f t="shared" si="10"/>
        <v>43</v>
      </c>
      <c r="C80" s="103">
        <f t="shared" si="11"/>
        <v>11</v>
      </c>
      <c r="D80" s="103">
        <f t="shared" si="12"/>
        <v>7</v>
      </c>
      <c r="E80" s="102" t="str">
        <f t="shared" si="13"/>
        <v>s43w11d7</v>
      </c>
      <c r="F80" s="151">
        <f t="shared" si="14"/>
        <v>40475</v>
      </c>
      <c r="G80" s="145">
        <f t="shared" si="15"/>
        <v>76</v>
      </c>
      <c r="H80" s="146">
        <f>IF(H79&gt;4.5,H79+VLOOKUP(CEILING(H79,1),Tables!$L$2:$M$14,2,FALSE),H79+VLOOKUP(FLOOR(H79,1),Tables!$L$2:$M$14,2,FALSE))</f>
        <v>4.5</v>
      </c>
      <c r="I80" s="145">
        <f t="shared" si="16"/>
        <v>76</v>
      </c>
      <c r="K80" s="148">
        <f>IF(L79&lt;10,IF(L79&gt;4.5,L79+VLOOKUP(CEILING(L79,1),Tables!$L$2:$M$14,2,FALSE),L79+VLOOKUP(FLOOR(L79,1),Tables!$L$2:$M$14,2,FALSE)),10-(1/3))</f>
        <v>4.5</v>
      </c>
      <c r="L80" s="163">
        <f t="shared" si="17"/>
        <v>4.5</v>
      </c>
      <c r="N80" s="145">
        <f t="shared" si="18"/>
        <v>76</v>
      </c>
      <c r="P80" s="148">
        <f>IF(Q79&lt;10,IF(Q79&gt;4.5,Q79+VLOOKUP(CEILING(Q79,1),Tables!$L$2:$M$14,2,FALSE),Q79+VLOOKUP(FLOOR(Q79,1),Tables!$L$2:$M$14,2,FALSE)),10-(1/3))</f>
        <v>7.5714285714285721</v>
      </c>
      <c r="Q80" s="163">
        <f t="shared" si="19"/>
        <v>7.5714285714285721</v>
      </c>
      <c r="U80" s="148"/>
      <c r="V80" s="163"/>
      <c r="Z80" s="148"/>
      <c r="AA80" s="163"/>
      <c r="AE80" s="148"/>
      <c r="AF80" s="163"/>
    </row>
    <row r="81" spans="2:32">
      <c r="B81" s="103">
        <f t="shared" si="10"/>
        <v>43</v>
      </c>
      <c r="C81" s="103">
        <f t="shared" si="11"/>
        <v>12</v>
      </c>
      <c r="D81" s="103">
        <f t="shared" si="12"/>
        <v>1</v>
      </c>
      <c r="E81" s="102" t="str">
        <f t="shared" si="13"/>
        <v>s43w12d1</v>
      </c>
      <c r="F81" s="151">
        <f t="shared" si="14"/>
        <v>40476</v>
      </c>
      <c r="G81" s="145">
        <f t="shared" si="15"/>
        <v>77</v>
      </c>
      <c r="H81" s="146">
        <f>IF(H80&gt;4.5,H80+VLOOKUP(CEILING(H80,1),Tables!$L$2:$M$14,2,FALSE),H80+VLOOKUP(FLOOR(H80,1),Tables!$L$2:$M$14,2,FALSE))</f>
        <v>4.5158730158730158</v>
      </c>
      <c r="I81" s="145">
        <f t="shared" si="16"/>
        <v>77</v>
      </c>
      <c r="K81" s="148">
        <f>IF(L80&lt;10,IF(L80&gt;4.5,L80+VLOOKUP(CEILING(L80,1),Tables!$L$2:$M$14,2,FALSE),L80+VLOOKUP(FLOOR(L80,1),Tables!$L$2:$M$14,2,FALSE)),10-(1/3))</f>
        <v>4.5158730158730158</v>
      </c>
      <c r="L81" s="163">
        <f t="shared" si="17"/>
        <v>4.5158730158730158</v>
      </c>
      <c r="N81" s="145">
        <f t="shared" si="18"/>
        <v>77</v>
      </c>
      <c r="P81" s="148">
        <f>IF(Q80&lt;10,IF(Q80&gt;4.5,Q80+VLOOKUP(CEILING(Q80,1),Tables!$L$2:$M$14,2,FALSE),Q80+VLOOKUP(FLOOR(Q80,1),Tables!$L$2:$M$14,2,FALSE)),10-(1/3))</f>
        <v>7.4285714285714288</v>
      </c>
      <c r="Q81" s="163">
        <f t="shared" si="19"/>
        <v>7.4285714285714288</v>
      </c>
      <c r="U81" s="148"/>
      <c r="V81" s="163"/>
      <c r="Z81" s="148"/>
      <c r="AA81" s="163"/>
      <c r="AE81" s="148"/>
      <c r="AF81" s="163"/>
    </row>
    <row r="82" spans="2:32">
      <c r="B82" s="103">
        <f t="shared" si="10"/>
        <v>43</v>
      </c>
      <c r="C82" s="103">
        <f t="shared" si="11"/>
        <v>12</v>
      </c>
      <c r="D82" s="103">
        <f t="shared" si="12"/>
        <v>2</v>
      </c>
      <c r="E82" s="102" t="str">
        <f t="shared" si="13"/>
        <v>s43w12d2</v>
      </c>
      <c r="F82" s="151">
        <f t="shared" si="14"/>
        <v>40477</v>
      </c>
      <c r="G82" s="145">
        <f t="shared" si="15"/>
        <v>78</v>
      </c>
      <c r="H82" s="146">
        <f>IF(H81&gt;4.5,H81+VLOOKUP(CEILING(H81,1),Tables!$L$2:$M$14,2,FALSE),H81+VLOOKUP(FLOOR(H81,1),Tables!$L$2:$M$14,2,FALSE))</f>
        <v>4.5</v>
      </c>
      <c r="I82" s="145">
        <f t="shared" si="16"/>
        <v>78</v>
      </c>
      <c r="K82" s="148">
        <f>IF(L81&lt;10,IF(L81&gt;4.5,L81+VLOOKUP(CEILING(L81,1),Tables!$L$2:$M$14,2,FALSE),L81+VLOOKUP(FLOOR(L81,1),Tables!$L$2:$M$14,2,FALSE)),10-(1/3))</f>
        <v>4.5</v>
      </c>
      <c r="L82" s="163">
        <f t="shared" si="17"/>
        <v>4.5</v>
      </c>
      <c r="N82" s="145">
        <f t="shared" si="18"/>
        <v>78</v>
      </c>
      <c r="P82" s="148">
        <f>IF(Q81&lt;10,IF(Q81&gt;4.5,Q81+VLOOKUP(CEILING(Q81,1),Tables!$L$2:$M$14,2,FALSE),Q81+VLOOKUP(FLOOR(Q81,1),Tables!$L$2:$M$14,2,FALSE)),10-(1/3))</f>
        <v>7.2857142857142856</v>
      </c>
      <c r="Q82" s="163">
        <f t="shared" si="19"/>
        <v>7.2857142857142856</v>
      </c>
      <c r="U82" s="148"/>
      <c r="V82" s="163"/>
      <c r="Z82" s="148"/>
      <c r="AA82" s="163"/>
      <c r="AE82" s="148"/>
      <c r="AF82" s="163"/>
    </row>
    <row r="83" spans="2:32">
      <c r="B83" s="103">
        <f t="shared" si="10"/>
        <v>43</v>
      </c>
      <c r="C83" s="103">
        <f t="shared" si="11"/>
        <v>12</v>
      </c>
      <c r="D83" s="103">
        <f t="shared" si="12"/>
        <v>3</v>
      </c>
      <c r="E83" s="102" t="str">
        <f t="shared" si="13"/>
        <v>s43w12d3</v>
      </c>
      <c r="F83" s="151">
        <f t="shared" si="14"/>
        <v>40478</v>
      </c>
      <c r="G83" s="145">
        <f t="shared" si="15"/>
        <v>79</v>
      </c>
      <c r="H83" s="146">
        <f>IF(H82&gt;4.5,H82+VLOOKUP(CEILING(H82,1),Tables!$L$2:$M$14,2,FALSE),H82+VLOOKUP(FLOOR(H82,1),Tables!$L$2:$M$14,2,FALSE))</f>
        <v>4.5158730158730158</v>
      </c>
      <c r="I83" s="145">
        <f t="shared" si="16"/>
        <v>79</v>
      </c>
      <c r="K83" s="148">
        <f>IF(L82&lt;10,IF(L82&gt;4.5,L82+VLOOKUP(CEILING(L82,1),Tables!$L$2:$M$14,2,FALSE),L82+VLOOKUP(FLOOR(L82,1),Tables!$L$2:$M$14,2,FALSE)),10-(1/3))</f>
        <v>4.5158730158730158</v>
      </c>
      <c r="L83" s="163">
        <f t="shared" si="17"/>
        <v>4.5158730158730158</v>
      </c>
      <c r="N83" s="145">
        <f t="shared" si="18"/>
        <v>79</v>
      </c>
      <c r="P83" s="148">
        <f>IF(Q82&lt;10,IF(Q82&gt;4.5,Q82+VLOOKUP(CEILING(Q82,1),Tables!$L$2:$M$14,2,FALSE),Q82+VLOOKUP(FLOOR(Q82,1),Tables!$L$2:$M$14,2,FALSE)),10-(1/3))</f>
        <v>7.1428571428571423</v>
      </c>
      <c r="Q83" s="163">
        <f t="shared" si="19"/>
        <v>7.1428571428571423</v>
      </c>
      <c r="U83" s="148"/>
      <c r="V83" s="163"/>
      <c r="Z83" s="148"/>
      <c r="AA83" s="163"/>
      <c r="AE83" s="148"/>
      <c r="AF83" s="163"/>
    </row>
    <row r="84" spans="2:32">
      <c r="B84" s="103">
        <f t="shared" si="10"/>
        <v>43</v>
      </c>
      <c r="C84" s="103">
        <f t="shared" si="11"/>
        <v>12</v>
      </c>
      <c r="D84" s="103">
        <f t="shared" si="12"/>
        <v>4</v>
      </c>
      <c r="E84" s="102" t="str">
        <f t="shared" si="13"/>
        <v>s43w12d4</v>
      </c>
      <c r="F84" s="151">
        <f t="shared" si="14"/>
        <v>40479</v>
      </c>
      <c r="G84" s="145">
        <f t="shared" si="15"/>
        <v>80</v>
      </c>
      <c r="H84" s="146">
        <f>IF(H83&gt;4.5,H83+VLOOKUP(CEILING(H83,1),Tables!$L$2:$M$14,2,FALSE),H83+VLOOKUP(FLOOR(H83,1),Tables!$L$2:$M$14,2,FALSE))</f>
        <v>4.5</v>
      </c>
      <c r="I84" s="145">
        <f t="shared" si="16"/>
        <v>80</v>
      </c>
      <c r="K84" s="148">
        <f>IF(L83&lt;10,IF(L83&gt;4.5,L83+VLOOKUP(CEILING(L83,1),Tables!$L$2:$M$14,2,FALSE),L83+VLOOKUP(FLOOR(L83,1),Tables!$L$2:$M$14,2,FALSE)),10-(1/3))</f>
        <v>4.5</v>
      </c>
      <c r="L84" s="163">
        <f t="shared" si="17"/>
        <v>4.5</v>
      </c>
      <c r="N84" s="145">
        <f t="shared" si="18"/>
        <v>80</v>
      </c>
      <c r="P84" s="148">
        <f>IF(Q83&lt;10,IF(Q83&gt;4.5,Q83+VLOOKUP(CEILING(Q83,1),Tables!$L$2:$M$14,2,FALSE),Q83+VLOOKUP(FLOOR(Q83,1),Tables!$L$2:$M$14,2,FALSE)),10-(1/3))</f>
        <v>6.9999999999999991</v>
      </c>
      <c r="Q84" s="163">
        <f t="shared" si="19"/>
        <v>6.9999999999999991</v>
      </c>
      <c r="U84" s="148"/>
      <c r="V84" s="163"/>
      <c r="Z84" s="148"/>
      <c r="AA84" s="163"/>
      <c r="AE84" s="148"/>
      <c r="AF84" s="163"/>
    </row>
    <row r="85" spans="2:32">
      <c r="B85" s="103">
        <f t="shared" si="10"/>
        <v>43</v>
      </c>
      <c r="C85" s="103">
        <f t="shared" si="11"/>
        <v>12</v>
      </c>
      <c r="D85" s="103">
        <f t="shared" si="12"/>
        <v>5</v>
      </c>
      <c r="E85" s="102" t="str">
        <f t="shared" si="13"/>
        <v>s43w12d5</v>
      </c>
      <c r="F85" s="151">
        <f t="shared" si="14"/>
        <v>40480</v>
      </c>
      <c r="G85" s="145">
        <f t="shared" si="15"/>
        <v>81</v>
      </c>
      <c r="H85" s="146">
        <f>IF(H84&gt;4.5,H84+VLOOKUP(CEILING(H84,1),Tables!$L$2:$M$14,2,FALSE),H84+VLOOKUP(FLOOR(H84,1),Tables!$L$2:$M$14,2,FALSE))</f>
        <v>4.5158730158730158</v>
      </c>
      <c r="I85" s="145">
        <f t="shared" si="16"/>
        <v>81</v>
      </c>
      <c r="K85" s="148">
        <f>IF(L84&lt;10,IF(L84&gt;4.5,L84+VLOOKUP(CEILING(L84,1),Tables!$L$2:$M$14,2,FALSE),L84+VLOOKUP(FLOOR(L84,1),Tables!$L$2:$M$14,2,FALSE)),10-(1/3))</f>
        <v>4.5158730158730158</v>
      </c>
      <c r="L85" s="163">
        <f t="shared" si="17"/>
        <v>4.5158730158730158</v>
      </c>
      <c r="N85" s="145">
        <f t="shared" si="18"/>
        <v>81</v>
      </c>
      <c r="P85" s="148">
        <f>IF(Q84&lt;10,IF(Q84&gt;4.5,Q84+VLOOKUP(CEILING(Q84,1),Tables!$L$2:$M$14,2,FALSE),Q84+VLOOKUP(FLOOR(Q84,1),Tables!$L$2:$M$14,2,FALSE)),10-(1/3))</f>
        <v>6.9230769230769225</v>
      </c>
      <c r="Q85" s="163">
        <f t="shared" si="19"/>
        <v>6.9230769230769225</v>
      </c>
      <c r="U85" s="148"/>
      <c r="V85" s="163"/>
      <c r="Z85" s="148"/>
      <c r="AA85" s="163"/>
      <c r="AE85" s="148"/>
      <c r="AF85" s="163"/>
    </row>
    <row r="86" spans="2:32">
      <c r="B86" s="103">
        <f t="shared" si="10"/>
        <v>43</v>
      </c>
      <c r="C86" s="103">
        <f t="shared" si="11"/>
        <v>12</v>
      </c>
      <c r="D86" s="103">
        <f t="shared" si="12"/>
        <v>6</v>
      </c>
      <c r="E86" s="102" t="str">
        <f t="shared" si="13"/>
        <v>s43w12d6</v>
      </c>
      <c r="F86" s="151">
        <f t="shared" si="14"/>
        <v>40481</v>
      </c>
      <c r="G86" s="145">
        <f t="shared" si="15"/>
        <v>82</v>
      </c>
      <c r="H86" s="146">
        <f>IF(H85&gt;4.5,H85+VLOOKUP(CEILING(H85,1),Tables!$L$2:$M$14,2,FALSE),H85+VLOOKUP(FLOOR(H85,1),Tables!$L$2:$M$14,2,FALSE))</f>
        <v>4.5</v>
      </c>
      <c r="I86" s="145">
        <f t="shared" si="16"/>
        <v>82</v>
      </c>
      <c r="K86" s="148">
        <f>IF(L85&lt;10,IF(L85&gt;4.5,L85+VLOOKUP(CEILING(L85,1),Tables!$L$2:$M$14,2,FALSE),L85+VLOOKUP(FLOOR(L85,1),Tables!$L$2:$M$14,2,FALSE)),10-(1/3))</f>
        <v>4.5</v>
      </c>
      <c r="L86" s="163">
        <f t="shared" si="17"/>
        <v>4.5</v>
      </c>
      <c r="N86" s="145">
        <f t="shared" si="18"/>
        <v>82</v>
      </c>
      <c r="P86" s="148">
        <f>IF(Q85&lt;10,IF(Q85&gt;4.5,Q85+VLOOKUP(CEILING(Q85,1),Tables!$L$2:$M$14,2,FALSE),Q85+VLOOKUP(FLOOR(Q85,1),Tables!$L$2:$M$14,2,FALSE)),10-(1/3))</f>
        <v>6.8461538461538458</v>
      </c>
      <c r="Q86" s="163">
        <f t="shared" si="19"/>
        <v>6.8461538461538458</v>
      </c>
      <c r="U86" s="148"/>
      <c r="V86" s="163"/>
      <c r="Z86" s="148"/>
      <c r="AA86" s="163"/>
      <c r="AE86" s="148"/>
      <c r="AF86" s="163"/>
    </row>
    <row r="87" spans="2:32">
      <c r="B87" s="103">
        <f t="shared" si="10"/>
        <v>43</v>
      </c>
      <c r="C87" s="103">
        <f t="shared" si="11"/>
        <v>12</v>
      </c>
      <c r="D87" s="103">
        <f t="shared" si="12"/>
        <v>7</v>
      </c>
      <c r="E87" s="102" t="str">
        <f t="shared" si="13"/>
        <v>s43w12d7</v>
      </c>
      <c r="F87" s="151">
        <f t="shared" si="14"/>
        <v>40482</v>
      </c>
      <c r="G87" s="145">
        <f t="shared" si="15"/>
        <v>83</v>
      </c>
      <c r="H87" s="146">
        <f>IF(H86&gt;4.5,H86+VLOOKUP(CEILING(H86,1),Tables!$L$2:$M$14,2,FALSE),H86+VLOOKUP(FLOOR(H86,1),Tables!$L$2:$M$14,2,FALSE))</f>
        <v>4.5158730158730158</v>
      </c>
      <c r="I87" s="145">
        <f t="shared" si="16"/>
        <v>83</v>
      </c>
      <c r="K87" s="148">
        <f>IF(L86&lt;10,IF(L86&gt;4.5,L86+VLOOKUP(CEILING(L86,1),Tables!$L$2:$M$14,2,FALSE),L86+VLOOKUP(FLOOR(L86,1),Tables!$L$2:$M$14,2,FALSE)),10-(1/3))</f>
        <v>4.5158730158730158</v>
      </c>
      <c r="L87" s="163">
        <f t="shared" si="17"/>
        <v>4.5158730158730158</v>
      </c>
      <c r="N87" s="145">
        <f t="shared" si="18"/>
        <v>83</v>
      </c>
      <c r="O87" s="147" t="s">
        <v>451</v>
      </c>
      <c r="P87" s="148">
        <f>IF(Q86&lt;10,IF(Q86&gt;4.5,Q86+VLOOKUP(CEILING(Q86,1),Tables!$L$2:$M$14,2,FALSE),Q86+VLOOKUP(FLOOR(Q86,1),Tables!$L$2:$M$14,2,FALSE)),10-(1/3))</f>
        <v>6.7692307692307692</v>
      </c>
      <c r="Q87" s="163">
        <f t="shared" si="19"/>
        <v>9.0030769230769234</v>
      </c>
      <c r="U87" s="148"/>
      <c r="V87" s="163"/>
      <c r="Z87" s="148"/>
      <c r="AA87" s="163"/>
      <c r="AE87" s="148"/>
      <c r="AF87" s="163"/>
    </row>
    <row r="88" spans="2:32">
      <c r="B88" s="103">
        <f t="shared" si="10"/>
        <v>43</v>
      </c>
      <c r="C88" s="103">
        <f t="shared" si="11"/>
        <v>13</v>
      </c>
      <c r="D88" s="103">
        <f t="shared" si="12"/>
        <v>1</v>
      </c>
      <c r="E88" s="102" t="str">
        <f t="shared" si="13"/>
        <v>s43w13d1</v>
      </c>
      <c r="F88" s="151">
        <f t="shared" si="14"/>
        <v>40483</v>
      </c>
      <c r="G88" s="145">
        <f t="shared" si="15"/>
        <v>84</v>
      </c>
      <c r="H88" s="146">
        <f>IF(H87&gt;4.5,H87+VLOOKUP(CEILING(H87,1),Tables!$L$2:$M$14,2,FALSE),H87+VLOOKUP(FLOOR(H87,1),Tables!$L$2:$M$14,2,FALSE))</f>
        <v>4.5</v>
      </c>
      <c r="I88" s="145">
        <f t="shared" si="16"/>
        <v>84</v>
      </c>
      <c r="K88" s="148">
        <f>IF(L87&lt;10,IF(L87&gt;4.5,L87+VLOOKUP(CEILING(L87,1),Tables!$L$2:$M$14,2,FALSE),L87+VLOOKUP(FLOOR(L87,1),Tables!$L$2:$M$14,2,FALSE)),10-(1/3))</f>
        <v>4.5</v>
      </c>
      <c r="L88" s="163">
        <f t="shared" si="17"/>
        <v>4.5</v>
      </c>
      <c r="N88" s="145">
        <f t="shared" si="18"/>
        <v>84</v>
      </c>
      <c r="P88" s="148">
        <f>IF(Q87&lt;10,IF(Q87&gt;4.5,Q87+VLOOKUP(CEILING(Q87,1),Tables!$L$2:$M$14,2,FALSE),Q87+VLOOKUP(FLOOR(Q87,1),Tables!$L$2:$M$14,2,FALSE)),10-(1/3))</f>
        <v>8.6697435897435895</v>
      </c>
      <c r="Q88" s="163">
        <f t="shared" si="19"/>
        <v>8.6697435897435895</v>
      </c>
      <c r="U88" s="148"/>
      <c r="V88" s="163"/>
      <c r="Z88" s="148"/>
      <c r="AA88" s="163"/>
      <c r="AE88" s="148"/>
      <c r="AF88" s="163"/>
    </row>
    <row r="89" spans="2:32">
      <c r="B89" s="103">
        <f t="shared" si="10"/>
        <v>43</v>
      </c>
      <c r="C89" s="103">
        <f t="shared" si="11"/>
        <v>13</v>
      </c>
      <c r="D89" s="103">
        <f t="shared" si="12"/>
        <v>2</v>
      </c>
      <c r="E89" s="102" t="str">
        <f t="shared" si="13"/>
        <v>s43w13d2</v>
      </c>
      <c r="F89" s="151">
        <f t="shared" si="14"/>
        <v>40484</v>
      </c>
      <c r="G89" s="145">
        <f t="shared" si="15"/>
        <v>85</v>
      </c>
      <c r="H89" s="146">
        <f>IF(H88&gt;4.5,H88+VLOOKUP(CEILING(H88,1),Tables!$L$2:$M$14,2,FALSE),H88+VLOOKUP(FLOOR(H88,1),Tables!$L$2:$M$14,2,FALSE))</f>
        <v>4.5158730158730158</v>
      </c>
      <c r="I89" s="145">
        <f t="shared" si="16"/>
        <v>85</v>
      </c>
      <c r="K89" s="148">
        <f>IF(L88&lt;10,IF(L88&gt;4.5,L88+VLOOKUP(CEILING(L88,1),Tables!$L$2:$M$14,2,FALSE),L88+VLOOKUP(FLOOR(L88,1),Tables!$L$2:$M$14,2,FALSE)),10-(1/3))</f>
        <v>4.5158730158730158</v>
      </c>
      <c r="L89" s="163">
        <f t="shared" si="17"/>
        <v>4.5158730158730158</v>
      </c>
      <c r="N89" s="145">
        <f t="shared" si="18"/>
        <v>85</v>
      </c>
      <c r="P89" s="148">
        <f>IF(Q88&lt;10,IF(Q88&gt;4.5,Q88+VLOOKUP(CEILING(Q88,1),Tables!$L$2:$M$14,2,FALSE),Q88+VLOOKUP(FLOOR(Q88,1),Tables!$L$2:$M$14,2,FALSE)),10-(1/3))</f>
        <v>8.4697435897435902</v>
      </c>
      <c r="Q89" s="163">
        <f t="shared" si="19"/>
        <v>8.4697435897435902</v>
      </c>
      <c r="U89" s="148"/>
      <c r="V89" s="163"/>
      <c r="Z89" s="148"/>
      <c r="AA89" s="163"/>
      <c r="AE89" s="148"/>
      <c r="AF89" s="163"/>
    </row>
    <row r="90" spans="2:32">
      <c r="B90" s="103">
        <f t="shared" si="10"/>
        <v>43</v>
      </c>
      <c r="C90" s="103">
        <f t="shared" si="11"/>
        <v>13</v>
      </c>
      <c r="D90" s="103">
        <f t="shared" si="12"/>
        <v>3</v>
      </c>
      <c r="E90" s="102" t="str">
        <f t="shared" si="13"/>
        <v>s43w13d3</v>
      </c>
      <c r="F90" s="151">
        <f t="shared" si="14"/>
        <v>40485</v>
      </c>
      <c r="G90" s="145">
        <f t="shared" si="15"/>
        <v>86</v>
      </c>
      <c r="H90" s="146">
        <f>IF(H89&gt;4.5,H89+VLOOKUP(CEILING(H89,1),Tables!$L$2:$M$14,2,FALSE),H89+VLOOKUP(FLOOR(H89,1),Tables!$L$2:$M$14,2,FALSE))</f>
        <v>4.5</v>
      </c>
      <c r="I90" s="145">
        <f t="shared" si="16"/>
        <v>86</v>
      </c>
      <c r="K90" s="148">
        <f>IF(L89&lt;10,IF(L89&gt;4.5,L89+VLOOKUP(CEILING(L89,1),Tables!$L$2:$M$14,2,FALSE),L89+VLOOKUP(FLOOR(L89,1),Tables!$L$2:$M$14,2,FALSE)),10-(1/3))</f>
        <v>4.5</v>
      </c>
      <c r="L90" s="163">
        <f t="shared" si="17"/>
        <v>4.5</v>
      </c>
      <c r="N90" s="145">
        <f t="shared" si="18"/>
        <v>86</v>
      </c>
      <c r="P90" s="148">
        <f>IF(Q89&lt;10,IF(Q89&gt;4.5,Q89+VLOOKUP(CEILING(Q89,1),Tables!$L$2:$M$14,2,FALSE),Q89+VLOOKUP(FLOOR(Q89,1),Tables!$L$2:$M$14,2,FALSE)),10-(1/3))</f>
        <v>8.2697435897435909</v>
      </c>
      <c r="Q90" s="163">
        <f t="shared" si="19"/>
        <v>8.2697435897435909</v>
      </c>
      <c r="U90" s="148"/>
      <c r="V90" s="163"/>
      <c r="Z90" s="148"/>
      <c r="AA90" s="163"/>
      <c r="AE90" s="148"/>
      <c r="AF90" s="163"/>
    </row>
    <row r="91" spans="2:32">
      <c r="B91" s="103">
        <f t="shared" si="10"/>
        <v>43</v>
      </c>
      <c r="C91" s="103">
        <f t="shared" si="11"/>
        <v>13</v>
      </c>
      <c r="D91" s="103">
        <f t="shared" si="12"/>
        <v>4</v>
      </c>
      <c r="E91" s="102" t="str">
        <f t="shared" si="13"/>
        <v>s43w13d4</v>
      </c>
      <c r="F91" s="151">
        <f t="shared" si="14"/>
        <v>40486</v>
      </c>
      <c r="G91" s="145">
        <f t="shared" si="15"/>
        <v>87</v>
      </c>
      <c r="H91" s="146">
        <f>IF(H90&gt;4.5,H90+VLOOKUP(CEILING(H90,1),Tables!$L$2:$M$14,2,FALSE),H90+VLOOKUP(FLOOR(H90,1),Tables!$L$2:$M$14,2,FALSE))</f>
        <v>4.5158730158730158</v>
      </c>
      <c r="I91" s="145">
        <f t="shared" si="16"/>
        <v>87</v>
      </c>
      <c r="K91" s="148">
        <f>IF(L90&lt;10,IF(L90&gt;4.5,L90+VLOOKUP(CEILING(L90,1),Tables!$L$2:$M$14,2,FALSE),L90+VLOOKUP(FLOOR(L90,1),Tables!$L$2:$M$14,2,FALSE)),10-(1/3))</f>
        <v>4.5158730158730158</v>
      </c>
      <c r="L91" s="163">
        <f t="shared" si="17"/>
        <v>4.5158730158730158</v>
      </c>
      <c r="N91" s="145">
        <f t="shared" si="18"/>
        <v>87</v>
      </c>
      <c r="P91" s="148">
        <f>IF(Q90&lt;10,IF(Q90&gt;4.5,Q90+VLOOKUP(CEILING(Q90,1),Tables!$L$2:$M$14,2,FALSE),Q90+VLOOKUP(FLOOR(Q90,1),Tables!$L$2:$M$14,2,FALSE)),10-(1/3))</f>
        <v>8.0697435897435916</v>
      </c>
      <c r="Q91" s="163">
        <f t="shared" si="19"/>
        <v>8.0697435897435916</v>
      </c>
      <c r="U91" s="148"/>
      <c r="V91" s="163"/>
      <c r="Z91" s="148"/>
      <c r="AA91" s="163"/>
      <c r="AE91" s="148"/>
      <c r="AF91" s="163"/>
    </row>
    <row r="92" spans="2:32">
      <c r="B92" s="103">
        <f t="shared" si="10"/>
        <v>43</v>
      </c>
      <c r="C92" s="103">
        <f t="shared" si="11"/>
        <v>13</v>
      </c>
      <c r="D92" s="103">
        <f t="shared" si="12"/>
        <v>5</v>
      </c>
      <c r="E92" s="102" t="str">
        <f t="shared" si="13"/>
        <v>s43w13d5</v>
      </c>
      <c r="F92" s="151">
        <f t="shared" si="14"/>
        <v>40487</v>
      </c>
      <c r="G92" s="145">
        <f t="shared" si="15"/>
        <v>88</v>
      </c>
      <c r="H92" s="146">
        <f>IF(H91&gt;4.5,H91+VLOOKUP(CEILING(H91,1),Tables!$L$2:$M$14,2,FALSE),H91+VLOOKUP(FLOOR(H91,1),Tables!$L$2:$M$14,2,FALSE))</f>
        <v>4.5</v>
      </c>
      <c r="I92" s="145">
        <f t="shared" si="16"/>
        <v>88</v>
      </c>
      <c r="K92" s="148">
        <f>IF(L91&lt;10,IF(L91&gt;4.5,L91+VLOOKUP(CEILING(L91,1),Tables!$L$2:$M$14,2,FALSE),L91+VLOOKUP(FLOOR(L91,1),Tables!$L$2:$M$14,2,FALSE)),10-(1/3))</f>
        <v>4.5</v>
      </c>
      <c r="L92" s="163">
        <f t="shared" si="17"/>
        <v>4.5</v>
      </c>
      <c r="N92" s="145">
        <f t="shared" si="18"/>
        <v>88</v>
      </c>
      <c r="P92" s="148">
        <f>IF(Q91&lt;10,IF(Q91&gt;4.5,Q91+VLOOKUP(CEILING(Q91,1),Tables!$L$2:$M$14,2,FALSE),Q91+VLOOKUP(FLOOR(Q91,1),Tables!$L$2:$M$14,2,FALSE)),10-(1/3))</f>
        <v>7.8697435897435914</v>
      </c>
      <c r="Q92" s="163">
        <f t="shared" si="19"/>
        <v>7.8697435897435914</v>
      </c>
      <c r="U92" s="148"/>
      <c r="V92" s="163"/>
      <c r="Z92" s="148"/>
      <c r="AA92" s="163"/>
      <c r="AE92" s="148"/>
      <c r="AF92" s="163"/>
    </row>
    <row r="93" spans="2:32">
      <c r="B93" s="103">
        <f t="shared" si="10"/>
        <v>43</v>
      </c>
      <c r="C93" s="103">
        <f t="shared" si="11"/>
        <v>13</v>
      </c>
      <c r="D93" s="103">
        <f t="shared" si="12"/>
        <v>6</v>
      </c>
      <c r="E93" s="102" t="str">
        <f t="shared" si="13"/>
        <v>s43w13d6</v>
      </c>
      <c r="F93" s="151">
        <f t="shared" si="14"/>
        <v>40488</v>
      </c>
      <c r="G93" s="145">
        <f t="shared" si="15"/>
        <v>89</v>
      </c>
      <c r="H93" s="146">
        <f>IF(H92&gt;4.5,H92+VLOOKUP(CEILING(H92,1),Tables!$L$2:$M$14,2,FALSE),H92+VLOOKUP(FLOOR(H92,1),Tables!$L$2:$M$14,2,FALSE))</f>
        <v>4.5158730158730158</v>
      </c>
      <c r="I93" s="145">
        <f t="shared" si="16"/>
        <v>89</v>
      </c>
      <c r="K93" s="148">
        <f>IF(L92&lt;10,IF(L92&gt;4.5,L92+VLOOKUP(CEILING(L92,1),Tables!$L$2:$M$14,2,FALSE),L92+VLOOKUP(FLOOR(L92,1),Tables!$L$2:$M$14,2,FALSE)),10-(1/3))</f>
        <v>4.5158730158730158</v>
      </c>
      <c r="L93" s="163">
        <f t="shared" si="17"/>
        <v>4.5158730158730158</v>
      </c>
      <c r="N93" s="145">
        <f t="shared" si="18"/>
        <v>89</v>
      </c>
      <c r="P93" s="148">
        <f>IF(Q92&lt;10,IF(Q92&gt;4.5,Q92+VLOOKUP(CEILING(Q92,1),Tables!$L$2:$M$14,2,FALSE),Q92+VLOOKUP(FLOOR(Q92,1),Tables!$L$2:$M$14,2,FALSE)),10-(1/3))</f>
        <v>7.7268864468864482</v>
      </c>
      <c r="Q93" s="163">
        <f t="shared" si="19"/>
        <v>7.7268864468864482</v>
      </c>
      <c r="U93" s="148"/>
      <c r="V93" s="163"/>
      <c r="Z93" s="148"/>
      <c r="AA93" s="163"/>
      <c r="AE93" s="148"/>
      <c r="AF93" s="163"/>
    </row>
    <row r="94" spans="2:32">
      <c r="B94" s="103">
        <f t="shared" si="10"/>
        <v>43</v>
      </c>
      <c r="C94" s="103">
        <f t="shared" si="11"/>
        <v>13</v>
      </c>
      <c r="D94" s="103">
        <f t="shared" si="12"/>
        <v>7</v>
      </c>
      <c r="E94" s="102" t="str">
        <f t="shared" si="13"/>
        <v>s43w13d7</v>
      </c>
      <c r="F94" s="151">
        <f t="shared" si="14"/>
        <v>40489</v>
      </c>
      <c r="G94" s="145">
        <f t="shared" si="15"/>
        <v>90</v>
      </c>
      <c r="H94" s="146">
        <f>IF(H93&gt;4.5,H93+VLOOKUP(CEILING(H93,1),Tables!$L$2:$M$14,2,FALSE),H93+VLOOKUP(FLOOR(H93,1),Tables!$L$2:$M$14,2,FALSE))</f>
        <v>4.5</v>
      </c>
      <c r="I94" s="145">
        <f t="shared" si="16"/>
        <v>90</v>
      </c>
      <c r="K94" s="148">
        <f>IF(L93&lt;10,IF(L93&gt;4.5,L93+VLOOKUP(CEILING(L93,1),Tables!$L$2:$M$14,2,FALSE),L93+VLOOKUP(FLOOR(L93,1),Tables!$L$2:$M$14,2,FALSE)),10-(1/3))</f>
        <v>4.5</v>
      </c>
      <c r="L94" s="163">
        <f t="shared" si="17"/>
        <v>4.5</v>
      </c>
      <c r="N94" s="145">
        <f t="shared" si="18"/>
        <v>90</v>
      </c>
      <c r="P94" s="148">
        <f>IF(Q93&lt;10,IF(Q93&gt;4.5,Q93+VLOOKUP(CEILING(Q93,1),Tables!$L$2:$M$14,2,FALSE),Q93+VLOOKUP(FLOOR(Q93,1),Tables!$L$2:$M$14,2,FALSE)),10-(1/3))</f>
        <v>7.584029304029305</v>
      </c>
      <c r="Q94" s="163">
        <f t="shared" si="19"/>
        <v>7.584029304029305</v>
      </c>
      <c r="U94" s="148"/>
      <c r="V94" s="163"/>
      <c r="Z94" s="148"/>
      <c r="AA94" s="163"/>
      <c r="AE94" s="148"/>
      <c r="AF94" s="163"/>
    </row>
    <row r="95" spans="2:32">
      <c r="B95" s="103">
        <f t="shared" si="10"/>
        <v>43</v>
      </c>
      <c r="C95" s="103">
        <f t="shared" si="11"/>
        <v>14</v>
      </c>
      <c r="D95" s="103">
        <f t="shared" si="12"/>
        <v>1</v>
      </c>
      <c r="E95" s="102" t="str">
        <f t="shared" si="13"/>
        <v>s43w14d1</v>
      </c>
      <c r="F95" s="151">
        <f t="shared" si="14"/>
        <v>40490</v>
      </c>
      <c r="G95" s="145">
        <f t="shared" si="15"/>
        <v>91</v>
      </c>
      <c r="H95" s="146">
        <f>IF(H94&gt;4.5,H94+VLOOKUP(CEILING(H94,1),Tables!$L$2:$M$14,2,FALSE),H94+VLOOKUP(FLOOR(H94,1),Tables!$L$2:$M$14,2,FALSE))</f>
        <v>4.5158730158730158</v>
      </c>
      <c r="I95" s="145">
        <f t="shared" si="16"/>
        <v>91</v>
      </c>
      <c r="K95" s="148">
        <f>IF(L94&lt;10,IF(L94&gt;4.5,L94+VLOOKUP(CEILING(L94,1),Tables!$L$2:$M$14,2,FALSE),L94+VLOOKUP(FLOOR(L94,1),Tables!$L$2:$M$14,2,FALSE)),10-(1/3))</f>
        <v>4.5158730158730158</v>
      </c>
      <c r="L95" s="163">
        <f t="shared" si="17"/>
        <v>4.5158730158730158</v>
      </c>
      <c r="N95" s="145">
        <f t="shared" si="18"/>
        <v>91</v>
      </c>
      <c r="P95" s="148">
        <f>IF(Q94&lt;10,IF(Q94&gt;4.5,Q94+VLOOKUP(CEILING(Q94,1),Tables!$L$2:$M$14,2,FALSE),Q94+VLOOKUP(FLOOR(Q94,1),Tables!$L$2:$M$14,2,FALSE)),10-(1/3))</f>
        <v>7.4411721611721617</v>
      </c>
      <c r="Q95" s="163">
        <f t="shared" si="19"/>
        <v>7.4411721611721617</v>
      </c>
      <c r="U95" s="148"/>
      <c r="V95" s="163"/>
      <c r="Z95" s="148"/>
      <c r="AA95" s="163"/>
      <c r="AE95" s="148"/>
      <c r="AF95" s="163"/>
    </row>
    <row r="96" spans="2:32">
      <c r="B96" s="103">
        <f t="shared" si="10"/>
        <v>43</v>
      </c>
      <c r="C96" s="103">
        <f t="shared" si="11"/>
        <v>14</v>
      </c>
      <c r="D96" s="103">
        <f t="shared" si="12"/>
        <v>2</v>
      </c>
      <c r="E96" s="102" t="str">
        <f t="shared" si="13"/>
        <v>s43w14d2</v>
      </c>
      <c r="F96" s="151">
        <f t="shared" si="14"/>
        <v>40491</v>
      </c>
      <c r="G96" s="145">
        <f t="shared" si="15"/>
        <v>92</v>
      </c>
      <c r="H96" s="146">
        <f>IF(H95&gt;4.5,H95+VLOOKUP(CEILING(H95,1),Tables!$L$2:$M$14,2,FALSE),H95+VLOOKUP(FLOOR(H95,1),Tables!$L$2:$M$14,2,FALSE))</f>
        <v>4.5</v>
      </c>
      <c r="I96" s="145">
        <f t="shared" si="16"/>
        <v>92</v>
      </c>
      <c r="K96" s="148">
        <f>IF(L95&lt;10,IF(L95&gt;4.5,L95+VLOOKUP(CEILING(L95,1),Tables!$L$2:$M$14,2,FALSE),L95+VLOOKUP(FLOOR(L95,1),Tables!$L$2:$M$14,2,FALSE)),10-(1/3))</f>
        <v>4.5</v>
      </c>
      <c r="L96" s="163">
        <f t="shared" si="17"/>
        <v>4.5</v>
      </c>
      <c r="N96" s="145">
        <f t="shared" si="18"/>
        <v>92</v>
      </c>
      <c r="P96" s="148">
        <f>IF(Q95&lt;10,IF(Q95&gt;4.5,Q95+VLOOKUP(CEILING(Q95,1),Tables!$L$2:$M$14,2,FALSE),Q95+VLOOKUP(FLOOR(Q95,1),Tables!$L$2:$M$14,2,FALSE)),10-(1/3))</f>
        <v>7.2983150183150185</v>
      </c>
      <c r="Q96" s="163">
        <f t="shared" si="19"/>
        <v>7.2983150183150185</v>
      </c>
      <c r="U96" s="148"/>
      <c r="V96" s="163"/>
      <c r="Z96" s="148"/>
      <c r="AA96" s="163"/>
      <c r="AE96" s="148"/>
      <c r="AF96" s="163"/>
    </row>
    <row r="97" spans="2:32">
      <c r="B97" s="103">
        <f t="shared" si="10"/>
        <v>43</v>
      </c>
      <c r="C97" s="103">
        <f t="shared" si="11"/>
        <v>14</v>
      </c>
      <c r="D97" s="103">
        <f t="shared" si="12"/>
        <v>3</v>
      </c>
      <c r="E97" s="102" t="str">
        <f t="shared" si="13"/>
        <v>s43w14d3</v>
      </c>
      <c r="F97" s="151">
        <f t="shared" si="14"/>
        <v>40492</v>
      </c>
      <c r="G97" s="145">
        <f t="shared" si="15"/>
        <v>93</v>
      </c>
      <c r="H97" s="146">
        <f>IF(H96&gt;4.5,H96+VLOOKUP(CEILING(H96,1),Tables!$L$2:$M$14,2,FALSE),H96+VLOOKUP(FLOOR(H96,1),Tables!$L$2:$M$14,2,FALSE))</f>
        <v>4.5158730158730158</v>
      </c>
      <c r="I97" s="145">
        <f t="shared" si="16"/>
        <v>93</v>
      </c>
      <c r="K97" s="148">
        <f>IF(L96&lt;10,IF(L96&gt;4.5,L96+VLOOKUP(CEILING(L96,1),Tables!$L$2:$M$14,2,FALSE),L96+VLOOKUP(FLOOR(L96,1),Tables!$L$2:$M$14,2,FALSE)),10-(1/3))</f>
        <v>4.5158730158730158</v>
      </c>
      <c r="L97" s="163">
        <f t="shared" si="17"/>
        <v>4.5158730158730158</v>
      </c>
      <c r="N97" s="145">
        <f t="shared" si="18"/>
        <v>93</v>
      </c>
      <c r="P97" s="148">
        <f>IF(Q96&lt;10,IF(Q96&gt;4.5,Q96+VLOOKUP(CEILING(Q96,1),Tables!$L$2:$M$14,2,FALSE),Q96+VLOOKUP(FLOOR(Q96,1),Tables!$L$2:$M$14,2,FALSE)),10-(1/3))</f>
        <v>7.1554578754578753</v>
      </c>
      <c r="Q97" s="163">
        <f t="shared" si="19"/>
        <v>7.1554578754578753</v>
      </c>
      <c r="U97" s="148"/>
      <c r="V97" s="163"/>
      <c r="Z97" s="148"/>
      <c r="AA97" s="163"/>
      <c r="AE97" s="148"/>
      <c r="AF97" s="163"/>
    </row>
    <row r="98" spans="2:32">
      <c r="B98" s="103">
        <f t="shared" si="10"/>
        <v>43</v>
      </c>
      <c r="C98" s="103">
        <f t="shared" si="11"/>
        <v>14</v>
      </c>
      <c r="D98" s="103">
        <f t="shared" si="12"/>
        <v>4</v>
      </c>
      <c r="E98" s="102" t="str">
        <f t="shared" si="13"/>
        <v>s43w14d4</v>
      </c>
      <c r="F98" s="151">
        <f t="shared" si="14"/>
        <v>40493</v>
      </c>
      <c r="G98" s="145">
        <f t="shared" si="15"/>
        <v>94</v>
      </c>
      <c r="H98" s="146">
        <f>IF(H97&gt;4.5,H97+VLOOKUP(CEILING(H97,1),Tables!$L$2:$M$14,2,FALSE),H97+VLOOKUP(FLOOR(H97,1),Tables!$L$2:$M$14,2,FALSE))</f>
        <v>4.5</v>
      </c>
      <c r="I98" s="145">
        <f t="shared" si="16"/>
        <v>94</v>
      </c>
      <c r="K98" s="148">
        <f>IF(L97&lt;10,IF(L97&gt;4.5,L97+VLOOKUP(CEILING(L97,1),Tables!$L$2:$M$14,2,FALSE),L97+VLOOKUP(FLOOR(L97,1),Tables!$L$2:$M$14,2,FALSE)),10-(1/3))</f>
        <v>4.5</v>
      </c>
      <c r="L98" s="163">
        <f t="shared" si="17"/>
        <v>4.5</v>
      </c>
      <c r="N98" s="145">
        <f t="shared" si="18"/>
        <v>94</v>
      </c>
      <c r="P98" s="148">
        <f>IF(Q97&lt;10,IF(Q97&gt;4.5,Q97+VLOOKUP(CEILING(Q97,1),Tables!$L$2:$M$14,2,FALSE),Q97+VLOOKUP(FLOOR(Q97,1),Tables!$L$2:$M$14,2,FALSE)),10-(1/3))</f>
        <v>7.012600732600732</v>
      </c>
      <c r="Q98" s="163">
        <f t="shared" si="19"/>
        <v>7.012600732600732</v>
      </c>
      <c r="U98" s="148"/>
      <c r="V98" s="163"/>
      <c r="Z98" s="148"/>
      <c r="AA98" s="163"/>
      <c r="AE98" s="148"/>
      <c r="AF98" s="163"/>
    </row>
    <row r="99" spans="2:32">
      <c r="B99" s="103">
        <f t="shared" ref="B99:B115" si="20">IF(AND(C98=16,D98=7),B98+1,B98)</f>
        <v>43</v>
      </c>
      <c r="C99" s="103">
        <f t="shared" ref="C99:C115" si="21">IF(B99&gt;B98,1,IF(D98=7,C98+1,C98))</f>
        <v>14</v>
      </c>
      <c r="D99" s="103">
        <f t="shared" ref="D99:D115" si="22">IF(D98=7,1,D98+1)</f>
        <v>5</v>
      </c>
      <c r="E99" s="102" t="str">
        <f t="shared" ref="E99:E115" si="23">CONCATENATE("s",B99,"w",C99,"d",D99)</f>
        <v>s43w14d5</v>
      </c>
      <c r="F99" s="151">
        <f t="shared" ref="F99:F115" si="24">F98+1</f>
        <v>40494</v>
      </c>
      <c r="G99" s="145">
        <f t="shared" ref="G99:G115" si="25">G98+1</f>
        <v>95</v>
      </c>
      <c r="H99" s="146">
        <f>IF(H98&gt;4.5,H98+VLOOKUP(CEILING(H98,1),Tables!$L$2:$M$14,2,FALSE),H98+VLOOKUP(FLOOR(H98,1),Tables!$L$2:$M$14,2,FALSE))</f>
        <v>4.5158730158730158</v>
      </c>
      <c r="I99" s="145">
        <f t="shared" ref="I99:I115" si="26">I98+1</f>
        <v>95</v>
      </c>
      <c r="K99" s="148">
        <f>IF(L98&lt;10,IF(L98&gt;4.5,L98+VLOOKUP(CEILING(L98,1),Tables!$L$2:$M$14,2,FALSE),L98+VLOOKUP(FLOOR(L98,1),Tables!$L$2:$M$14,2,FALSE)),10-(1/3))</f>
        <v>4.5158730158730158</v>
      </c>
      <c r="L99" s="163">
        <f t="shared" ref="L99:L115" si="27">IF(J99="pic",K99*1.33,IF(J99="mots",K99*0.5,K99))</f>
        <v>4.5158730158730158</v>
      </c>
      <c r="N99" s="145">
        <f t="shared" ref="N99:N115" si="28">N98+1</f>
        <v>95</v>
      </c>
      <c r="P99" s="148">
        <f>IF(Q98&lt;10,IF(Q98&gt;4.5,Q98+VLOOKUP(CEILING(Q98,1),Tables!$L$2:$M$14,2,FALSE),Q98+VLOOKUP(FLOOR(Q98,1),Tables!$L$2:$M$14,2,FALSE)),10-(1/3))</f>
        <v>6.8697435897435888</v>
      </c>
      <c r="Q99" s="163">
        <f t="shared" ref="Q99:Q115" si="29">IF(O99="pic",P99*1.33,IF(O99="mots",P99*0.5,P99))</f>
        <v>6.8697435897435888</v>
      </c>
      <c r="U99" s="148"/>
      <c r="V99" s="163"/>
      <c r="Z99" s="148"/>
      <c r="AA99" s="163"/>
      <c r="AE99" s="148"/>
      <c r="AF99" s="163"/>
    </row>
    <row r="100" spans="2:32">
      <c r="B100" s="103">
        <f t="shared" si="20"/>
        <v>43</v>
      </c>
      <c r="C100" s="103">
        <f t="shared" si="21"/>
        <v>14</v>
      </c>
      <c r="D100" s="103">
        <f t="shared" si="22"/>
        <v>6</v>
      </c>
      <c r="E100" s="102" t="str">
        <f t="shared" si="23"/>
        <v>s43w14d6</v>
      </c>
      <c r="F100" s="151">
        <f t="shared" si="24"/>
        <v>40495</v>
      </c>
      <c r="G100" s="145">
        <f t="shared" si="25"/>
        <v>96</v>
      </c>
      <c r="H100" s="146">
        <f>IF(H99&gt;4.5,H99+VLOOKUP(CEILING(H99,1),Tables!$L$2:$M$14,2,FALSE),H99+VLOOKUP(FLOOR(H99,1),Tables!$L$2:$M$14,2,FALSE))</f>
        <v>4.5</v>
      </c>
      <c r="I100" s="145">
        <f t="shared" si="26"/>
        <v>96</v>
      </c>
      <c r="K100" s="148">
        <f>IF(L99&lt;10,IF(L99&gt;4.5,L99+VLOOKUP(CEILING(L99,1),Tables!$L$2:$M$14,2,FALSE),L99+VLOOKUP(FLOOR(L99,1),Tables!$L$2:$M$14,2,FALSE)),10-(1/3))</f>
        <v>4.5</v>
      </c>
      <c r="L100" s="163">
        <f t="shared" si="27"/>
        <v>4.5</v>
      </c>
      <c r="N100" s="145">
        <f t="shared" si="28"/>
        <v>96</v>
      </c>
      <c r="P100" s="148">
        <f>IF(Q99&lt;10,IF(Q99&gt;4.5,Q99+VLOOKUP(CEILING(Q99,1),Tables!$L$2:$M$14,2,FALSE),Q99+VLOOKUP(FLOOR(Q99,1),Tables!$L$2:$M$14,2,FALSE)),10-(1/3))</f>
        <v>6.7928205128205121</v>
      </c>
      <c r="Q100" s="163">
        <f t="shared" si="29"/>
        <v>6.7928205128205121</v>
      </c>
      <c r="U100" s="148"/>
      <c r="V100" s="163"/>
      <c r="Z100" s="148"/>
      <c r="AA100" s="163"/>
      <c r="AE100" s="148"/>
      <c r="AF100" s="163"/>
    </row>
    <row r="101" spans="2:32">
      <c r="B101" s="103">
        <f t="shared" si="20"/>
        <v>43</v>
      </c>
      <c r="C101" s="103">
        <f t="shared" si="21"/>
        <v>14</v>
      </c>
      <c r="D101" s="103">
        <f t="shared" si="22"/>
        <v>7</v>
      </c>
      <c r="E101" s="102" t="str">
        <f t="shared" si="23"/>
        <v>s43w14d7</v>
      </c>
      <c r="F101" s="151">
        <f t="shared" si="24"/>
        <v>40496</v>
      </c>
      <c r="G101" s="145">
        <f t="shared" si="25"/>
        <v>97</v>
      </c>
      <c r="H101" s="146">
        <f>IF(H100&gt;4.5,H100+VLOOKUP(CEILING(H100,1),Tables!$L$2:$M$14,2,FALSE),H100+VLOOKUP(FLOOR(H100,1),Tables!$L$2:$M$14,2,FALSE))</f>
        <v>4.5158730158730158</v>
      </c>
      <c r="I101" s="145">
        <f t="shared" si="26"/>
        <v>97</v>
      </c>
      <c r="K101" s="148">
        <f>IF(L100&lt;10,IF(L100&gt;4.5,L100+VLOOKUP(CEILING(L100,1),Tables!$L$2:$M$14,2,FALSE),L100+VLOOKUP(FLOOR(L100,1),Tables!$L$2:$M$14,2,FALSE)),10-(1/3))</f>
        <v>4.5158730158730158</v>
      </c>
      <c r="L101" s="163">
        <f t="shared" si="27"/>
        <v>4.5158730158730158</v>
      </c>
      <c r="N101" s="145">
        <f t="shared" si="28"/>
        <v>97</v>
      </c>
      <c r="O101" s="147" t="s">
        <v>451</v>
      </c>
      <c r="P101" s="148">
        <f>IF(Q100&lt;10,IF(Q100&gt;4.5,Q100+VLOOKUP(CEILING(Q100,1),Tables!$L$2:$M$14,2,FALSE),Q100+VLOOKUP(FLOOR(Q100,1),Tables!$L$2:$M$14,2,FALSE)),10-(1/3))</f>
        <v>6.7158974358974355</v>
      </c>
      <c r="Q101" s="163">
        <f t="shared" si="29"/>
        <v>8.932143589743589</v>
      </c>
      <c r="U101" s="148"/>
      <c r="V101" s="163"/>
      <c r="Z101" s="148"/>
      <c r="AA101" s="163"/>
      <c r="AE101" s="148"/>
      <c r="AF101" s="163"/>
    </row>
    <row r="102" spans="2:32">
      <c r="B102" s="103">
        <f t="shared" si="20"/>
        <v>43</v>
      </c>
      <c r="C102" s="103">
        <f t="shared" si="21"/>
        <v>15</v>
      </c>
      <c r="D102" s="103">
        <f t="shared" si="22"/>
        <v>1</v>
      </c>
      <c r="E102" s="102" t="str">
        <f t="shared" si="23"/>
        <v>s43w15d1</v>
      </c>
      <c r="F102" s="151">
        <f t="shared" si="24"/>
        <v>40497</v>
      </c>
      <c r="G102" s="145">
        <f t="shared" si="25"/>
        <v>98</v>
      </c>
      <c r="H102" s="146">
        <f>IF(H101&gt;4.5,H101+VLOOKUP(CEILING(H101,1),Tables!$L$2:$M$14,2,FALSE),H101+VLOOKUP(FLOOR(H101,1),Tables!$L$2:$M$14,2,FALSE))</f>
        <v>4.5</v>
      </c>
      <c r="I102" s="145">
        <f t="shared" si="26"/>
        <v>98</v>
      </c>
      <c r="K102" s="148">
        <f>IF(L101&lt;10,IF(L101&gt;4.5,L101+VLOOKUP(CEILING(L101,1),Tables!$L$2:$M$14,2,FALSE),L101+VLOOKUP(FLOOR(L101,1),Tables!$L$2:$M$14,2,FALSE)),10-(1/3))</f>
        <v>4.5</v>
      </c>
      <c r="L102" s="163">
        <f t="shared" si="27"/>
        <v>4.5</v>
      </c>
      <c r="N102" s="145">
        <f t="shared" si="28"/>
        <v>98</v>
      </c>
      <c r="P102" s="148">
        <f>IF(Q101&lt;10,IF(Q101&gt;4.5,Q101+VLOOKUP(CEILING(Q101,1),Tables!$L$2:$M$14,2,FALSE),Q101+VLOOKUP(FLOOR(Q101,1),Tables!$L$2:$M$14,2,FALSE)),10-(1/3))</f>
        <v>8.7321435897435897</v>
      </c>
      <c r="Q102" s="163">
        <f t="shared" si="29"/>
        <v>8.7321435897435897</v>
      </c>
      <c r="U102" s="148"/>
      <c r="V102" s="163"/>
      <c r="Z102" s="148"/>
      <c r="AA102" s="163"/>
      <c r="AE102" s="148"/>
      <c r="AF102" s="163"/>
    </row>
    <row r="103" spans="2:32">
      <c r="B103" s="103">
        <f t="shared" si="20"/>
        <v>43</v>
      </c>
      <c r="C103" s="103">
        <f t="shared" si="21"/>
        <v>15</v>
      </c>
      <c r="D103" s="103">
        <f t="shared" si="22"/>
        <v>2</v>
      </c>
      <c r="E103" s="102" t="str">
        <f t="shared" si="23"/>
        <v>s43w15d2</v>
      </c>
      <c r="F103" s="151">
        <f t="shared" si="24"/>
        <v>40498</v>
      </c>
      <c r="G103" s="145">
        <f t="shared" si="25"/>
        <v>99</v>
      </c>
      <c r="H103" s="146">
        <f>IF(H102&gt;4.5,H102+VLOOKUP(CEILING(H102,1),Tables!$L$2:$M$14,2,FALSE),H102+VLOOKUP(FLOOR(H102,1),Tables!$L$2:$M$14,2,FALSE))</f>
        <v>4.5158730158730158</v>
      </c>
      <c r="I103" s="145">
        <f t="shared" si="26"/>
        <v>99</v>
      </c>
      <c r="K103" s="148">
        <f>IF(L102&lt;10,IF(L102&gt;4.5,L102+VLOOKUP(CEILING(L102,1),Tables!$L$2:$M$14,2,FALSE),L102+VLOOKUP(FLOOR(L102,1),Tables!$L$2:$M$14,2,FALSE)),10-(1/3))</f>
        <v>4.5158730158730158</v>
      </c>
      <c r="L103" s="163">
        <f t="shared" si="27"/>
        <v>4.5158730158730158</v>
      </c>
      <c r="N103" s="145">
        <f t="shared" si="28"/>
        <v>99</v>
      </c>
      <c r="P103" s="148">
        <f>IF(Q102&lt;10,IF(Q102&gt;4.5,Q102+VLOOKUP(CEILING(Q102,1),Tables!$L$2:$M$14,2,FALSE),Q102+VLOOKUP(FLOOR(Q102,1),Tables!$L$2:$M$14,2,FALSE)),10-(1/3))</f>
        <v>8.5321435897435904</v>
      </c>
      <c r="Q103" s="163">
        <f t="shared" si="29"/>
        <v>8.5321435897435904</v>
      </c>
      <c r="U103" s="148"/>
      <c r="V103" s="163"/>
      <c r="Z103" s="148"/>
      <c r="AA103" s="163"/>
      <c r="AE103" s="148"/>
      <c r="AF103" s="163"/>
    </row>
    <row r="104" spans="2:32">
      <c r="B104" s="103">
        <f t="shared" si="20"/>
        <v>43</v>
      </c>
      <c r="C104" s="103">
        <f t="shared" si="21"/>
        <v>15</v>
      </c>
      <c r="D104" s="103">
        <f t="shared" si="22"/>
        <v>3</v>
      </c>
      <c r="E104" s="102" t="str">
        <f t="shared" si="23"/>
        <v>s43w15d3</v>
      </c>
      <c r="F104" s="151">
        <f t="shared" si="24"/>
        <v>40499</v>
      </c>
      <c r="G104" s="145">
        <f t="shared" si="25"/>
        <v>100</v>
      </c>
      <c r="H104" s="146">
        <f>IF(H103&gt;4.5,H103+VLOOKUP(CEILING(H103,1),Tables!$L$2:$M$14,2,FALSE),H103+VLOOKUP(FLOOR(H103,1),Tables!$L$2:$M$14,2,FALSE))</f>
        <v>4.5</v>
      </c>
      <c r="I104" s="145">
        <f t="shared" si="26"/>
        <v>100</v>
      </c>
      <c r="K104" s="148">
        <f>IF(L103&lt;10,IF(L103&gt;4.5,L103+VLOOKUP(CEILING(L103,1),Tables!$L$2:$M$14,2,FALSE),L103+VLOOKUP(FLOOR(L103,1),Tables!$L$2:$M$14,2,FALSE)),10-(1/3))</f>
        <v>4.5</v>
      </c>
      <c r="L104" s="163">
        <f t="shared" si="27"/>
        <v>4.5</v>
      </c>
      <c r="N104" s="145">
        <f t="shared" si="28"/>
        <v>100</v>
      </c>
      <c r="P104" s="148">
        <f>IF(Q103&lt;10,IF(Q103&gt;4.5,Q103+VLOOKUP(CEILING(Q103,1),Tables!$L$2:$M$14,2,FALSE),Q103+VLOOKUP(FLOOR(Q103,1),Tables!$L$2:$M$14,2,FALSE)),10-(1/3))</f>
        <v>8.3321435897435911</v>
      </c>
      <c r="Q104" s="163">
        <f t="shared" si="29"/>
        <v>8.3321435897435911</v>
      </c>
      <c r="U104" s="148"/>
      <c r="V104" s="163"/>
      <c r="Z104" s="148"/>
      <c r="AA104" s="163"/>
      <c r="AE104" s="148"/>
      <c r="AF104" s="163"/>
    </row>
    <row r="105" spans="2:32">
      <c r="B105" s="103">
        <f t="shared" si="20"/>
        <v>43</v>
      </c>
      <c r="C105" s="103">
        <f t="shared" si="21"/>
        <v>15</v>
      </c>
      <c r="D105" s="103">
        <f t="shared" si="22"/>
        <v>4</v>
      </c>
      <c r="E105" s="102" t="str">
        <f t="shared" si="23"/>
        <v>s43w15d4</v>
      </c>
      <c r="F105" s="151">
        <f t="shared" si="24"/>
        <v>40500</v>
      </c>
      <c r="G105" s="145">
        <f t="shared" si="25"/>
        <v>101</v>
      </c>
      <c r="H105" s="146">
        <f>IF(H104&gt;4.5,H104+VLOOKUP(CEILING(H104,1),Tables!$L$2:$M$14,2,FALSE),H104+VLOOKUP(FLOOR(H104,1),Tables!$L$2:$M$14,2,FALSE))</f>
        <v>4.5158730158730158</v>
      </c>
      <c r="I105" s="145">
        <f t="shared" si="26"/>
        <v>101</v>
      </c>
      <c r="K105" s="148">
        <f>IF(L104&lt;10,IF(L104&gt;4.5,L104+VLOOKUP(CEILING(L104,1),Tables!$L$2:$M$14,2,FALSE),L104+VLOOKUP(FLOOR(L104,1),Tables!$L$2:$M$14,2,FALSE)),10-(1/3))</f>
        <v>4.5158730158730158</v>
      </c>
      <c r="L105" s="163">
        <f t="shared" si="27"/>
        <v>4.5158730158730158</v>
      </c>
      <c r="N105" s="145">
        <f t="shared" si="28"/>
        <v>101</v>
      </c>
      <c r="P105" s="148">
        <f>IF(Q104&lt;10,IF(Q104&gt;4.5,Q104+VLOOKUP(CEILING(Q104,1),Tables!$L$2:$M$14,2,FALSE),Q104+VLOOKUP(FLOOR(Q104,1),Tables!$L$2:$M$14,2,FALSE)),10-(1/3))</f>
        <v>8.1321435897435919</v>
      </c>
      <c r="Q105" s="163">
        <f t="shared" si="29"/>
        <v>8.1321435897435919</v>
      </c>
      <c r="U105" s="148"/>
      <c r="V105" s="163"/>
      <c r="Z105" s="148"/>
      <c r="AA105" s="163"/>
      <c r="AE105" s="148"/>
      <c r="AF105" s="163"/>
    </row>
    <row r="106" spans="2:32">
      <c r="B106" s="103">
        <f t="shared" si="20"/>
        <v>43</v>
      </c>
      <c r="C106" s="103">
        <f t="shared" si="21"/>
        <v>15</v>
      </c>
      <c r="D106" s="103">
        <f t="shared" si="22"/>
        <v>5</v>
      </c>
      <c r="E106" s="102" t="str">
        <f t="shared" si="23"/>
        <v>s43w15d5</v>
      </c>
      <c r="F106" s="151">
        <f t="shared" si="24"/>
        <v>40501</v>
      </c>
      <c r="G106" s="145">
        <f t="shared" si="25"/>
        <v>102</v>
      </c>
      <c r="H106" s="146">
        <f>IF(H105&gt;4.5,H105+VLOOKUP(CEILING(H105,1),Tables!$L$2:$M$14,2,FALSE),H105+VLOOKUP(FLOOR(H105,1),Tables!$L$2:$M$14,2,FALSE))</f>
        <v>4.5</v>
      </c>
      <c r="I106" s="145">
        <f t="shared" si="26"/>
        <v>102</v>
      </c>
      <c r="K106" s="148">
        <f>IF(L105&lt;10,IF(L105&gt;4.5,L105+VLOOKUP(CEILING(L105,1),Tables!$L$2:$M$14,2,FALSE),L105+VLOOKUP(FLOOR(L105,1),Tables!$L$2:$M$14,2,FALSE)),10-(1/3))</f>
        <v>4.5</v>
      </c>
      <c r="L106" s="163">
        <f t="shared" si="27"/>
        <v>4.5</v>
      </c>
      <c r="N106" s="145">
        <f t="shared" si="28"/>
        <v>102</v>
      </c>
      <c r="P106" s="148">
        <f>IF(Q105&lt;10,IF(Q105&gt;4.5,Q105+VLOOKUP(CEILING(Q105,1),Tables!$L$2:$M$14,2,FALSE),Q105+VLOOKUP(FLOOR(Q105,1),Tables!$L$2:$M$14,2,FALSE)),10-(1/3))</f>
        <v>7.9321435897435917</v>
      </c>
      <c r="Q106" s="163">
        <f t="shared" si="29"/>
        <v>7.9321435897435917</v>
      </c>
      <c r="U106" s="148"/>
      <c r="V106" s="163"/>
      <c r="Z106" s="148"/>
      <c r="AA106" s="163"/>
      <c r="AE106" s="148"/>
      <c r="AF106" s="163"/>
    </row>
    <row r="107" spans="2:32">
      <c r="B107" s="103">
        <f t="shared" si="20"/>
        <v>43</v>
      </c>
      <c r="C107" s="103">
        <f t="shared" si="21"/>
        <v>15</v>
      </c>
      <c r="D107" s="103">
        <f t="shared" si="22"/>
        <v>6</v>
      </c>
      <c r="E107" s="102" t="str">
        <f t="shared" si="23"/>
        <v>s43w15d6</v>
      </c>
      <c r="F107" s="151">
        <f t="shared" si="24"/>
        <v>40502</v>
      </c>
      <c r="G107" s="145">
        <f t="shared" si="25"/>
        <v>103</v>
      </c>
      <c r="H107" s="146">
        <f>IF(H106&gt;4.5,H106+VLOOKUP(CEILING(H106,1),Tables!$L$2:$M$14,2,FALSE),H106+VLOOKUP(FLOOR(H106,1),Tables!$L$2:$M$14,2,FALSE))</f>
        <v>4.5158730158730158</v>
      </c>
      <c r="I107" s="145">
        <f t="shared" si="26"/>
        <v>103</v>
      </c>
      <c r="K107" s="148">
        <f>IF(L106&lt;10,IF(L106&gt;4.5,L106+VLOOKUP(CEILING(L106,1),Tables!$L$2:$M$14,2,FALSE),L106+VLOOKUP(FLOOR(L106,1),Tables!$L$2:$M$14,2,FALSE)),10-(1/3))</f>
        <v>4.5158730158730158</v>
      </c>
      <c r="L107" s="163">
        <f t="shared" si="27"/>
        <v>4.5158730158730158</v>
      </c>
      <c r="N107" s="145">
        <f t="shared" si="28"/>
        <v>103</v>
      </c>
      <c r="P107" s="148">
        <f>IF(Q106&lt;10,IF(Q106&gt;4.5,Q106+VLOOKUP(CEILING(Q106,1),Tables!$L$2:$M$14,2,FALSE),Q106+VLOOKUP(FLOOR(Q106,1),Tables!$L$2:$M$14,2,FALSE)),10-(1/3))</f>
        <v>7.7892864468864484</v>
      </c>
      <c r="Q107" s="163">
        <f t="shared" si="29"/>
        <v>7.7892864468864484</v>
      </c>
      <c r="U107" s="148"/>
      <c r="V107" s="163"/>
      <c r="Z107" s="148"/>
      <c r="AA107" s="163"/>
      <c r="AE107" s="148"/>
      <c r="AF107" s="163"/>
    </row>
    <row r="108" spans="2:32">
      <c r="B108" s="103">
        <f t="shared" si="20"/>
        <v>43</v>
      </c>
      <c r="C108" s="103">
        <f t="shared" si="21"/>
        <v>15</v>
      </c>
      <c r="D108" s="103">
        <f t="shared" si="22"/>
        <v>7</v>
      </c>
      <c r="E108" s="102" t="str">
        <f t="shared" si="23"/>
        <v>s43w15d7</v>
      </c>
      <c r="F108" s="151">
        <f t="shared" si="24"/>
        <v>40503</v>
      </c>
      <c r="G108" s="145">
        <f t="shared" si="25"/>
        <v>104</v>
      </c>
      <c r="H108" s="146">
        <f>IF(H107&gt;4.5,H107+VLOOKUP(CEILING(H107,1),Tables!$L$2:$M$14,2,FALSE),H107+VLOOKUP(FLOOR(H107,1),Tables!$L$2:$M$14,2,FALSE))</f>
        <v>4.5</v>
      </c>
      <c r="I108" s="145">
        <f t="shared" si="26"/>
        <v>104</v>
      </c>
      <c r="K108" s="148">
        <f>IF(L107&lt;10,IF(L107&gt;4.5,L107+VLOOKUP(CEILING(L107,1),Tables!$L$2:$M$14,2,FALSE),L107+VLOOKUP(FLOOR(L107,1),Tables!$L$2:$M$14,2,FALSE)),10-(1/3))</f>
        <v>4.5</v>
      </c>
      <c r="L108" s="163">
        <f t="shared" si="27"/>
        <v>4.5</v>
      </c>
      <c r="N108" s="145">
        <f t="shared" si="28"/>
        <v>104</v>
      </c>
      <c r="P108" s="148">
        <f>IF(Q107&lt;10,IF(Q107&gt;4.5,Q107+VLOOKUP(CEILING(Q107,1),Tables!$L$2:$M$14,2,FALSE),Q107+VLOOKUP(FLOOR(Q107,1),Tables!$L$2:$M$14,2,FALSE)),10-(1/3))</f>
        <v>7.6464293040293052</v>
      </c>
      <c r="Q108" s="163">
        <f t="shared" si="29"/>
        <v>7.6464293040293052</v>
      </c>
      <c r="U108" s="148"/>
      <c r="V108" s="163"/>
      <c r="Z108" s="148"/>
      <c r="AA108" s="163"/>
      <c r="AE108" s="148"/>
      <c r="AF108" s="163"/>
    </row>
    <row r="109" spans="2:32">
      <c r="B109" s="103">
        <f t="shared" si="20"/>
        <v>43</v>
      </c>
      <c r="C109" s="103">
        <f t="shared" si="21"/>
        <v>16</v>
      </c>
      <c r="D109" s="103">
        <f t="shared" si="22"/>
        <v>1</v>
      </c>
      <c r="E109" s="102" t="str">
        <f t="shared" si="23"/>
        <v>s43w16d1</v>
      </c>
      <c r="F109" s="151">
        <f t="shared" si="24"/>
        <v>40504</v>
      </c>
      <c r="G109" s="145">
        <f t="shared" si="25"/>
        <v>105</v>
      </c>
      <c r="H109" s="146">
        <f>IF(H108&gt;4.5,H108+VLOOKUP(CEILING(H108,1),Tables!$L$2:$M$14,2,FALSE),H108+VLOOKUP(FLOOR(H108,1),Tables!$L$2:$M$14,2,FALSE))</f>
        <v>4.5158730158730158</v>
      </c>
      <c r="I109" s="145">
        <f t="shared" si="26"/>
        <v>105</v>
      </c>
      <c r="K109" s="148">
        <f>IF(L108&lt;10,IF(L108&gt;4.5,L108+VLOOKUP(CEILING(L108,1),Tables!$L$2:$M$14,2,FALSE),L108+VLOOKUP(FLOOR(L108,1),Tables!$L$2:$M$14,2,FALSE)),10-(1/3))</f>
        <v>4.5158730158730158</v>
      </c>
      <c r="L109" s="163">
        <f t="shared" si="27"/>
        <v>4.5158730158730158</v>
      </c>
      <c r="N109" s="145">
        <f t="shared" si="28"/>
        <v>105</v>
      </c>
      <c r="P109" s="148">
        <f>IF(Q108&lt;10,IF(Q108&gt;4.5,Q108+VLOOKUP(CEILING(Q108,1),Tables!$L$2:$M$14,2,FALSE),Q108+VLOOKUP(FLOOR(Q108,1),Tables!$L$2:$M$14,2,FALSE)),10-(1/3))</f>
        <v>7.503572161172162</v>
      </c>
      <c r="Q109" s="163">
        <f t="shared" si="29"/>
        <v>7.503572161172162</v>
      </c>
      <c r="U109" s="148"/>
      <c r="V109" s="163"/>
      <c r="Z109" s="148"/>
      <c r="AA109" s="163"/>
      <c r="AE109" s="148"/>
      <c r="AF109" s="163"/>
    </row>
    <row r="110" spans="2:32">
      <c r="B110" s="103">
        <f t="shared" si="20"/>
        <v>43</v>
      </c>
      <c r="C110" s="103">
        <f t="shared" si="21"/>
        <v>16</v>
      </c>
      <c r="D110" s="103">
        <f t="shared" si="22"/>
        <v>2</v>
      </c>
      <c r="E110" s="102" t="str">
        <f t="shared" si="23"/>
        <v>s43w16d2</v>
      </c>
      <c r="F110" s="151">
        <f t="shared" si="24"/>
        <v>40505</v>
      </c>
      <c r="G110" s="145">
        <f t="shared" si="25"/>
        <v>106</v>
      </c>
      <c r="H110" s="146">
        <f>IF(H109&gt;4.5,H109+VLOOKUP(CEILING(H109,1),Tables!$L$2:$M$14,2,FALSE),H109+VLOOKUP(FLOOR(H109,1),Tables!$L$2:$M$14,2,FALSE))</f>
        <v>4.5</v>
      </c>
      <c r="I110" s="145">
        <f t="shared" si="26"/>
        <v>106</v>
      </c>
      <c r="K110" s="148">
        <f>IF(L109&lt;10,IF(L109&gt;4.5,L109+VLOOKUP(CEILING(L109,1),Tables!$L$2:$M$14,2,FALSE),L109+VLOOKUP(FLOOR(L109,1),Tables!$L$2:$M$14,2,FALSE)),10-(1/3))</f>
        <v>4.5</v>
      </c>
      <c r="L110" s="163">
        <f t="shared" si="27"/>
        <v>4.5</v>
      </c>
      <c r="N110" s="145">
        <f t="shared" si="28"/>
        <v>106</v>
      </c>
      <c r="P110" s="148">
        <f>IF(Q109&lt;10,IF(Q109&gt;4.5,Q109+VLOOKUP(CEILING(Q109,1),Tables!$L$2:$M$14,2,FALSE),Q109+VLOOKUP(FLOOR(Q109,1),Tables!$L$2:$M$14,2,FALSE)),10-(1/3))</f>
        <v>7.3607150183150187</v>
      </c>
      <c r="Q110" s="163">
        <f t="shared" si="29"/>
        <v>7.3607150183150187</v>
      </c>
      <c r="U110" s="148"/>
      <c r="V110" s="163"/>
      <c r="Z110" s="148"/>
      <c r="AA110" s="163"/>
      <c r="AE110" s="148"/>
      <c r="AF110" s="163"/>
    </row>
    <row r="111" spans="2:32">
      <c r="B111" s="103">
        <f t="shared" si="20"/>
        <v>43</v>
      </c>
      <c r="C111" s="103">
        <f t="shared" si="21"/>
        <v>16</v>
      </c>
      <c r="D111" s="103">
        <f t="shared" si="22"/>
        <v>3</v>
      </c>
      <c r="E111" s="102" t="str">
        <f t="shared" si="23"/>
        <v>s43w16d3</v>
      </c>
      <c r="F111" s="151">
        <f t="shared" si="24"/>
        <v>40506</v>
      </c>
      <c r="G111" s="145">
        <f t="shared" si="25"/>
        <v>107</v>
      </c>
      <c r="H111" s="146">
        <f>IF(H110&gt;4.5,H110+VLOOKUP(CEILING(H110,1),Tables!$L$2:$M$14,2,FALSE),H110+VLOOKUP(FLOOR(H110,1),Tables!$L$2:$M$14,2,FALSE))</f>
        <v>4.5158730158730158</v>
      </c>
      <c r="I111" s="145">
        <f t="shared" si="26"/>
        <v>107</v>
      </c>
      <c r="K111" s="148">
        <f>IF(L110&lt;10,IF(L110&gt;4.5,L110+VLOOKUP(CEILING(L110,1),Tables!$L$2:$M$14,2,FALSE),L110+VLOOKUP(FLOOR(L110,1),Tables!$L$2:$M$14,2,FALSE)),10-(1/3))</f>
        <v>4.5158730158730158</v>
      </c>
      <c r="L111" s="163">
        <f t="shared" si="27"/>
        <v>4.5158730158730158</v>
      </c>
      <c r="N111" s="145">
        <f t="shared" si="28"/>
        <v>107</v>
      </c>
      <c r="P111" s="148">
        <f>IF(Q110&lt;10,IF(Q110&gt;4.5,Q110+VLOOKUP(CEILING(Q110,1),Tables!$L$2:$M$14,2,FALSE),Q110+VLOOKUP(FLOOR(Q110,1),Tables!$L$2:$M$14,2,FALSE)),10-(1/3))</f>
        <v>7.2178578754578755</v>
      </c>
      <c r="Q111" s="163">
        <f t="shared" si="29"/>
        <v>7.2178578754578755</v>
      </c>
      <c r="U111" s="148"/>
      <c r="V111" s="163"/>
      <c r="Z111" s="148"/>
      <c r="AA111" s="163"/>
      <c r="AE111" s="148"/>
      <c r="AF111" s="163"/>
    </row>
    <row r="112" spans="2:32">
      <c r="B112" s="103">
        <f t="shared" si="20"/>
        <v>43</v>
      </c>
      <c r="C112" s="103">
        <f t="shared" si="21"/>
        <v>16</v>
      </c>
      <c r="D112" s="103">
        <f t="shared" si="22"/>
        <v>4</v>
      </c>
      <c r="E112" s="102" t="str">
        <f t="shared" si="23"/>
        <v>s43w16d4</v>
      </c>
      <c r="F112" s="151">
        <f t="shared" si="24"/>
        <v>40507</v>
      </c>
      <c r="G112" s="145">
        <f t="shared" si="25"/>
        <v>108</v>
      </c>
      <c r="H112" s="146">
        <f>IF(H111&gt;4.5,H111+VLOOKUP(CEILING(H111,1),Tables!$L$2:$M$14,2,FALSE),H111+VLOOKUP(FLOOR(H111,1),Tables!$L$2:$M$14,2,FALSE))</f>
        <v>4.5</v>
      </c>
      <c r="I112" s="145">
        <f t="shared" si="26"/>
        <v>108</v>
      </c>
      <c r="K112" s="148">
        <f>IF(L111&lt;10,IF(L111&gt;4.5,L111+VLOOKUP(CEILING(L111,1),Tables!$L$2:$M$14,2,FALSE),L111+VLOOKUP(FLOOR(L111,1),Tables!$L$2:$M$14,2,FALSE)),10-(1/3))</f>
        <v>4.5</v>
      </c>
      <c r="L112" s="163">
        <f t="shared" si="27"/>
        <v>4.5</v>
      </c>
      <c r="N112" s="145">
        <f t="shared" si="28"/>
        <v>108</v>
      </c>
      <c r="P112" s="148">
        <f>IF(Q111&lt;10,IF(Q111&gt;4.5,Q111+VLOOKUP(CEILING(Q111,1),Tables!$L$2:$M$14,2,FALSE),Q111+VLOOKUP(FLOOR(Q111,1),Tables!$L$2:$M$14,2,FALSE)),10-(1/3))</f>
        <v>7.0750007326007323</v>
      </c>
      <c r="Q112" s="163">
        <f t="shared" si="29"/>
        <v>7.0750007326007323</v>
      </c>
      <c r="U112" s="148"/>
      <c r="V112" s="163"/>
      <c r="Z112" s="148"/>
      <c r="AA112" s="163"/>
      <c r="AE112" s="148"/>
      <c r="AF112" s="163"/>
    </row>
    <row r="113" spans="2:32">
      <c r="B113" s="103">
        <f t="shared" si="20"/>
        <v>43</v>
      </c>
      <c r="C113" s="103">
        <f t="shared" si="21"/>
        <v>16</v>
      </c>
      <c r="D113" s="103">
        <f t="shared" si="22"/>
        <v>5</v>
      </c>
      <c r="E113" s="102" t="str">
        <f t="shared" si="23"/>
        <v>s43w16d5</v>
      </c>
      <c r="F113" s="151">
        <f t="shared" si="24"/>
        <v>40508</v>
      </c>
      <c r="G113" s="145">
        <f t="shared" si="25"/>
        <v>109</v>
      </c>
      <c r="H113" s="146">
        <f>IF(H112&gt;4.5,H112+VLOOKUP(CEILING(H112,1),Tables!$L$2:$M$14,2,FALSE),H112+VLOOKUP(FLOOR(H112,1),Tables!$L$2:$M$14,2,FALSE))</f>
        <v>4.5158730158730158</v>
      </c>
      <c r="I113" s="145">
        <f t="shared" si="26"/>
        <v>109</v>
      </c>
      <c r="K113" s="148">
        <f>IF(L112&lt;10,IF(L112&gt;4.5,L112+VLOOKUP(CEILING(L112,1),Tables!$L$2:$M$14,2,FALSE),L112+VLOOKUP(FLOOR(L112,1),Tables!$L$2:$M$14,2,FALSE)),10-(1/3))</f>
        <v>4.5158730158730158</v>
      </c>
      <c r="L113" s="163">
        <f t="shared" si="27"/>
        <v>4.5158730158730158</v>
      </c>
      <c r="N113" s="145">
        <f t="shared" si="28"/>
        <v>109</v>
      </c>
      <c r="P113" s="148">
        <f>IF(Q112&lt;10,IF(Q112&gt;4.5,Q112+VLOOKUP(CEILING(Q112,1),Tables!$L$2:$M$14,2,FALSE),Q112+VLOOKUP(FLOOR(Q112,1),Tables!$L$2:$M$14,2,FALSE)),10-(1/3))</f>
        <v>6.932143589743589</v>
      </c>
      <c r="Q113" s="163">
        <f t="shared" si="29"/>
        <v>6.932143589743589</v>
      </c>
      <c r="U113" s="148"/>
      <c r="V113" s="163"/>
      <c r="Z113" s="148"/>
      <c r="AA113" s="163"/>
      <c r="AE113" s="148"/>
      <c r="AF113" s="163"/>
    </row>
    <row r="114" spans="2:32">
      <c r="B114" s="103">
        <f t="shared" si="20"/>
        <v>43</v>
      </c>
      <c r="C114" s="103">
        <f t="shared" si="21"/>
        <v>16</v>
      </c>
      <c r="D114" s="103">
        <f t="shared" si="22"/>
        <v>6</v>
      </c>
      <c r="E114" s="102" t="str">
        <f t="shared" si="23"/>
        <v>s43w16d6</v>
      </c>
      <c r="F114" s="151">
        <f t="shared" si="24"/>
        <v>40509</v>
      </c>
      <c r="G114" s="145">
        <f t="shared" si="25"/>
        <v>110</v>
      </c>
      <c r="H114" s="146">
        <f>IF(H113&gt;4.5,H113+VLOOKUP(CEILING(H113,1),Tables!$L$2:$M$14,2,FALSE),H113+VLOOKUP(FLOOR(H113,1),Tables!$L$2:$M$14,2,FALSE))</f>
        <v>4.5</v>
      </c>
      <c r="I114" s="145">
        <f t="shared" si="26"/>
        <v>110</v>
      </c>
      <c r="K114" s="148">
        <f>IF(L113&lt;10,IF(L113&gt;4.5,L113+VLOOKUP(CEILING(L113,1),Tables!$L$2:$M$14,2,FALSE),L113+VLOOKUP(FLOOR(L113,1),Tables!$L$2:$M$14,2,FALSE)),10-(1/3))</f>
        <v>4.5</v>
      </c>
      <c r="L114" s="163">
        <f t="shared" si="27"/>
        <v>4.5</v>
      </c>
      <c r="N114" s="145">
        <f t="shared" si="28"/>
        <v>110</v>
      </c>
      <c r="P114" s="148">
        <f>IF(Q113&lt;10,IF(Q113&gt;4.5,Q113+VLOOKUP(CEILING(Q113,1),Tables!$L$2:$M$14,2,FALSE),Q113+VLOOKUP(FLOOR(Q113,1),Tables!$L$2:$M$14,2,FALSE)),10-(1/3))</f>
        <v>6.8552205128205124</v>
      </c>
      <c r="Q114" s="163">
        <f t="shared" si="29"/>
        <v>6.8552205128205124</v>
      </c>
      <c r="U114" s="148"/>
      <c r="V114" s="163"/>
      <c r="Z114" s="148"/>
      <c r="AA114" s="163"/>
      <c r="AE114" s="148"/>
      <c r="AF114" s="163"/>
    </row>
    <row r="115" spans="2:32">
      <c r="B115" s="103">
        <f t="shared" si="20"/>
        <v>43</v>
      </c>
      <c r="C115" s="103">
        <f t="shared" si="21"/>
        <v>16</v>
      </c>
      <c r="D115" s="103">
        <f t="shared" si="22"/>
        <v>7</v>
      </c>
      <c r="E115" s="102" t="str">
        <f t="shared" si="23"/>
        <v>s43w16d7</v>
      </c>
      <c r="F115" s="151">
        <f t="shared" si="24"/>
        <v>40510</v>
      </c>
      <c r="G115" s="145">
        <f t="shared" si="25"/>
        <v>111</v>
      </c>
      <c r="H115" s="146">
        <f>IF(H114&gt;4.5,H114+VLOOKUP(CEILING(H114,1),Tables!$L$2:$M$14,2,FALSE),H114+VLOOKUP(FLOOR(H114,1),Tables!$L$2:$M$14,2,FALSE))</f>
        <v>4.5158730158730158</v>
      </c>
      <c r="I115" s="145">
        <f t="shared" si="26"/>
        <v>111</v>
      </c>
      <c r="K115" s="148">
        <f>IF(L114&lt;10,IF(L114&gt;4.5,L114+VLOOKUP(CEILING(L114,1),Tables!$L$2:$M$14,2,FALSE),L114+VLOOKUP(FLOOR(L114,1),Tables!$L$2:$M$14,2,FALSE)),10-(1/3))</f>
        <v>4.5158730158730158</v>
      </c>
      <c r="L115" s="163">
        <f t="shared" si="27"/>
        <v>4.5158730158730158</v>
      </c>
      <c r="N115" s="145">
        <f t="shared" si="28"/>
        <v>111</v>
      </c>
      <c r="P115" s="148">
        <f>IF(Q114&lt;10,IF(Q114&gt;4.5,Q114+VLOOKUP(CEILING(Q114,1),Tables!$L$2:$M$14,2,FALSE),Q114+VLOOKUP(FLOOR(Q114,1),Tables!$L$2:$M$14,2,FALSE)),10-(1/3))</f>
        <v>6.7782974358974357</v>
      </c>
      <c r="Q115" s="163">
        <f t="shared" si="29"/>
        <v>6.7782974358974357</v>
      </c>
      <c r="U115" s="148"/>
      <c r="V115" s="163"/>
      <c r="Z115" s="148"/>
      <c r="AA115" s="163"/>
      <c r="AE115" s="148"/>
      <c r="AF115" s="163"/>
    </row>
    <row r="116" spans="2:32">
      <c r="F116" s="151"/>
      <c r="K116" s="148"/>
      <c r="L116" s="163"/>
      <c r="P116" s="148"/>
      <c r="Q116" s="163"/>
      <c r="U116" s="148"/>
      <c r="V116" s="163"/>
      <c r="Z116" s="148"/>
      <c r="AA116" s="163"/>
      <c r="AE116" s="148"/>
      <c r="AF116" s="163"/>
    </row>
    <row r="117" spans="2:32">
      <c r="F117" s="151"/>
      <c r="K117" s="148"/>
      <c r="L117" s="163"/>
      <c r="P117" s="148"/>
      <c r="Q117" s="163"/>
      <c r="U117" s="148"/>
      <c r="V117" s="163"/>
      <c r="Z117" s="148"/>
      <c r="AA117" s="163"/>
      <c r="AE117" s="148"/>
      <c r="AF117" s="163"/>
    </row>
    <row r="118" spans="2:32">
      <c r="F118" s="151"/>
      <c r="K118" s="148"/>
      <c r="L118" s="163"/>
      <c r="P118" s="148"/>
      <c r="Q118" s="163"/>
      <c r="U118" s="148"/>
      <c r="V118" s="163"/>
      <c r="Z118" s="148"/>
      <c r="AA118" s="163"/>
      <c r="AE118" s="148"/>
      <c r="AF118" s="163"/>
    </row>
    <row r="119" spans="2:32">
      <c r="F119" s="151"/>
      <c r="K119" s="148"/>
      <c r="L119" s="163"/>
      <c r="P119" s="148"/>
      <c r="Q119" s="163"/>
      <c r="U119" s="148"/>
      <c r="V119" s="163"/>
      <c r="Z119" s="148"/>
      <c r="AA119" s="163"/>
      <c r="AE119" s="148"/>
      <c r="AF119" s="163"/>
    </row>
    <row r="120" spans="2:32">
      <c r="F120" s="151"/>
      <c r="K120" s="148"/>
      <c r="L120" s="163"/>
      <c r="P120" s="148"/>
      <c r="Q120" s="163"/>
      <c r="U120" s="148"/>
      <c r="V120" s="163"/>
      <c r="Z120" s="148"/>
      <c r="AA120" s="163"/>
      <c r="AE120" s="148"/>
      <c r="AF120" s="163"/>
    </row>
    <row r="121" spans="2:32">
      <c r="F121" s="151"/>
      <c r="K121" s="148"/>
      <c r="L121" s="163"/>
      <c r="P121" s="148"/>
      <c r="Q121" s="163"/>
      <c r="U121" s="148"/>
      <c r="V121" s="163"/>
      <c r="Z121" s="148"/>
      <c r="AA121" s="163"/>
      <c r="AE121" s="148"/>
      <c r="AF121" s="163"/>
    </row>
    <row r="122" spans="2:32">
      <c r="F122" s="151"/>
      <c r="K122" s="148"/>
      <c r="L122" s="163"/>
      <c r="P122" s="148"/>
      <c r="Q122" s="163"/>
      <c r="U122" s="148"/>
      <c r="V122" s="163"/>
      <c r="Z122" s="148"/>
      <c r="AA122" s="163"/>
      <c r="AE122" s="148"/>
      <c r="AF122" s="163"/>
    </row>
    <row r="123" spans="2:32">
      <c r="F123" s="151"/>
      <c r="K123" s="148"/>
      <c r="L123" s="163"/>
      <c r="P123" s="148"/>
      <c r="Q123" s="163"/>
      <c r="U123" s="148"/>
      <c r="V123" s="163"/>
      <c r="Z123" s="148"/>
      <c r="AA123" s="163"/>
      <c r="AE123" s="148"/>
      <c r="AF123" s="163"/>
    </row>
    <row r="124" spans="2:32">
      <c r="F124" s="151"/>
      <c r="K124" s="148"/>
      <c r="L124" s="163"/>
      <c r="P124" s="148"/>
      <c r="Q124" s="163"/>
      <c r="U124" s="148"/>
      <c r="V124" s="163"/>
      <c r="Z124" s="148"/>
      <c r="AA124" s="163"/>
      <c r="AE124" s="148"/>
      <c r="AF124" s="163"/>
    </row>
    <row r="125" spans="2:32">
      <c r="F125" s="151"/>
      <c r="K125" s="148"/>
      <c r="L125" s="163"/>
      <c r="P125" s="148"/>
      <c r="Q125" s="163"/>
      <c r="U125" s="148"/>
      <c r="V125" s="163"/>
      <c r="Z125" s="148"/>
      <c r="AA125" s="163"/>
      <c r="AE125" s="148"/>
      <c r="AF125" s="163"/>
    </row>
    <row r="126" spans="2:32">
      <c r="F126" s="151"/>
      <c r="K126" s="148"/>
      <c r="L126" s="163"/>
      <c r="P126" s="148"/>
      <c r="Q126" s="163"/>
      <c r="U126" s="148"/>
      <c r="V126" s="163"/>
      <c r="Z126" s="148"/>
      <c r="AA126" s="163"/>
      <c r="AE126" s="148"/>
      <c r="AF126" s="163"/>
    </row>
    <row r="127" spans="2:32">
      <c r="F127" s="151"/>
      <c r="K127" s="148"/>
      <c r="L127" s="163"/>
      <c r="P127" s="148"/>
      <c r="Q127" s="163"/>
      <c r="U127" s="148"/>
      <c r="V127" s="163"/>
      <c r="Z127" s="148"/>
      <c r="AA127" s="163"/>
      <c r="AE127" s="148"/>
      <c r="AF127" s="163"/>
    </row>
    <row r="128" spans="2:32">
      <c r="F128" s="151"/>
      <c r="K128" s="148"/>
      <c r="L128" s="163"/>
      <c r="P128" s="148"/>
      <c r="Q128" s="163"/>
      <c r="U128" s="148"/>
      <c r="V128" s="163"/>
      <c r="Z128" s="148"/>
      <c r="AA128" s="163"/>
      <c r="AE128" s="148"/>
      <c r="AF128" s="163"/>
    </row>
    <row r="129" spans="6:32">
      <c r="F129" s="151"/>
      <c r="K129" s="148"/>
      <c r="L129" s="163"/>
      <c r="P129" s="148"/>
      <c r="Q129" s="163"/>
      <c r="U129" s="148"/>
      <c r="V129" s="163"/>
      <c r="Z129" s="148"/>
      <c r="AA129" s="163"/>
      <c r="AE129" s="148"/>
      <c r="AF129" s="163"/>
    </row>
    <row r="130" spans="6:32">
      <c r="F130" s="151"/>
      <c r="K130" s="148"/>
      <c r="L130" s="163"/>
      <c r="P130" s="148"/>
      <c r="Q130" s="163"/>
      <c r="U130" s="148"/>
      <c r="V130" s="163"/>
      <c r="Z130" s="148"/>
      <c r="AA130" s="163"/>
      <c r="AE130" s="148"/>
      <c r="AF130" s="163"/>
    </row>
    <row r="131" spans="6:32">
      <c r="F131" s="151"/>
      <c r="K131" s="148"/>
      <c r="L131" s="163"/>
      <c r="P131" s="148"/>
      <c r="Q131" s="163"/>
      <c r="U131" s="148"/>
      <c r="V131" s="163"/>
      <c r="Z131" s="148"/>
      <c r="AA131" s="163"/>
      <c r="AE131" s="148"/>
      <c r="AF131" s="163"/>
    </row>
    <row r="132" spans="6:32">
      <c r="F132" s="151"/>
      <c r="K132" s="148"/>
      <c r="L132" s="163"/>
      <c r="P132" s="148"/>
      <c r="Q132" s="163"/>
      <c r="U132" s="148"/>
      <c r="V132" s="163"/>
      <c r="Z132" s="148"/>
      <c r="AA132" s="163"/>
      <c r="AE132" s="148"/>
      <c r="AF132" s="163"/>
    </row>
    <row r="133" spans="6:32">
      <c r="F133" s="151"/>
      <c r="K133" s="148"/>
      <c r="L133" s="163"/>
      <c r="P133" s="148"/>
      <c r="Q133" s="163"/>
      <c r="U133" s="148"/>
      <c r="V133" s="163"/>
      <c r="Z133" s="148"/>
      <c r="AA133" s="163"/>
      <c r="AE133" s="148"/>
      <c r="AF133" s="163"/>
    </row>
    <row r="134" spans="6:32">
      <c r="F134" s="151"/>
      <c r="K134" s="148"/>
      <c r="L134" s="163"/>
      <c r="P134" s="148"/>
      <c r="Q134" s="163"/>
      <c r="U134" s="148"/>
      <c r="V134" s="163"/>
      <c r="Z134" s="148"/>
      <c r="AA134" s="163"/>
      <c r="AE134" s="148"/>
      <c r="AF134" s="163"/>
    </row>
    <row r="135" spans="6:32">
      <c r="F135" s="151"/>
      <c r="K135" s="148"/>
      <c r="L135" s="163"/>
      <c r="P135" s="148"/>
      <c r="Q135" s="163"/>
      <c r="U135" s="148"/>
      <c r="V135" s="163"/>
      <c r="Z135" s="148"/>
      <c r="AA135" s="163"/>
      <c r="AE135" s="148"/>
      <c r="AF135" s="163"/>
    </row>
    <row r="136" spans="6:32">
      <c r="F136" s="151"/>
      <c r="K136" s="148"/>
      <c r="L136" s="163"/>
      <c r="P136" s="148"/>
      <c r="Q136" s="163"/>
      <c r="U136" s="148"/>
      <c r="V136" s="163"/>
      <c r="Z136" s="148"/>
      <c r="AA136" s="163"/>
      <c r="AE136" s="148"/>
      <c r="AF136" s="163"/>
    </row>
    <row r="137" spans="6:32">
      <c r="F137" s="151"/>
      <c r="K137" s="148"/>
      <c r="L137" s="163"/>
      <c r="P137" s="148"/>
      <c r="Q137" s="163"/>
      <c r="U137" s="148"/>
      <c r="V137" s="163"/>
      <c r="Z137" s="148"/>
      <c r="AA137" s="163"/>
      <c r="AE137" s="148"/>
      <c r="AF137" s="163"/>
    </row>
    <row r="138" spans="6:32">
      <c r="F138" s="151"/>
      <c r="K138" s="148"/>
      <c r="L138" s="163"/>
      <c r="P138" s="148"/>
      <c r="Q138" s="163"/>
      <c r="U138" s="148"/>
      <c r="V138" s="163"/>
      <c r="Z138" s="148"/>
      <c r="AA138" s="163"/>
      <c r="AE138" s="148"/>
      <c r="AF138" s="163"/>
    </row>
    <row r="139" spans="6:32">
      <c r="F139" s="151"/>
      <c r="K139" s="148"/>
      <c r="L139" s="163"/>
      <c r="P139" s="148"/>
      <c r="Q139" s="163"/>
      <c r="U139" s="148"/>
      <c r="V139" s="163"/>
      <c r="Z139" s="148"/>
      <c r="AA139" s="163"/>
      <c r="AE139" s="148"/>
      <c r="AF139" s="163"/>
    </row>
    <row r="140" spans="6:32">
      <c r="F140" s="151"/>
      <c r="K140" s="148"/>
      <c r="L140" s="163"/>
      <c r="P140" s="148"/>
      <c r="Q140" s="163"/>
      <c r="U140" s="148"/>
      <c r="V140" s="163"/>
      <c r="Z140" s="148"/>
      <c r="AA140" s="163"/>
      <c r="AE140" s="148"/>
      <c r="AF140" s="163"/>
    </row>
    <row r="141" spans="6:32">
      <c r="F141" s="151"/>
      <c r="K141" s="148"/>
      <c r="L141" s="163"/>
      <c r="P141" s="148"/>
      <c r="Q141" s="163"/>
      <c r="U141" s="148"/>
      <c r="V141" s="163"/>
      <c r="Z141" s="148"/>
      <c r="AA141" s="163"/>
      <c r="AE141" s="148"/>
      <c r="AF141" s="163"/>
    </row>
    <row r="142" spans="6:32">
      <c r="F142" s="151"/>
      <c r="K142" s="148"/>
      <c r="L142" s="163"/>
      <c r="P142" s="148"/>
      <c r="Q142" s="163"/>
      <c r="U142" s="148"/>
      <c r="V142" s="163"/>
      <c r="Z142" s="148"/>
      <c r="AA142" s="163"/>
      <c r="AE142" s="148"/>
      <c r="AF142" s="163"/>
    </row>
    <row r="143" spans="6:32">
      <c r="F143" s="151"/>
      <c r="K143" s="148"/>
      <c r="L143" s="163"/>
      <c r="P143" s="148"/>
      <c r="Q143" s="163"/>
      <c r="U143" s="148"/>
      <c r="V143" s="163"/>
      <c r="Z143" s="148"/>
      <c r="AA143" s="163"/>
      <c r="AE143" s="148"/>
      <c r="AF143" s="163"/>
    </row>
    <row r="144" spans="6:32">
      <c r="F144" s="151"/>
      <c r="K144" s="148"/>
      <c r="L144" s="163"/>
      <c r="P144" s="148"/>
      <c r="Q144" s="163"/>
      <c r="U144" s="148"/>
      <c r="V144" s="163"/>
      <c r="Z144" s="148"/>
      <c r="AA144" s="163"/>
      <c r="AE144" s="148"/>
      <c r="AF144" s="163"/>
    </row>
    <row r="145" spans="6:32">
      <c r="F145" s="151"/>
      <c r="K145" s="148"/>
      <c r="L145" s="163"/>
      <c r="P145" s="148"/>
      <c r="Q145" s="163"/>
      <c r="U145" s="148"/>
      <c r="V145" s="163"/>
      <c r="Z145" s="148"/>
      <c r="AA145" s="163"/>
      <c r="AE145" s="148"/>
      <c r="AF145" s="163"/>
    </row>
    <row r="146" spans="6:32">
      <c r="F146" s="151"/>
      <c r="K146" s="148"/>
      <c r="L146" s="163"/>
      <c r="P146" s="148"/>
      <c r="Q146" s="163"/>
      <c r="U146" s="148"/>
      <c r="V146" s="163"/>
      <c r="Z146" s="148"/>
      <c r="AA146" s="163"/>
      <c r="AE146" s="148"/>
      <c r="AF146" s="163"/>
    </row>
    <row r="147" spans="6:32">
      <c r="F147" s="151"/>
      <c r="K147" s="148"/>
      <c r="L147" s="163"/>
      <c r="P147" s="148"/>
      <c r="Q147" s="163"/>
      <c r="U147" s="148"/>
      <c r="V147" s="163"/>
      <c r="Z147" s="148"/>
      <c r="AA147" s="163"/>
      <c r="AE147" s="148"/>
      <c r="AF147" s="163"/>
    </row>
    <row r="148" spans="6:32">
      <c r="F148" s="151"/>
      <c r="K148" s="148"/>
      <c r="L148" s="163"/>
      <c r="P148" s="148"/>
      <c r="Q148" s="163"/>
      <c r="U148" s="148"/>
      <c r="V148" s="163"/>
      <c r="Z148" s="148"/>
      <c r="AA148" s="163"/>
      <c r="AE148" s="148"/>
      <c r="AF148" s="163"/>
    </row>
    <row r="149" spans="6:32">
      <c r="F149" s="151"/>
      <c r="K149" s="148"/>
      <c r="L149" s="163"/>
      <c r="P149" s="148"/>
      <c r="Q149" s="163"/>
      <c r="U149" s="148"/>
      <c r="V149" s="163"/>
      <c r="Z149" s="148"/>
      <c r="AA149" s="163"/>
      <c r="AE149" s="148"/>
      <c r="AF149" s="163"/>
    </row>
    <row r="150" spans="6:32">
      <c r="F150" s="151"/>
      <c r="K150" s="148"/>
      <c r="L150" s="163"/>
      <c r="P150" s="148"/>
      <c r="Q150" s="163"/>
      <c r="U150" s="148"/>
      <c r="V150" s="163"/>
      <c r="Z150" s="148"/>
      <c r="AA150" s="163"/>
      <c r="AE150" s="148"/>
      <c r="AF150" s="163"/>
    </row>
    <row r="151" spans="6:32">
      <c r="F151" s="151"/>
      <c r="K151" s="148"/>
      <c r="L151" s="163"/>
      <c r="P151" s="148"/>
      <c r="Q151" s="163"/>
      <c r="U151" s="148"/>
      <c r="V151" s="163"/>
      <c r="Z151" s="148"/>
      <c r="AA151" s="163"/>
      <c r="AE151" s="148"/>
      <c r="AF151" s="163"/>
    </row>
    <row r="152" spans="6:32">
      <c r="F152" s="151"/>
      <c r="K152" s="148"/>
      <c r="L152" s="163"/>
      <c r="P152" s="148"/>
      <c r="Q152" s="163"/>
      <c r="U152" s="148"/>
      <c r="V152" s="163"/>
      <c r="Z152" s="148"/>
      <c r="AA152" s="163"/>
      <c r="AE152" s="148"/>
      <c r="AF152" s="163"/>
    </row>
    <row r="153" spans="6:32">
      <c r="F153" s="151"/>
      <c r="K153" s="148"/>
      <c r="L153" s="163"/>
      <c r="P153" s="148"/>
      <c r="Q153" s="163"/>
      <c r="U153" s="148"/>
      <c r="V153" s="163"/>
      <c r="Z153" s="148"/>
      <c r="AA153" s="163"/>
      <c r="AE153" s="148"/>
      <c r="AF153" s="163"/>
    </row>
    <row r="154" spans="6:32">
      <c r="F154" s="151"/>
      <c r="K154" s="148"/>
      <c r="L154" s="163"/>
      <c r="P154" s="148"/>
      <c r="Q154" s="163"/>
      <c r="U154" s="148"/>
      <c r="V154" s="163"/>
      <c r="Z154" s="148"/>
      <c r="AA154" s="163"/>
      <c r="AE154" s="148"/>
      <c r="AF154" s="163"/>
    </row>
    <row r="155" spans="6:32">
      <c r="F155" s="151"/>
      <c r="K155" s="148"/>
      <c r="L155" s="163"/>
      <c r="P155" s="148"/>
      <c r="Q155" s="163"/>
      <c r="U155" s="148"/>
      <c r="V155" s="163"/>
      <c r="Z155" s="148"/>
      <c r="AA155" s="163"/>
      <c r="AE155" s="148"/>
      <c r="AF155" s="163"/>
    </row>
    <row r="156" spans="6:32">
      <c r="F156" s="151"/>
      <c r="K156" s="148"/>
      <c r="L156" s="163"/>
      <c r="P156" s="148"/>
      <c r="Q156" s="163"/>
      <c r="U156" s="148"/>
      <c r="V156" s="163"/>
      <c r="Z156" s="148"/>
      <c r="AA156" s="163"/>
      <c r="AE156" s="148"/>
      <c r="AF156" s="163"/>
    </row>
    <row r="157" spans="6:32">
      <c r="F157" s="151"/>
      <c r="K157" s="148"/>
      <c r="L157" s="163"/>
      <c r="P157" s="148"/>
      <c r="Q157" s="163"/>
      <c r="U157" s="148"/>
      <c r="V157" s="163"/>
      <c r="Z157" s="148"/>
      <c r="AA157" s="163"/>
      <c r="AE157" s="148"/>
      <c r="AF157" s="163"/>
    </row>
    <row r="158" spans="6:32">
      <c r="F158" s="151"/>
      <c r="K158" s="148"/>
      <c r="L158" s="163"/>
      <c r="P158" s="148"/>
      <c r="Q158" s="163"/>
      <c r="U158" s="148"/>
      <c r="V158" s="163"/>
      <c r="Z158" s="148"/>
      <c r="AA158" s="163"/>
      <c r="AE158" s="148"/>
      <c r="AF158" s="163"/>
    </row>
    <row r="159" spans="6:32">
      <c r="F159" s="151"/>
      <c r="K159" s="148"/>
      <c r="L159" s="163"/>
      <c r="P159" s="148"/>
      <c r="Q159" s="163"/>
      <c r="U159" s="148"/>
      <c r="V159" s="163"/>
      <c r="Z159" s="148"/>
      <c r="AA159" s="163"/>
      <c r="AE159" s="148"/>
      <c r="AF159" s="163"/>
    </row>
    <row r="160" spans="6:32">
      <c r="F160" s="151"/>
      <c r="K160" s="148"/>
      <c r="L160" s="163"/>
      <c r="P160" s="148"/>
      <c r="Q160" s="163"/>
      <c r="U160" s="148"/>
      <c r="V160" s="163"/>
      <c r="Z160" s="148"/>
      <c r="AA160" s="163"/>
      <c r="AE160" s="148"/>
      <c r="AF160" s="163"/>
    </row>
    <row r="161" spans="6:32">
      <c r="F161" s="151"/>
      <c r="K161" s="148"/>
      <c r="L161" s="163"/>
      <c r="P161" s="148"/>
      <c r="Q161" s="163"/>
      <c r="U161" s="148"/>
      <c r="V161" s="163"/>
      <c r="Z161" s="148"/>
      <c r="AA161" s="163"/>
      <c r="AE161" s="148"/>
      <c r="AF161" s="163"/>
    </row>
    <row r="162" spans="6:32">
      <c r="F162" s="151"/>
      <c r="K162" s="148"/>
      <c r="L162" s="163"/>
      <c r="P162" s="148"/>
      <c r="Q162" s="163"/>
      <c r="U162" s="148"/>
      <c r="V162" s="163"/>
      <c r="Z162" s="148"/>
      <c r="AA162" s="163"/>
      <c r="AE162" s="148"/>
      <c r="AF162" s="163"/>
    </row>
    <row r="163" spans="6:32">
      <c r="F163" s="151"/>
      <c r="K163" s="148"/>
      <c r="L163" s="163"/>
      <c r="P163" s="148"/>
      <c r="Q163" s="163"/>
      <c r="U163" s="148"/>
      <c r="V163" s="163"/>
      <c r="Z163" s="148"/>
      <c r="AA163" s="163"/>
      <c r="AE163" s="148"/>
      <c r="AF163" s="163"/>
    </row>
    <row r="164" spans="6:32">
      <c r="F164" s="151"/>
      <c r="K164" s="148"/>
      <c r="L164" s="163"/>
      <c r="P164" s="148"/>
      <c r="Q164" s="163"/>
      <c r="U164" s="148"/>
      <c r="V164" s="163"/>
      <c r="Z164" s="148"/>
      <c r="AA164" s="163"/>
      <c r="AE164" s="148"/>
      <c r="AF164" s="163"/>
    </row>
    <row r="165" spans="6:32">
      <c r="F165" s="151"/>
      <c r="K165" s="148"/>
      <c r="L165" s="163"/>
      <c r="P165" s="148"/>
      <c r="Q165" s="163"/>
      <c r="U165" s="148"/>
      <c r="V165" s="163"/>
      <c r="Z165" s="148"/>
      <c r="AA165" s="163"/>
      <c r="AE165" s="148"/>
      <c r="AF165" s="163"/>
    </row>
    <row r="166" spans="6:32">
      <c r="F166" s="151"/>
      <c r="K166" s="148"/>
      <c r="L166" s="163"/>
      <c r="P166" s="148"/>
      <c r="Q166" s="163"/>
      <c r="U166" s="148"/>
      <c r="V166" s="163"/>
      <c r="Z166" s="148"/>
      <c r="AA166" s="163"/>
      <c r="AE166" s="148"/>
      <c r="AF166" s="163"/>
    </row>
    <row r="167" spans="6:32">
      <c r="F167" s="151"/>
      <c r="K167" s="148"/>
      <c r="L167" s="163"/>
      <c r="P167" s="148"/>
      <c r="Q167" s="163"/>
      <c r="U167" s="148"/>
      <c r="V167" s="163"/>
      <c r="Z167" s="148"/>
      <c r="AA167" s="163"/>
      <c r="AE167" s="148"/>
      <c r="AF167" s="163"/>
    </row>
    <row r="168" spans="6:32">
      <c r="F168" s="151"/>
      <c r="K168" s="148"/>
      <c r="L168" s="163"/>
      <c r="P168" s="148"/>
      <c r="Q168" s="163"/>
      <c r="U168" s="148"/>
      <c r="V168" s="163"/>
      <c r="Z168" s="148"/>
      <c r="AA168" s="163"/>
      <c r="AE168" s="148"/>
      <c r="AF168" s="163"/>
    </row>
    <row r="169" spans="6:32">
      <c r="F169" s="151"/>
      <c r="K169" s="148"/>
      <c r="L169" s="163"/>
      <c r="P169" s="148"/>
      <c r="Q169" s="163"/>
      <c r="U169" s="148"/>
      <c r="V169" s="163"/>
      <c r="Z169" s="148"/>
      <c r="AA169" s="163"/>
      <c r="AE169" s="148"/>
      <c r="AF169" s="163"/>
    </row>
    <row r="170" spans="6:32">
      <c r="F170" s="151"/>
      <c r="K170" s="148"/>
      <c r="L170" s="163"/>
      <c r="P170" s="148"/>
      <c r="Q170" s="163"/>
      <c r="U170" s="148"/>
      <c r="V170" s="163"/>
      <c r="Z170" s="148"/>
      <c r="AA170" s="163"/>
      <c r="AE170" s="148"/>
      <c r="AF170" s="163"/>
    </row>
    <row r="171" spans="6:32">
      <c r="F171" s="151"/>
      <c r="K171" s="148"/>
      <c r="L171" s="163"/>
      <c r="P171" s="148"/>
      <c r="Q171" s="163"/>
      <c r="U171" s="148"/>
      <c r="V171" s="163"/>
      <c r="Z171" s="148"/>
      <c r="AA171" s="163"/>
      <c r="AE171" s="148"/>
      <c r="AF171" s="163"/>
    </row>
    <row r="172" spans="6:32">
      <c r="F172" s="151"/>
      <c r="K172" s="148"/>
      <c r="L172" s="163"/>
      <c r="P172" s="148"/>
      <c r="Q172" s="163"/>
      <c r="U172" s="148"/>
      <c r="V172" s="163"/>
      <c r="Z172" s="148"/>
      <c r="AA172" s="163"/>
      <c r="AE172" s="148"/>
      <c r="AF172" s="163"/>
    </row>
    <row r="173" spans="6:32">
      <c r="F173" s="151"/>
      <c r="K173" s="148"/>
      <c r="L173" s="163"/>
      <c r="P173" s="148"/>
      <c r="Q173" s="163"/>
      <c r="U173" s="148"/>
      <c r="V173" s="163"/>
      <c r="Z173" s="148"/>
      <c r="AA173" s="163"/>
      <c r="AE173" s="148"/>
      <c r="AF173" s="163"/>
    </row>
    <row r="174" spans="6:32">
      <c r="F174" s="151"/>
      <c r="K174" s="148"/>
      <c r="L174" s="163"/>
      <c r="P174" s="148"/>
      <c r="Q174" s="163"/>
      <c r="U174" s="148"/>
      <c r="V174" s="163"/>
      <c r="Z174" s="148"/>
      <c r="AA174" s="163"/>
      <c r="AE174" s="148"/>
      <c r="AF174" s="163"/>
    </row>
    <row r="175" spans="6:32">
      <c r="F175" s="151"/>
      <c r="K175" s="148"/>
      <c r="L175" s="163"/>
      <c r="P175" s="148"/>
      <c r="Q175" s="163"/>
      <c r="U175" s="148"/>
      <c r="V175" s="163"/>
      <c r="Z175" s="148"/>
      <c r="AA175" s="163"/>
      <c r="AE175" s="148"/>
      <c r="AF175" s="163"/>
    </row>
    <row r="176" spans="6:32">
      <c r="F176" s="151"/>
      <c r="K176" s="148"/>
      <c r="L176" s="163"/>
      <c r="P176" s="148"/>
      <c r="Q176" s="163"/>
      <c r="U176" s="148"/>
      <c r="V176" s="163"/>
      <c r="Z176" s="148"/>
      <c r="AA176" s="163"/>
      <c r="AE176" s="148"/>
      <c r="AF176" s="163"/>
    </row>
    <row r="177" spans="6:33">
      <c r="F177" s="151"/>
      <c r="K177" s="148"/>
      <c r="L177" s="163"/>
      <c r="P177" s="148"/>
      <c r="Q177" s="163"/>
      <c r="U177" s="148"/>
      <c r="V177" s="163"/>
      <c r="Z177" s="148"/>
      <c r="AA177" s="163"/>
      <c r="AE177" s="148"/>
      <c r="AF177" s="163"/>
    </row>
    <row r="178" spans="6:33">
      <c r="F178" s="151"/>
      <c r="K178" s="148"/>
      <c r="L178" s="163"/>
      <c r="P178" s="148"/>
      <c r="Q178" s="163"/>
      <c r="U178" s="148"/>
      <c r="V178" s="163"/>
      <c r="Z178" s="148"/>
      <c r="AA178" s="163"/>
      <c r="AE178" s="148"/>
      <c r="AF178" s="163"/>
    </row>
    <row r="179" spans="6:33">
      <c r="F179" s="151"/>
      <c r="K179" s="148"/>
      <c r="L179" s="163"/>
      <c r="P179" s="148"/>
      <c r="Q179" s="163"/>
      <c r="U179" s="148"/>
      <c r="V179" s="163"/>
      <c r="Z179" s="148"/>
      <c r="AA179" s="163"/>
      <c r="AE179" s="148"/>
      <c r="AF179" s="163"/>
    </row>
    <row r="180" spans="6:33">
      <c r="F180" s="151"/>
      <c r="K180" s="148"/>
      <c r="L180" s="163"/>
      <c r="P180" s="148"/>
      <c r="Q180" s="163"/>
      <c r="U180" s="148"/>
      <c r="V180" s="163"/>
      <c r="Z180" s="148"/>
      <c r="AA180" s="163"/>
      <c r="AE180" s="148"/>
      <c r="AF180" s="163"/>
    </row>
    <row r="181" spans="6:33">
      <c r="F181" s="151"/>
      <c r="K181" s="148"/>
      <c r="L181" s="163"/>
      <c r="P181" s="148"/>
      <c r="Q181" s="163"/>
      <c r="U181" s="148"/>
      <c r="V181" s="163"/>
      <c r="Z181" s="148"/>
      <c r="AA181" s="163"/>
      <c r="AE181" s="148"/>
      <c r="AF181" s="163"/>
    </row>
    <row r="182" spans="6:33">
      <c r="F182" s="151"/>
      <c r="K182" s="148"/>
      <c r="L182" s="163"/>
      <c r="P182" s="148"/>
      <c r="Q182" s="163"/>
      <c r="U182" s="148"/>
      <c r="V182" s="163"/>
      <c r="Z182" s="148"/>
      <c r="AA182" s="163"/>
      <c r="AE182" s="148"/>
      <c r="AF182" s="163"/>
    </row>
    <row r="183" spans="6:33">
      <c r="F183" s="151"/>
      <c r="K183" s="148"/>
      <c r="L183" s="163"/>
      <c r="P183" s="148"/>
      <c r="Q183" s="163"/>
      <c r="U183" s="148"/>
      <c r="V183" s="163"/>
      <c r="Z183" s="148"/>
      <c r="AA183" s="163"/>
      <c r="AE183" s="148"/>
      <c r="AF183" s="163"/>
    </row>
    <row r="184" spans="6:33">
      <c r="F184" s="151"/>
      <c r="K184" s="148"/>
      <c r="L184" s="163"/>
      <c r="M184" s="150"/>
      <c r="P184" s="148"/>
      <c r="Q184" s="163"/>
      <c r="R184" s="150"/>
      <c r="U184" s="148"/>
      <c r="V184" s="163"/>
      <c r="W184" s="150"/>
      <c r="Z184" s="148"/>
      <c r="AA184" s="163"/>
      <c r="AB184" s="150"/>
      <c r="AE184" s="148"/>
      <c r="AF184" s="163"/>
      <c r="AG184" s="150"/>
    </row>
    <row r="185" spans="6:33">
      <c r="F185" s="151"/>
      <c r="K185" s="148"/>
      <c r="L185" s="163"/>
      <c r="M185" s="150"/>
      <c r="P185" s="148"/>
      <c r="Q185" s="163"/>
      <c r="R185" s="150"/>
      <c r="U185" s="148"/>
      <c r="V185" s="163"/>
      <c r="W185" s="150"/>
      <c r="Z185" s="148"/>
      <c r="AA185" s="163"/>
      <c r="AB185" s="150"/>
      <c r="AE185" s="148"/>
      <c r="AF185" s="163"/>
      <c r="AG185" s="150"/>
    </row>
    <row r="186" spans="6:33">
      <c r="F186" s="151"/>
      <c r="K186" s="148"/>
      <c r="L186" s="163"/>
      <c r="M186" s="150"/>
      <c r="P186" s="148"/>
      <c r="Q186" s="163"/>
      <c r="R186" s="150"/>
      <c r="U186" s="148"/>
      <c r="V186" s="163"/>
      <c r="W186" s="150"/>
      <c r="Z186" s="148"/>
      <c r="AA186" s="163"/>
      <c r="AB186" s="150"/>
      <c r="AE186" s="148"/>
      <c r="AF186" s="163"/>
      <c r="AG186" s="150"/>
    </row>
    <row r="187" spans="6:33">
      <c r="F187" s="151"/>
      <c r="K187" s="148"/>
      <c r="L187" s="163"/>
      <c r="M187" s="150"/>
      <c r="P187" s="148"/>
      <c r="Q187" s="163"/>
      <c r="R187" s="150"/>
      <c r="U187" s="148"/>
      <c r="V187" s="163"/>
      <c r="W187" s="150"/>
      <c r="Z187" s="148"/>
      <c r="AA187" s="163"/>
      <c r="AB187" s="150"/>
      <c r="AE187" s="148"/>
      <c r="AF187" s="163"/>
      <c r="AG187" s="150"/>
    </row>
    <row r="188" spans="6:33">
      <c r="F188" s="151"/>
      <c r="K188" s="148"/>
      <c r="L188" s="163"/>
      <c r="M188" s="150"/>
      <c r="P188" s="148"/>
      <c r="Q188" s="163"/>
      <c r="R188" s="150"/>
      <c r="U188" s="148"/>
      <c r="V188" s="163"/>
      <c r="W188" s="150"/>
      <c r="Z188" s="148"/>
      <c r="AA188" s="163"/>
      <c r="AB188" s="150"/>
      <c r="AE188" s="148"/>
      <c r="AF188" s="163"/>
      <c r="AG188" s="150"/>
    </row>
    <row r="189" spans="6:33">
      <c r="F189" s="151"/>
      <c r="K189" s="148"/>
      <c r="L189" s="163"/>
      <c r="M189" s="150"/>
      <c r="P189" s="148"/>
      <c r="Q189" s="163"/>
      <c r="R189" s="150"/>
      <c r="U189" s="148"/>
      <c r="V189" s="163"/>
      <c r="W189" s="150"/>
      <c r="Z189" s="148"/>
      <c r="AA189" s="163"/>
      <c r="AB189" s="150"/>
      <c r="AE189" s="148"/>
      <c r="AF189" s="163"/>
      <c r="AG189" s="150"/>
    </row>
    <row r="190" spans="6:33">
      <c r="F190" s="151"/>
      <c r="K190" s="148"/>
      <c r="L190" s="163"/>
      <c r="M190" s="150"/>
      <c r="P190" s="148"/>
      <c r="Q190" s="163"/>
      <c r="R190" s="150"/>
      <c r="U190" s="148"/>
      <c r="V190" s="163"/>
      <c r="W190" s="150"/>
      <c r="Z190" s="148"/>
      <c r="AA190" s="163"/>
      <c r="AB190" s="150"/>
      <c r="AE190" s="148"/>
      <c r="AF190" s="163"/>
      <c r="AG190" s="150"/>
    </row>
    <row r="191" spans="6:33">
      <c r="F191" s="151"/>
      <c r="K191" s="148"/>
      <c r="L191" s="148"/>
      <c r="P191" s="148"/>
      <c r="Q191" s="148"/>
      <c r="U191" s="148"/>
      <c r="V191" s="148"/>
      <c r="Z191" s="148"/>
      <c r="AA191" s="148"/>
      <c r="AE191" s="148"/>
      <c r="AF191" s="148"/>
    </row>
    <row r="192" spans="6:33">
      <c r="F192" s="151"/>
      <c r="K192" s="148"/>
      <c r="L192" s="148"/>
      <c r="P192" s="148"/>
      <c r="Q192" s="148"/>
      <c r="U192" s="148"/>
      <c r="V192" s="148"/>
      <c r="Z192" s="148"/>
      <c r="AA192" s="148"/>
      <c r="AE192" s="148"/>
      <c r="AF192" s="148"/>
    </row>
    <row r="193" spans="6:32">
      <c r="F193" s="151"/>
      <c r="K193" s="148"/>
      <c r="L193" s="148"/>
      <c r="P193" s="148"/>
      <c r="Q193" s="148"/>
      <c r="U193" s="148"/>
      <c r="V193" s="148"/>
      <c r="Z193" s="148"/>
      <c r="AA193" s="148"/>
      <c r="AE193" s="148"/>
      <c r="AF193" s="148"/>
    </row>
    <row r="194" spans="6:32">
      <c r="F194" s="151"/>
      <c r="K194" s="148"/>
      <c r="L194" s="148"/>
      <c r="P194" s="148"/>
      <c r="Q194" s="148"/>
      <c r="U194" s="148"/>
      <c r="V194" s="148"/>
      <c r="Z194" s="148"/>
      <c r="AA194" s="148"/>
      <c r="AE194" s="148"/>
      <c r="AF194" s="148"/>
    </row>
    <row r="195" spans="6:32">
      <c r="F195" s="151"/>
      <c r="K195" s="148"/>
      <c r="L195" s="148"/>
      <c r="P195" s="148"/>
      <c r="Q195" s="148"/>
      <c r="U195" s="148"/>
      <c r="V195" s="148"/>
      <c r="Z195" s="148"/>
      <c r="AA195" s="148"/>
      <c r="AE195" s="148"/>
      <c r="AF195" s="148"/>
    </row>
    <row r="196" spans="6:32">
      <c r="F196" s="151"/>
      <c r="K196" s="148"/>
      <c r="L196" s="148"/>
      <c r="P196" s="148"/>
      <c r="Q196" s="148"/>
      <c r="U196" s="148"/>
      <c r="V196" s="148"/>
      <c r="Z196" s="148"/>
      <c r="AA196" s="148"/>
      <c r="AE196" s="148"/>
      <c r="AF196" s="148"/>
    </row>
    <row r="197" spans="6:32">
      <c r="F197" s="151"/>
      <c r="K197" s="148"/>
      <c r="L197" s="148"/>
      <c r="P197" s="148"/>
      <c r="Q197" s="148"/>
      <c r="U197" s="148"/>
      <c r="V197" s="148"/>
      <c r="Z197" s="148"/>
      <c r="AA197" s="148"/>
      <c r="AE197" s="148"/>
      <c r="AF197" s="148"/>
    </row>
    <row r="198" spans="6:32">
      <c r="F198" s="151"/>
      <c r="K198" s="148"/>
      <c r="L198" s="148"/>
      <c r="P198" s="148"/>
      <c r="Q198" s="148"/>
      <c r="U198" s="148"/>
      <c r="V198" s="148"/>
      <c r="Z198" s="148"/>
      <c r="AA198" s="148"/>
      <c r="AE198" s="148"/>
      <c r="AF198" s="148"/>
    </row>
    <row r="199" spans="6:32">
      <c r="F199" s="151"/>
      <c r="K199" s="148"/>
      <c r="L199" s="148"/>
      <c r="P199" s="148"/>
      <c r="Q199" s="148"/>
      <c r="U199" s="148"/>
      <c r="V199" s="148"/>
      <c r="Z199" s="148"/>
      <c r="AA199" s="148"/>
      <c r="AE199" s="148"/>
      <c r="AF199" s="148"/>
    </row>
    <row r="200" spans="6:32">
      <c r="F200" s="151"/>
      <c r="K200" s="148"/>
      <c r="L200" s="148"/>
      <c r="P200" s="148"/>
      <c r="Q200" s="148"/>
      <c r="U200" s="148"/>
      <c r="V200" s="148"/>
      <c r="Z200" s="148"/>
      <c r="AA200" s="148"/>
      <c r="AE200" s="148"/>
      <c r="AF200" s="148"/>
    </row>
    <row r="201" spans="6:32">
      <c r="K201" s="157"/>
      <c r="L201" s="157"/>
      <c r="P201" s="157"/>
      <c r="Q201" s="157"/>
      <c r="U201" s="157"/>
      <c r="V201" s="157"/>
      <c r="Z201" s="157"/>
      <c r="AA201" s="157"/>
      <c r="AE201" s="157"/>
      <c r="AF201" s="157"/>
    </row>
    <row r="202" spans="6:32">
      <c r="F202" s="151"/>
      <c r="K202" s="148"/>
      <c r="L202" s="148"/>
      <c r="P202" s="148"/>
      <c r="Q202" s="148"/>
      <c r="U202" s="148"/>
      <c r="V202" s="148"/>
      <c r="Z202" s="148"/>
      <c r="AA202" s="148"/>
      <c r="AE202" s="148"/>
      <c r="AF202" s="148"/>
    </row>
    <row r="203" spans="6:32">
      <c r="F203" s="151"/>
      <c r="K203" s="148"/>
      <c r="L203" s="148"/>
      <c r="P203" s="148"/>
      <c r="Q203" s="148"/>
      <c r="U203" s="148"/>
      <c r="V203" s="148"/>
      <c r="Z203" s="148"/>
      <c r="AA203" s="148"/>
      <c r="AE203" s="148"/>
      <c r="AF203" s="148"/>
    </row>
    <row r="204" spans="6:32">
      <c r="F204" s="151"/>
      <c r="K204" s="148"/>
      <c r="L204" s="148"/>
      <c r="P204" s="148"/>
      <c r="Q204" s="148"/>
      <c r="U204" s="148"/>
      <c r="V204" s="148"/>
      <c r="Z204" s="148"/>
      <c r="AA204" s="148"/>
      <c r="AE204" s="148"/>
      <c r="AF204" s="148"/>
    </row>
    <row r="205" spans="6:32">
      <c r="K205" s="157"/>
      <c r="L205" s="157"/>
      <c r="P205" s="157"/>
      <c r="Q205" s="157"/>
      <c r="U205" s="157"/>
      <c r="V205" s="157"/>
      <c r="Z205" s="157"/>
      <c r="AA205" s="157"/>
      <c r="AE205" s="157"/>
      <c r="AF205" s="157"/>
    </row>
    <row r="206" spans="6:32">
      <c r="F206" s="151"/>
      <c r="K206" s="148"/>
      <c r="L206" s="148"/>
      <c r="P206" s="148"/>
      <c r="Q206" s="148"/>
      <c r="U206" s="148"/>
      <c r="V206" s="148"/>
      <c r="Z206" s="148"/>
      <c r="AA206" s="148"/>
      <c r="AE206" s="148"/>
      <c r="AF206" s="148"/>
    </row>
    <row r="207" spans="6:32">
      <c r="F207" s="151"/>
      <c r="K207" s="148"/>
      <c r="L207" s="148"/>
      <c r="P207" s="148"/>
      <c r="Q207" s="148"/>
      <c r="U207" s="148"/>
      <c r="V207" s="148"/>
      <c r="Z207" s="148"/>
      <c r="AA207" s="148"/>
      <c r="AE207" s="148"/>
      <c r="AF207" s="148"/>
    </row>
    <row r="208" spans="6:32">
      <c r="F208" s="151"/>
      <c r="K208" s="148"/>
      <c r="L208" s="148"/>
      <c r="P208" s="148"/>
      <c r="Q208" s="148"/>
      <c r="U208" s="148"/>
      <c r="V208" s="148"/>
      <c r="Z208" s="148"/>
      <c r="AA208" s="148"/>
      <c r="AE208" s="148"/>
      <c r="AF208" s="148"/>
    </row>
    <row r="209" spans="6:32">
      <c r="F209" s="151"/>
      <c r="K209" s="148"/>
      <c r="L209" s="148"/>
      <c r="P209" s="148"/>
      <c r="Q209" s="148"/>
      <c r="U209" s="148"/>
      <c r="V209" s="148"/>
      <c r="Z209" s="148"/>
      <c r="AA209" s="148"/>
      <c r="AE209" s="148"/>
      <c r="AF209" s="148"/>
    </row>
    <row r="210" spans="6:32">
      <c r="K210" s="157"/>
      <c r="L210" s="157"/>
      <c r="P210" s="157"/>
      <c r="Q210" s="157"/>
      <c r="U210" s="157"/>
      <c r="V210" s="157"/>
      <c r="Z210" s="157"/>
      <c r="AA210" s="157"/>
      <c r="AE210" s="157"/>
      <c r="AF210" s="157"/>
    </row>
    <row r="211" spans="6:32">
      <c r="F211" s="151"/>
      <c r="K211" s="148"/>
      <c r="L211" s="148"/>
      <c r="P211" s="148"/>
      <c r="Q211" s="148"/>
      <c r="U211" s="148"/>
      <c r="V211" s="148"/>
      <c r="Z211" s="148"/>
      <c r="AA211" s="148"/>
      <c r="AE211" s="148"/>
      <c r="AF211" s="148"/>
    </row>
    <row r="212" spans="6:32">
      <c r="F212" s="151"/>
      <c r="K212" s="148"/>
      <c r="L212" s="148"/>
      <c r="P212" s="148"/>
      <c r="Q212" s="148"/>
      <c r="U212" s="148"/>
      <c r="V212" s="148"/>
      <c r="Z212" s="148"/>
      <c r="AA212" s="148"/>
      <c r="AE212" s="148"/>
      <c r="AF212" s="148"/>
    </row>
    <row r="213" spans="6:32">
      <c r="F213" s="151"/>
      <c r="K213" s="148"/>
      <c r="L213" s="148"/>
      <c r="P213" s="148"/>
      <c r="Q213" s="148"/>
      <c r="U213" s="148"/>
      <c r="V213" s="148"/>
      <c r="Z213" s="148"/>
      <c r="AA213" s="148"/>
      <c r="AE213" s="148"/>
      <c r="AF213" s="148"/>
    </row>
    <row r="214" spans="6:32">
      <c r="F214" s="151"/>
      <c r="K214" s="148"/>
      <c r="L214" s="148"/>
      <c r="P214" s="148"/>
      <c r="Q214" s="148"/>
      <c r="U214" s="148"/>
      <c r="V214" s="148"/>
      <c r="Z214" s="148"/>
      <c r="AA214" s="148"/>
      <c r="AE214" s="148"/>
      <c r="AF214" s="148"/>
    </row>
    <row r="215" spans="6:32">
      <c r="F215" s="151"/>
      <c r="K215" s="148"/>
      <c r="L215" s="148"/>
      <c r="P215" s="148"/>
      <c r="Q215" s="148"/>
      <c r="U215" s="148"/>
      <c r="V215" s="148"/>
      <c r="Z215" s="148"/>
      <c r="AA215" s="148"/>
      <c r="AE215" s="148"/>
      <c r="AF215" s="148"/>
    </row>
    <row r="216" spans="6:32">
      <c r="F216" s="151"/>
      <c r="K216" s="148"/>
      <c r="L216" s="148"/>
      <c r="P216" s="148"/>
      <c r="Q216" s="148"/>
      <c r="U216" s="148"/>
      <c r="V216" s="148"/>
      <c r="Z216" s="148"/>
      <c r="AA216" s="148"/>
      <c r="AE216" s="148"/>
      <c r="AF216" s="148"/>
    </row>
    <row r="217" spans="6:32">
      <c r="F217" s="151"/>
      <c r="K217" s="148"/>
      <c r="L217" s="148"/>
      <c r="P217" s="148"/>
      <c r="Q217" s="148"/>
      <c r="U217" s="148"/>
      <c r="V217" s="148"/>
      <c r="Z217" s="148"/>
      <c r="AA217" s="148"/>
      <c r="AE217" s="148"/>
      <c r="AF217" s="148"/>
    </row>
    <row r="218" spans="6:32">
      <c r="F218" s="151"/>
      <c r="K218" s="148"/>
      <c r="L218" s="148"/>
      <c r="P218" s="148"/>
      <c r="Q218" s="148"/>
      <c r="U218" s="148"/>
      <c r="V218" s="148"/>
      <c r="Z218" s="148"/>
      <c r="AA218" s="148"/>
      <c r="AE218" s="148"/>
      <c r="AF218" s="148"/>
    </row>
    <row r="219" spans="6:32">
      <c r="F219" s="151"/>
      <c r="K219" s="148"/>
      <c r="L219" s="148"/>
      <c r="P219" s="148"/>
      <c r="Q219" s="148"/>
      <c r="U219" s="148"/>
      <c r="V219" s="148"/>
      <c r="Z219" s="148"/>
      <c r="AA219" s="148"/>
      <c r="AE219" s="148"/>
      <c r="AF219" s="148"/>
    </row>
    <row r="220" spans="6:32">
      <c r="F220" s="151"/>
      <c r="K220" s="148"/>
      <c r="L220" s="148"/>
      <c r="P220" s="148"/>
      <c r="Q220" s="148"/>
      <c r="U220" s="148"/>
      <c r="V220" s="148"/>
      <c r="Z220" s="148"/>
      <c r="AA220" s="148"/>
      <c r="AE220" s="148"/>
      <c r="AF220" s="148"/>
    </row>
    <row r="221" spans="6:32">
      <c r="F221" s="151"/>
      <c r="K221" s="148"/>
      <c r="L221" s="148"/>
      <c r="P221" s="148"/>
      <c r="Q221" s="148"/>
      <c r="U221" s="148"/>
      <c r="V221" s="148"/>
      <c r="Z221" s="148"/>
      <c r="AA221" s="148"/>
      <c r="AE221" s="148"/>
      <c r="AF221" s="148"/>
    </row>
    <row r="222" spans="6:32">
      <c r="F222" s="151"/>
      <c r="K222" s="148"/>
      <c r="L222" s="148"/>
      <c r="P222" s="148"/>
      <c r="Q222" s="148"/>
      <c r="U222" s="148"/>
      <c r="V222" s="148"/>
      <c r="Z222" s="148"/>
      <c r="AA222" s="148"/>
      <c r="AE222" s="148"/>
      <c r="AF222" s="148"/>
    </row>
    <row r="223" spans="6:32">
      <c r="F223" s="151"/>
      <c r="K223" s="148"/>
      <c r="L223" s="148"/>
      <c r="P223" s="148"/>
      <c r="Q223" s="148"/>
      <c r="U223" s="148"/>
      <c r="V223" s="148"/>
      <c r="Z223" s="148"/>
      <c r="AA223" s="148"/>
      <c r="AE223" s="148"/>
      <c r="AF223" s="148"/>
    </row>
    <row r="224" spans="6:32">
      <c r="F224" s="151"/>
      <c r="K224" s="148"/>
      <c r="L224" s="148"/>
      <c r="P224" s="148"/>
      <c r="Q224" s="148"/>
      <c r="U224" s="148"/>
      <c r="V224" s="148"/>
      <c r="Z224" s="148"/>
      <c r="AA224" s="148"/>
      <c r="AE224" s="148"/>
      <c r="AF224" s="148"/>
    </row>
    <row r="225" spans="6:32">
      <c r="F225" s="151"/>
      <c r="K225" s="148"/>
      <c r="L225" s="148"/>
      <c r="P225" s="148"/>
      <c r="Q225" s="148"/>
      <c r="U225" s="148"/>
      <c r="V225" s="148"/>
      <c r="Z225" s="148"/>
      <c r="AA225" s="148"/>
      <c r="AE225" s="148"/>
      <c r="AF225" s="148"/>
    </row>
    <row r="226" spans="6:32">
      <c r="F226" s="151"/>
      <c r="K226" s="148"/>
      <c r="L226" s="148"/>
      <c r="P226" s="148"/>
      <c r="Q226" s="148"/>
      <c r="U226" s="148"/>
      <c r="V226" s="148"/>
      <c r="Z226" s="148"/>
      <c r="AA226" s="148"/>
      <c r="AE226" s="148"/>
      <c r="AF226" s="148"/>
    </row>
    <row r="227" spans="6:32">
      <c r="F227" s="151"/>
      <c r="K227" s="148"/>
      <c r="L227" s="148"/>
      <c r="P227" s="148"/>
      <c r="Q227" s="148"/>
      <c r="U227" s="148"/>
      <c r="V227" s="148"/>
      <c r="Z227" s="148"/>
      <c r="AA227" s="148"/>
      <c r="AE227" s="148"/>
      <c r="AF227" s="148"/>
    </row>
    <row r="228" spans="6:32">
      <c r="F228" s="151"/>
      <c r="K228" s="148"/>
      <c r="L228" s="148"/>
      <c r="P228" s="148"/>
      <c r="Q228" s="148"/>
      <c r="U228" s="148"/>
      <c r="V228" s="148"/>
      <c r="Z228" s="148"/>
      <c r="AA228" s="148"/>
      <c r="AE228" s="148"/>
      <c r="AF228" s="148"/>
    </row>
    <row r="229" spans="6:32">
      <c r="F229" s="151"/>
      <c r="K229" s="148"/>
      <c r="L229" s="148"/>
      <c r="P229" s="148"/>
      <c r="Q229" s="148"/>
      <c r="U229" s="148"/>
      <c r="V229" s="148"/>
      <c r="Z229" s="148"/>
      <c r="AA229" s="148"/>
      <c r="AE229" s="148"/>
      <c r="AF229" s="148"/>
    </row>
    <row r="230" spans="6:32">
      <c r="F230" s="151"/>
      <c r="K230" s="148"/>
      <c r="L230" s="148"/>
      <c r="P230" s="148"/>
      <c r="Q230" s="148"/>
      <c r="U230" s="148"/>
      <c r="V230" s="148"/>
      <c r="Z230" s="148"/>
      <c r="AA230" s="148"/>
      <c r="AE230" s="148"/>
      <c r="AF230" s="148"/>
    </row>
    <row r="231" spans="6:32">
      <c r="F231" s="151"/>
      <c r="K231" s="148"/>
      <c r="L231" s="148"/>
      <c r="P231" s="148"/>
      <c r="Q231" s="148"/>
      <c r="U231" s="148"/>
      <c r="V231" s="148"/>
      <c r="Z231" s="148"/>
      <c r="AA231" s="148"/>
      <c r="AE231" s="148"/>
      <c r="AF231" s="148"/>
    </row>
    <row r="232" spans="6:32">
      <c r="F232" s="151"/>
      <c r="K232" s="148"/>
      <c r="L232" s="148"/>
      <c r="P232" s="148"/>
      <c r="Q232" s="148"/>
      <c r="U232" s="148"/>
      <c r="V232" s="148"/>
      <c r="Z232" s="148"/>
      <c r="AA232" s="148"/>
      <c r="AE232" s="148"/>
      <c r="AF232" s="148"/>
    </row>
    <row r="233" spans="6:32">
      <c r="F233" s="151"/>
      <c r="K233" s="148"/>
      <c r="L233" s="148"/>
      <c r="P233" s="148"/>
      <c r="Q233" s="148"/>
      <c r="U233" s="148"/>
      <c r="V233" s="148"/>
      <c r="Z233" s="148"/>
      <c r="AA233" s="148"/>
      <c r="AE233" s="148"/>
      <c r="AF233" s="148"/>
    </row>
    <row r="234" spans="6:32">
      <c r="F234" s="151"/>
      <c r="K234" s="148"/>
      <c r="L234" s="148"/>
      <c r="P234" s="148"/>
      <c r="Q234" s="148"/>
      <c r="U234" s="148"/>
      <c r="V234" s="148"/>
      <c r="Z234" s="148"/>
      <c r="AA234" s="148"/>
      <c r="AE234" s="148"/>
      <c r="AF234" s="148"/>
    </row>
    <row r="235" spans="6:32">
      <c r="F235" s="151"/>
      <c r="K235" s="148"/>
      <c r="L235" s="148"/>
      <c r="P235" s="148"/>
      <c r="Q235" s="148"/>
      <c r="U235" s="148"/>
      <c r="V235" s="148"/>
      <c r="Z235" s="148"/>
      <c r="AA235" s="148"/>
      <c r="AE235" s="148"/>
      <c r="AF235" s="148"/>
    </row>
    <row r="236" spans="6:32">
      <c r="F236" s="151"/>
      <c r="K236" s="148"/>
      <c r="L236" s="148"/>
      <c r="P236" s="148"/>
      <c r="Q236" s="148"/>
      <c r="U236" s="148"/>
      <c r="V236" s="148"/>
      <c r="Z236" s="148"/>
      <c r="AA236" s="148"/>
      <c r="AE236" s="148"/>
      <c r="AF236" s="148"/>
    </row>
    <row r="237" spans="6:32">
      <c r="F237" s="151"/>
      <c r="K237" s="148"/>
      <c r="L237" s="148"/>
      <c r="P237" s="148"/>
      <c r="Q237" s="148"/>
      <c r="U237" s="148"/>
      <c r="V237" s="148"/>
      <c r="Z237" s="148"/>
      <c r="AA237" s="148"/>
      <c r="AE237" s="148"/>
      <c r="AF237" s="148"/>
    </row>
    <row r="238" spans="6:32">
      <c r="F238" s="151"/>
      <c r="K238" s="148"/>
      <c r="L238" s="148"/>
      <c r="P238" s="148"/>
      <c r="Q238" s="148"/>
      <c r="U238" s="148"/>
      <c r="V238" s="148"/>
      <c r="Z238" s="148"/>
      <c r="AA238" s="148"/>
      <c r="AE238" s="148"/>
      <c r="AF238" s="148"/>
    </row>
    <row r="239" spans="6:32">
      <c r="K239" s="157"/>
      <c r="L239" s="157"/>
      <c r="P239" s="157"/>
      <c r="Q239" s="157"/>
      <c r="U239" s="157"/>
      <c r="V239" s="157"/>
      <c r="Z239" s="157"/>
      <c r="AA239" s="157"/>
      <c r="AE239" s="157"/>
      <c r="AF239" s="157"/>
    </row>
    <row r="240" spans="6:32">
      <c r="F240" s="151"/>
      <c r="K240" s="148"/>
      <c r="L240" s="148"/>
      <c r="P240" s="148"/>
      <c r="Q240" s="148"/>
      <c r="U240" s="148"/>
      <c r="V240" s="148"/>
      <c r="Z240" s="148"/>
      <c r="AA240" s="148"/>
      <c r="AE240" s="148"/>
      <c r="AF240" s="148"/>
    </row>
    <row r="241" spans="6:32">
      <c r="F241" s="151"/>
      <c r="K241" s="148"/>
      <c r="L241" s="148"/>
      <c r="P241" s="148"/>
      <c r="Q241" s="148"/>
      <c r="U241" s="148"/>
      <c r="V241" s="148"/>
      <c r="Z241" s="148"/>
      <c r="AA241" s="148"/>
      <c r="AE241" s="148"/>
      <c r="AF241" s="148"/>
    </row>
    <row r="242" spans="6:32">
      <c r="F242" s="151"/>
      <c r="K242" s="148"/>
      <c r="L242" s="148"/>
      <c r="P242" s="148"/>
      <c r="Q242" s="148"/>
      <c r="U242" s="148"/>
      <c r="V242" s="148"/>
      <c r="Z242" s="148"/>
      <c r="AA242" s="148"/>
      <c r="AE242" s="148"/>
      <c r="AF242" s="148"/>
    </row>
    <row r="243" spans="6:32">
      <c r="K243" s="157"/>
      <c r="L243" s="157"/>
      <c r="P243" s="157"/>
      <c r="Q243" s="157"/>
      <c r="U243" s="157"/>
      <c r="V243" s="157"/>
      <c r="Z243" s="157"/>
      <c r="AA243" s="157"/>
      <c r="AE243" s="157"/>
      <c r="AF243" s="157"/>
    </row>
    <row r="244" spans="6:32">
      <c r="F244" s="151"/>
      <c r="K244" s="148"/>
      <c r="L244" s="148"/>
      <c r="P244" s="148"/>
      <c r="Q244" s="148"/>
      <c r="U244" s="148"/>
      <c r="V244" s="148"/>
      <c r="Z244" s="148"/>
      <c r="AA244" s="148"/>
      <c r="AE244" s="148"/>
      <c r="AF244" s="148"/>
    </row>
    <row r="245" spans="6:32">
      <c r="F245" s="151"/>
      <c r="K245" s="148"/>
      <c r="L245" s="148"/>
      <c r="P245" s="148"/>
      <c r="Q245" s="148"/>
      <c r="U245" s="148"/>
      <c r="V245" s="148"/>
      <c r="Z245" s="148"/>
      <c r="AA245" s="148"/>
      <c r="AE245" s="148"/>
      <c r="AF245" s="148"/>
    </row>
    <row r="246" spans="6:32">
      <c r="F246" s="151"/>
      <c r="K246" s="148"/>
      <c r="L246" s="148"/>
      <c r="P246" s="148"/>
      <c r="Q246" s="148"/>
      <c r="U246" s="148"/>
      <c r="V246" s="148"/>
      <c r="Z246" s="148"/>
      <c r="AA246" s="148"/>
      <c r="AE246" s="148"/>
      <c r="AF246" s="148"/>
    </row>
    <row r="247" spans="6:32">
      <c r="F247" s="151"/>
      <c r="K247" s="148"/>
      <c r="L247" s="148"/>
      <c r="P247" s="148"/>
      <c r="Q247" s="148"/>
      <c r="U247" s="148"/>
      <c r="V247" s="148"/>
      <c r="Z247" s="148"/>
      <c r="AA247" s="148"/>
      <c r="AE247" s="148"/>
      <c r="AF247" s="148"/>
    </row>
    <row r="248" spans="6:32">
      <c r="K248" s="157"/>
      <c r="L248" s="157"/>
      <c r="P248" s="157"/>
      <c r="Q248" s="157"/>
      <c r="U248" s="157"/>
      <c r="V248" s="157"/>
      <c r="Z248" s="157"/>
      <c r="AA248" s="157"/>
      <c r="AE248" s="157"/>
      <c r="AF248" s="157"/>
    </row>
    <row r="249" spans="6:32">
      <c r="F249" s="151"/>
      <c r="K249" s="148"/>
      <c r="L249" s="148"/>
      <c r="P249" s="148"/>
      <c r="Q249" s="148"/>
      <c r="U249" s="148"/>
      <c r="V249" s="148"/>
      <c r="Z249" s="148"/>
      <c r="AA249" s="148"/>
      <c r="AE249" s="148"/>
      <c r="AF249" s="148"/>
    </row>
    <row r="250" spans="6:32">
      <c r="F250" s="151"/>
      <c r="K250" s="148"/>
      <c r="L250" s="148"/>
      <c r="P250" s="148"/>
      <c r="Q250" s="148"/>
      <c r="U250" s="148"/>
      <c r="V250" s="148"/>
      <c r="Z250" s="148"/>
      <c r="AA250" s="148"/>
      <c r="AE250" s="148"/>
      <c r="AF250" s="148"/>
    </row>
    <row r="251" spans="6:32">
      <c r="F251" s="151"/>
      <c r="K251" s="148"/>
      <c r="L251" s="148"/>
      <c r="P251" s="148"/>
      <c r="Q251" s="148"/>
      <c r="U251" s="148"/>
      <c r="V251" s="148"/>
      <c r="Z251" s="148"/>
      <c r="AA251" s="148"/>
      <c r="AE251" s="148"/>
      <c r="AF251" s="148"/>
    </row>
    <row r="252" spans="6:32">
      <c r="K252" s="157"/>
      <c r="L252" s="157"/>
      <c r="P252" s="157"/>
      <c r="Q252" s="157"/>
      <c r="U252" s="157"/>
      <c r="V252" s="157"/>
      <c r="Z252" s="157"/>
      <c r="AA252" s="157"/>
      <c r="AE252" s="157"/>
      <c r="AF252" s="157"/>
    </row>
    <row r="253" spans="6:32">
      <c r="F253" s="151"/>
      <c r="K253" s="148"/>
      <c r="L253" s="148"/>
      <c r="P253" s="148"/>
      <c r="Q253" s="148"/>
      <c r="U253" s="148"/>
      <c r="V253" s="148"/>
      <c r="Z253" s="148"/>
      <c r="AA253" s="148"/>
      <c r="AE253" s="148"/>
      <c r="AF253" s="148"/>
    </row>
    <row r="254" spans="6:32">
      <c r="F254" s="151"/>
      <c r="K254" s="148"/>
      <c r="L254" s="148"/>
      <c r="P254" s="148"/>
      <c r="Q254" s="148"/>
      <c r="U254" s="148"/>
      <c r="V254" s="148"/>
      <c r="Z254" s="148"/>
      <c r="AA254" s="148"/>
      <c r="AE254" s="148"/>
      <c r="AF254" s="148"/>
    </row>
    <row r="255" spans="6:32">
      <c r="F255" s="151"/>
      <c r="K255" s="148"/>
      <c r="L255" s="148"/>
      <c r="P255" s="148"/>
      <c r="Q255" s="148"/>
      <c r="U255" s="148"/>
      <c r="V255" s="148"/>
      <c r="Z255" s="148"/>
      <c r="AA255" s="148"/>
      <c r="AE255" s="148"/>
      <c r="AF255" s="148"/>
    </row>
    <row r="256" spans="6:32">
      <c r="F256" s="151"/>
      <c r="K256" s="148"/>
      <c r="L256" s="148"/>
      <c r="P256" s="148"/>
      <c r="Q256" s="148"/>
      <c r="U256" s="148"/>
      <c r="V256" s="148"/>
      <c r="Z256" s="148"/>
      <c r="AA256" s="148"/>
      <c r="AE256" s="148"/>
      <c r="AF256" s="148"/>
    </row>
    <row r="257" spans="6:32">
      <c r="K257" s="157"/>
      <c r="L257" s="157"/>
      <c r="P257" s="157"/>
      <c r="Q257" s="157"/>
      <c r="U257" s="157"/>
      <c r="V257" s="157"/>
      <c r="Z257" s="157"/>
      <c r="AA257" s="157"/>
      <c r="AE257" s="157"/>
      <c r="AF257" s="157"/>
    </row>
    <row r="258" spans="6:32">
      <c r="F258" s="151"/>
      <c r="K258" s="148"/>
      <c r="L258" s="148"/>
      <c r="P258" s="148"/>
      <c r="Q258" s="148"/>
      <c r="U258" s="148"/>
      <c r="V258" s="148"/>
      <c r="Z258" s="148"/>
      <c r="AA258" s="148"/>
      <c r="AE258" s="148"/>
      <c r="AF258" s="148"/>
    </row>
    <row r="259" spans="6:32">
      <c r="F259" s="151"/>
      <c r="K259" s="148"/>
      <c r="L259" s="148"/>
      <c r="P259" s="148"/>
      <c r="Q259" s="148"/>
      <c r="U259" s="148"/>
      <c r="V259" s="148"/>
      <c r="Z259" s="148"/>
      <c r="AA259" s="148"/>
      <c r="AE259" s="148"/>
      <c r="AF259" s="148"/>
    </row>
    <row r="260" spans="6:32">
      <c r="F260" s="151"/>
      <c r="K260" s="148"/>
      <c r="L260" s="148"/>
      <c r="P260" s="148"/>
      <c r="Q260" s="148"/>
      <c r="U260" s="148"/>
      <c r="V260" s="148"/>
      <c r="Z260" s="148"/>
      <c r="AA260" s="148"/>
      <c r="AE260" s="148"/>
      <c r="AF260" s="148"/>
    </row>
    <row r="261" spans="6:32">
      <c r="K261" s="157"/>
      <c r="L261" s="157"/>
      <c r="P261" s="157"/>
      <c r="Q261" s="157"/>
      <c r="U261" s="157"/>
      <c r="V261" s="157"/>
      <c r="Z261" s="157"/>
      <c r="AA261" s="157"/>
      <c r="AE261" s="157"/>
      <c r="AF261" s="157"/>
    </row>
    <row r="262" spans="6:32">
      <c r="F262" s="151"/>
      <c r="K262" s="148"/>
      <c r="L262" s="148"/>
      <c r="P262" s="148"/>
      <c r="Q262" s="148"/>
      <c r="U262" s="148"/>
      <c r="V262" s="148"/>
      <c r="Z262" s="148"/>
      <c r="AA262" s="148"/>
      <c r="AE262" s="148"/>
      <c r="AF262" s="148"/>
    </row>
    <row r="263" spans="6:32">
      <c r="F263" s="151"/>
      <c r="K263" s="148"/>
      <c r="L263" s="148"/>
      <c r="P263" s="148"/>
      <c r="Q263" s="148"/>
      <c r="U263" s="148"/>
      <c r="V263" s="148"/>
      <c r="Z263" s="148"/>
      <c r="AA263" s="148"/>
      <c r="AE263" s="148"/>
      <c r="AF263" s="148"/>
    </row>
    <row r="264" spans="6:32">
      <c r="F264" s="151"/>
      <c r="K264" s="148"/>
      <c r="L264" s="148"/>
      <c r="P264" s="148"/>
      <c r="Q264" s="148"/>
      <c r="U264" s="148"/>
      <c r="V264" s="148"/>
      <c r="Z264" s="148"/>
      <c r="AA264" s="148"/>
      <c r="AE264" s="148"/>
      <c r="AF264" s="148"/>
    </row>
    <row r="265" spans="6:32">
      <c r="F265" s="151"/>
      <c r="K265" s="148"/>
      <c r="L265" s="148"/>
      <c r="P265" s="148"/>
      <c r="Q265" s="148"/>
      <c r="U265" s="148"/>
      <c r="V265" s="148"/>
      <c r="Z265" s="148"/>
      <c r="AA265" s="148"/>
      <c r="AE265" s="148"/>
      <c r="AF265" s="148"/>
    </row>
    <row r="266" spans="6:32">
      <c r="F266" s="151"/>
      <c r="K266" s="157"/>
      <c r="L266" s="157"/>
      <c r="P266" s="157"/>
      <c r="Q266" s="157"/>
      <c r="U266" s="157"/>
      <c r="V266" s="157"/>
      <c r="Z266" s="157"/>
      <c r="AA266" s="157"/>
      <c r="AE266" s="157"/>
      <c r="AF266" s="157"/>
    </row>
    <row r="267" spans="6:32">
      <c r="F267" s="151"/>
      <c r="K267" s="148"/>
      <c r="L267" s="148"/>
      <c r="P267" s="148"/>
      <c r="Q267" s="148"/>
      <c r="U267" s="148"/>
      <c r="V267" s="148"/>
      <c r="Z267" s="148"/>
      <c r="AA267" s="148"/>
      <c r="AE267" s="148"/>
      <c r="AF267" s="148"/>
    </row>
    <row r="268" spans="6:32">
      <c r="F268" s="151"/>
      <c r="K268" s="148"/>
      <c r="L268" s="148"/>
      <c r="P268" s="148"/>
      <c r="Q268" s="148"/>
      <c r="U268" s="148"/>
      <c r="V268" s="148"/>
      <c r="Z268" s="148"/>
      <c r="AA268" s="148"/>
      <c r="AE268" s="148"/>
      <c r="AF268" s="148"/>
    </row>
    <row r="269" spans="6:32">
      <c r="K269" s="157"/>
      <c r="L269" s="157"/>
      <c r="P269" s="157"/>
      <c r="Q269" s="157"/>
      <c r="U269" s="157"/>
      <c r="V269" s="157"/>
      <c r="Z269" s="157"/>
      <c r="AA269" s="157"/>
      <c r="AE269" s="157"/>
      <c r="AF269" s="157"/>
    </row>
    <row r="270" spans="6:32">
      <c r="K270" s="148"/>
      <c r="L270" s="148"/>
      <c r="P270" s="148"/>
      <c r="Q270" s="148"/>
      <c r="U270" s="148"/>
      <c r="V270" s="148"/>
      <c r="Z270" s="148"/>
      <c r="AA270" s="148"/>
      <c r="AE270" s="148"/>
      <c r="AF270" s="148"/>
    </row>
    <row r="271" spans="6:32">
      <c r="K271" s="148"/>
      <c r="L271" s="148"/>
      <c r="P271" s="148"/>
      <c r="Q271" s="148"/>
      <c r="U271" s="148"/>
      <c r="V271" s="148"/>
      <c r="Z271" s="148"/>
      <c r="AA271" s="148"/>
      <c r="AE271" s="148"/>
      <c r="AF271" s="148"/>
    </row>
    <row r="272" spans="6:32">
      <c r="K272" s="148"/>
      <c r="L272" s="148"/>
      <c r="P272" s="148"/>
      <c r="Q272" s="148"/>
      <c r="U272" s="148"/>
      <c r="V272" s="148"/>
      <c r="Z272" s="148"/>
      <c r="AA272" s="148"/>
      <c r="AE272" s="148"/>
      <c r="AF272" s="148"/>
    </row>
    <row r="273" spans="11:32">
      <c r="K273" s="148"/>
      <c r="L273" s="148"/>
      <c r="P273" s="148"/>
      <c r="Q273" s="148"/>
      <c r="U273" s="148"/>
      <c r="V273" s="148"/>
      <c r="Z273" s="148"/>
      <c r="AA273" s="148"/>
      <c r="AE273" s="148"/>
      <c r="AF273" s="148"/>
    </row>
    <row r="274" spans="11:32">
      <c r="K274" s="148"/>
      <c r="L274" s="148"/>
      <c r="P274" s="148"/>
      <c r="Q274" s="148"/>
      <c r="U274" s="148"/>
      <c r="V274" s="148"/>
      <c r="Z274" s="148"/>
      <c r="AA274" s="148"/>
      <c r="AE274" s="148"/>
      <c r="AF274" s="148"/>
    </row>
    <row r="275" spans="11:32">
      <c r="K275" s="148"/>
      <c r="L275" s="148"/>
      <c r="P275" s="148"/>
      <c r="Q275" s="148"/>
      <c r="U275" s="148"/>
      <c r="V275" s="148"/>
      <c r="Z275" s="148"/>
      <c r="AA275" s="148"/>
      <c r="AE275" s="148"/>
      <c r="AF275" s="148"/>
    </row>
    <row r="276" spans="11:32">
      <c r="K276" s="148"/>
      <c r="L276" s="148"/>
      <c r="P276" s="148"/>
      <c r="Q276" s="148"/>
      <c r="U276" s="148"/>
      <c r="V276" s="148"/>
      <c r="Z276" s="148"/>
      <c r="AA276" s="148"/>
      <c r="AE276" s="148"/>
      <c r="AF276" s="148"/>
    </row>
    <row r="277" spans="11:32">
      <c r="K277" s="148"/>
      <c r="L277" s="148"/>
      <c r="P277" s="148"/>
      <c r="Q277" s="148"/>
      <c r="U277" s="148"/>
      <c r="V277" s="148"/>
      <c r="Z277" s="148"/>
      <c r="AA277" s="148"/>
      <c r="AE277" s="148"/>
      <c r="AF277" s="148"/>
    </row>
    <row r="278" spans="11:32">
      <c r="K278" s="148"/>
      <c r="L278" s="148"/>
      <c r="P278" s="148"/>
      <c r="Q278" s="148"/>
      <c r="U278" s="148"/>
      <c r="V278" s="148"/>
      <c r="Z278" s="148"/>
      <c r="AA278" s="148"/>
      <c r="AE278" s="148"/>
      <c r="AF278" s="148"/>
    </row>
    <row r="279" spans="11:32">
      <c r="K279" s="148"/>
      <c r="L279" s="148"/>
      <c r="P279" s="148"/>
      <c r="Q279" s="148"/>
      <c r="U279" s="148"/>
      <c r="V279" s="148"/>
      <c r="Z279" s="148"/>
      <c r="AA279" s="148"/>
      <c r="AE279" s="148"/>
      <c r="AF279" s="148"/>
    </row>
    <row r="280" spans="11:32">
      <c r="K280" s="148"/>
      <c r="L280" s="148"/>
      <c r="P280" s="148"/>
      <c r="Q280" s="148"/>
      <c r="U280" s="148"/>
      <c r="V280" s="148"/>
      <c r="Z280" s="148"/>
      <c r="AA280" s="148"/>
      <c r="AE280" s="148"/>
      <c r="AF280" s="148"/>
    </row>
    <row r="281" spans="11:32">
      <c r="K281" s="148"/>
      <c r="L281" s="148"/>
      <c r="P281" s="148"/>
      <c r="Q281" s="148"/>
      <c r="U281" s="148"/>
      <c r="V281" s="148"/>
      <c r="Z281" s="148"/>
      <c r="AA281" s="148"/>
      <c r="AE281" s="148"/>
      <c r="AF281" s="148"/>
    </row>
    <row r="282" spans="11:32">
      <c r="K282" s="148"/>
      <c r="L282" s="148"/>
      <c r="P282" s="148"/>
      <c r="Q282" s="148"/>
      <c r="U282" s="148"/>
      <c r="V282" s="148"/>
      <c r="Z282" s="148"/>
      <c r="AA282" s="148"/>
      <c r="AE282" s="148"/>
      <c r="AF282" s="148"/>
    </row>
    <row r="283" spans="11:32">
      <c r="K283" s="148"/>
      <c r="L283" s="148"/>
      <c r="P283" s="148"/>
      <c r="Q283" s="148"/>
      <c r="U283" s="148"/>
      <c r="V283" s="148"/>
      <c r="Z283" s="148"/>
      <c r="AA283" s="148"/>
      <c r="AE283" s="148"/>
      <c r="AF283" s="148"/>
    </row>
    <row r="284" spans="11:32">
      <c r="K284" s="148"/>
      <c r="L284" s="148"/>
      <c r="P284" s="148"/>
      <c r="Q284" s="148"/>
      <c r="U284" s="148"/>
      <c r="V284" s="148"/>
      <c r="Z284" s="148"/>
      <c r="AA284" s="148"/>
      <c r="AE284" s="148"/>
      <c r="AF284" s="148"/>
    </row>
    <row r="285" spans="11:32">
      <c r="K285" s="148"/>
      <c r="L285" s="148"/>
      <c r="P285" s="148"/>
      <c r="Q285" s="148"/>
      <c r="U285" s="148"/>
      <c r="V285" s="148"/>
      <c r="Z285" s="148"/>
      <c r="AA285" s="148"/>
      <c r="AE285" s="148"/>
      <c r="AF285" s="148"/>
    </row>
    <row r="286" spans="11:32">
      <c r="K286" s="148"/>
      <c r="L286" s="148"/>
      <c r="P286" s="148"/>
      <c r="Q286" s="148"/>
      <c r="U286" s="148"/>
      <c r="V286" s="148"/>
      <c r="Z286" s="148"/>
      <c r="AA286" s="148"/>
      <c r="AE286" s="148"/>
      <c r="AF286" s="148"/>
    </row>
    <row r="287" spans="11:32">
      <c r="K287" s="148"/>
      <c r="L287" s="148"/>
      <c r="P287" s="148"/>
      <c r="Q287" s="148"/>
      <c r="U287" s="148"/>
      <c r="V287" s="148"/>
      <c r="Z287" s="148"/>
      <c r="AA287" s="148"/>
      <c r="AE287" s="148"/>
      <c r="AF287" s="148"/>
    </row>
    <row r="288" spans="11:32">
      <c r="K288" s="148"/>
      <c r="L288" s="148"/>
      <c r="P288" s="148"/>
      <c r="Q288" s="148"/>
      <c r="U288" s="148"/>
      <c r="V288" s="148"/>
      <c r="Z288" s="148"/>
      <c r="AA288" s="148"/>
      <c r="AE288" s="148"/>
      <c r="AF288" s="148"/>
    </row>
    <row r="289" spans="11:32">
      <c r="K289" s="148"/>
      <c r="L289" s="148"/>
      <c r="P289" s="148"/>
      <c r="Q289" s="148"/>
      <c r="U289" s="148"/>
      <c r="V289" s="148"/>
      <c r="Z289" s="148"/>
      <c r="AA289" s="148"/>
      <c r="AE289" s="148"/>
      <c r="AF289" s="148"/>
    </row>
    <row r="290" spans="11:32">
      <c r="K290" s="148"/>
      <c r="L290" s="148"/>
      <c r="P290" s="148"/>
      <c r="Q290" s="148"/>
      <c r="U290" s="148"/>
      <c r="V290" s="148"/>
      <c r="Z290" s="148"/>
      <c r="AA290" s="148"/>
      <c r="AE290" s="148"/>
      <c r="AF290" s="148"/>
    </row>
    <row r="291" spans="11:32">
      <c r="K291" s="148"/>
      <c r="L291" s="148"/>
      <c r="P291" s="148"/>
      <c r="Q291" s="148"/>
      <c r="U291" s="148"/>
      <c r="V291" s="148"/>
      <c r="Z291" s="148"/>
      <c r="AA291" s="148"/>
      <c r="AE291" s="148"/>
      <c r="AF291" s="148"/>
    </row>
    <row r="292" spans="11:32">
      <c r="K292" s="148"/>
      <c r="L292" s="148"/>
      <c r="P292" s="148"/>
      <c r="Q292" s="148"/>
      <c r="U292" s="148"/>
      <c r="V292" s="148"/>
      <c r="Z292" s="148"/>
      <c r="AA292" s="148"/>
      <c r="AE292" s="148"/>
      <c r="AF292" s="148"/>
    </row>
    <row r="293" spans="11:32">
      <c r="K293" s="148"/>
      <c r="L293" s="148"/>
      <c r="P293" s="148"/>
      <c r="Q293" s="148"/>
      <c r="U293" s="148"/>
      <c r="V293" s="148"/>
      <c r="Z293" s="148"/>
      <c r="AA293" s="148"/>
      <c r="AE293" s="148"/>
      <c r="AF293" s="148"/>
    </row>
    <row r="294" spans="11:32">
      <c r="K294" s="148"/>
      <c r="L294" s="148"/>
      <c r="P294" s="148"/>
      <c r="Q294" s="148"/>
      <c r="U294" s="148"/>
      <c r="V294" s="148"/>
      <c r="Z294" s="148"/>
      <c r="AA294" s="148"/>
      <c r="AE294" s="148"/>
      <c r="AF294" s="148"/>
    </row>
    <row r="295" spans="11:32">
      <c r="K295" s="148"/>
      <c r="L295" s="148"/>
      <c r="P295" s="148"/>
      <c r="Q295" s="148"/>
      <c r="U295" s="148"/>
      <c r="V295" s="148"/>
      <c r="Z295" s="148"/>
      <c r="AA295" s="148"/>
      <c r="AE295" s="148"/>
      <c r="AF295" s="148"/>
    </row>
    <row r="296" spans="11:32">
      <c r="K296" s="148"/>
      <c r="L296" s="148"/>
      <c r="P296" s="148"/>
      <c r="Q296" s="148"/>
      <c r="U296" s="148"/>
      <c r="V296" s="148"/>
      <c r="Z296" s="148"/>
      <c r="AA296" s="148"/>
      <c r="AE296" s="148"/>
      <c r="AF296" s="148"/>
    </row>
    <row r="297" spans="11:32">
      <c r="K297" s="148"/>
      <c r="L297" s="148"/>
      <c r="P297" s="148"/>
      <c r="Q297" s="148"/>
      <c r="U297" s="148"/>
      <c r="V297" s="148"/>
      <c r="Z297" s="148"/>
      <c r="AA297" s="148"/>
      <c r="AE297" s="148"/>
      <c r="AF297" s="148"/>
    </row>
    <row r="298" spans="11:32">
      <c r="K298" s="148"/>
      <c r="L298" s="148"/>
      <c r="P298" s="148"/>
      <c r="Q298" s="148"/>
      <c r="U298" s="148"/>
      <c r="V298" s="148"/>
      <c r="Z298" s="148"/>
      <c r="AA298" s="148"/>
      <c r="AE298" s="148"/>
      <c r="AF298" s="148"/>
    </row>
    <row r="299" spans="11:32">
      <c r="K299" s="148"/>
      <c r="L299" s="148"/>
      <c r="P299" s="148"/>
      <c r="Q299" s="148"/>
      <c r="U299" s="148"/>
      <c r="V299" s="148"/>
      <c r="Z299" s="148"/>
      <c r="AA299" s="148"/>
      <c r="AE299" s="148"/>
      <c r="AF299" s="148"/>
    </row>
    <row r="300" spans="11:32">
      <c r="K300" s="148"/>
      <c r="L300" s="148"/>
      <c r="P300" s="148"/>
      <c r="Q300" s="148"/>
      <c r="U300" s="148"/>
      <c r="V300" s="148"/>
      <c r="Z300" s="148"/>
      <c r="AA300" s="148"/>
      <c r="AE300" s="148"/>
      <c r="AF300" s="148"/>
    </row>
    <row r="301" spans="11:32">
      <c r="K301" s="148"/>
      <c r="L301" s="148"/>
      <c r="P301" s="148"/>
      <c r="Q301" s="148"/>
      <c r="U301" s="148"/>
      <c r="V301" s="148"/>
      <c r="Z301" s="148"/>
      <c r="AA301" s="148"/>
      <c r="AE301" s="148"/>
      <c r="AF301" s="148"/>
    </row>
    <row r="302" spans="11:32">
      <c r="K302" s="148"/>
      <c r="L302" s="148"/>
      <c r="P302" s="148"/>
      <c r="Q302" s="148"/>
      <c r="U302" s="148"/>
      <c r="V302" s="148"/>
      <c r="Z302" s="148"/>
      <c r="AA302" s="148"/>
      <c r="AE302" s="148"/>
      <c r="AF302" s="148"/>
    </row>
    <row r="303" spans="11:32">
      <c r="K303" s="148"/>
      <c r="L303" s="148"/>
      <c r="P303" s="148"/>
      <c r="Q303" s="148"/>
      <c r="U303" s="148"/>
      <c r="V303" s="148"/>
      <c r="Z303" s="148"/>
      <c r="AA303" s="148"/>
      <c r="AE303" s="148"/>
      <c r="AF303" s="148"/>
    </row>
    <row r="304" spans="11:32">
      <c r="K304" s="148"/>
      <c r="L304" s="148"/>
      <c r="P304" s="148"/>
      <c r="Q304" s="148"/>
      <c r="U304" s="148"/>
      <c r="V304" s="148"/>
      <c r="Z304" s="148"/>
      <c r="AA304" s="148"/>
      <c r="AE304" s="148"/>
      <c r="AF304" s="148"/>
    </row>
    <row r="305" spans="11:32">
      <c r="K305" s="148"/>
      <c r="L305" s="148"/>
      <c r="P305" s="148"/>
      <c r="Q305" s="148"/>
      <c r="U305" s="148"/>
      <c r="V305" s="148"/>
      <c r="Z305" s="148"/>
      <c r="AA305" s="148"/>
      <c r="AE305" s="148"/>
      <c r="AF305" s="148"/>
    </row>
    <row r="306" spans="11:32">
      <c r="K306" s="148"/>
      <c r="L306" s="148"/>
      <c r="P306" s="148"/>
      <c r="Q306" s="148"/>
      <c r="U306" s="148"/>
      <c r="V306" s="148"/>
      <c r="Z306" s="148"/>
      <c r="AA306" s="148"/>
      <c r="AE306" s="148"/>
      <c r="AF306" s="148"/>
    </row>
    <row r="307" spans="11:32">
      <c r="K307" s="148"/>
      <c r="L307" s="148"/>
      <c r="P307" s="148"/>
      <c r="Q307" s="148"/>
      <c r="U307" s="148"/>
      <c r="V307" s="148"/>
      <c r="Z307" s="148"/>
      <c r="AA307" s="148"/>
      <c r="AE307" s="148"/>
      <c r="AF307" s="148"/>
    </row>
    <row r="308" spans="11:32">
      <c r="K308" s="148"/>
      <c r="L308" s="148"/>
      <c r="P308" s="148"/>
      <c r="Q308" s="148"/>
      <c r="U308" s="148"/>
      <c r="V308" s="148"/>
      <c r="Z308" s="148"/>
      <c r="AA308" s="148"/>
      <c r="AE308" s="148"/>
      <c r="AF308" s="148"/>
    </row>
    <row r="309" spans="11:32">
      <c r="K309" s="148"/>
      <c r="L309" s="148"/>
      <c r="P309" s="148"/>
      <c r="Q309" s="148"/>
      <c r="U309" s="148"/>
      <c r="V309" s="148"/>
      <c r="Z309" s="148"/>
      <c r="AA309" s="148"/>
      <c r="AE309" s="148"/>
      <c r="AF309" s="148"/>
    </row>
    <row r="310" spans="11:32">
      <c r="K310" s="148"/>
      <c r="L310" s="148"/>
      <c r="P310" s="148"/>
      <c r="Q310" s="148"/>
      <c r="U310" s="148"/>
      <c r="V310" s="148"/>
      <c r="Z310" s="148"/>
      <c r="AA310" s="148"/>
      <c r="AE310" s="148"/>
      <c r="AF310" s="148"/>
    </row>
    <row r="311" spans="11:32">
      <c r="K311" s="148"/>
      <c r="L311" s="148"/>
      <c r="P311" s="148"/>
      <c r="Q311" s="148"/>
      <c r="U311" s="148"/>
      <c r="V311" s="148"/>
      <c r="Z311" s="148"/>
      <c r="AA311" s="148"/>
      <c r="AE311" s="148"/>
      <c r="AF311" s="148"/>
    </row>
    <row r="312" spans="11:32">
      <c r="K312" s="148"/>
      <c r="L312" s="148"/>
      <c r="P312" s="148"/>
      <c r="Q312" s="148"/>
      <c r="U312" s="148"/>
      <c r="V312" s="148"/>
      <c r="Z312" s="148"/>
      <c r="AA312" s="148"/>
      <c r="AE312" s="148"/>
      <c r="AF312" s="148"/>
    </row>
    <row r="313" spans="11:32">
      <c r="K313" s="148"/>
      <c r="L313" s="148"/>
      <c r="P313" s="148"/>
      <c r="Q313" s="148"/>
      <c r="U313" s="148"/>
      <c r="V313" s="148"/>
      <c r="Z313" s="148"/>
      <c r="AA313" s="148"/>
      <c r="AE313" s="148"/>
      <c r="AF313" s="148"/>
    </row>
    <row r="314" spans="11:32">
      <c r="K314" s="148"/>
      <c r="L314" s="148"/>
      <c r="P314" s="148"/>
      <c r="Q314" s="148"/>
      <c r="U314" s="148"/>
      <c r="V314" s="148"/>
      <c r="Z314" s="148"/>
      <c r="AA314" s="148"/>
      <c r="AE314" s="148"/>
      <c r="AF314" s="148"/>
    </row>
    <row r="315" spans="11:32">
      <c r="K315" s="148"/>
      <c r="L315" s="148"/>
      <c r="P315" s="148"/>
      <c r="Q315" s="148"/>
      <c r="U315" s="148"/>
      <c r="V315" s="148"/>
      <c r="Z315" s="148"/>
      <c r="AA315" s="148"/>
      <c r="AE315" s="148"/>
      <c r="AF315" s="148"/>
    </row>
    <row r="316" spans="11:32">
      <c r="K316" s="148"/>
      <c r="L316" s="148"/>
      <c r="P316" s="148"/>
      <c r="Q316" s="148"/>
      <c r="U316" s="148"/>
      <c r="V316" s="148"/>
      <c r="Z316" s="148"/>
      <c r="AA316" s="148"/>
      <c r="AE316" s="148"/>
      <c r="AF316" s="148"/>
    </row>
    <row r="317" spans="11:32">
      <c r="K317" s="148"/>
      <c r="L317" s="148"/>
      <c r="P317" s="148"/>
      <c r="Q317" s="148"/>
      <c r="U317" s="148"/>
      <c r="V317" s="148"/>
      <c r="Z317" s="148"/>
      <c r="AA317" s="148"/>
      <c r="AE317" s="148"/>
      <c r="AF317" s="148"/>
    </row>
    <row r="318" spans="11:32">
      <c r="K318" s="148"/>
      <c r="L318" s="148"/>
      <c r="P318" s="148"/>
      <c r="Q318" s="148"/>
      <c r="U318" s="148"/>
      <c r="V318" s="148"/>
      <c r="Z318" s="148"/>
      <c r="AA318" s="148"/>
      <c r="AE318" s="148"/>
      <c r="AF318" s="148"/>
    </row>
    <row r="319" spans="11:32">
      <c r="K319" s="148"/>
      <c r="L319" s="148"/>
      <c r="P319" s="148"/>
      <c r="Q319" s="148"/>
      <c r="U319" s="148"/>
      <c r="V319" s="148"/>
      <c r="Z319" s="148"/>
      <c r="AA319" s="148"/>
      <c r="AE319" s="148"/>
      <c r="AF319" s="148"/>
    </row>
    <row r="320" spans="11:32">
      <c r="K320" s="148"/>
      <c r="L320" s="148"/>
      <c r="P320" s="148"/>
      <c r="Q320" s="148"/>
      <c r="U320" s="148"/>
      <c r="V320" s="148"/>
      <c r="Z320" s="148"/>
      <c r="AA320" s="148"/>
      <c r="AE320" s="148"/>
      <c r="AF320" s="148"/>
    </row>
    <row r="321" spans="11:32">
      <c r="K321" s="148"/>
      <c r="L321" s="148"/>
      <c r="P321" s="148"/>
      <c r="Q321" s="148"/>
      <c r="U321" s="148"/>
      <c r="V321" s="148"/>
      <c r="Z321" s="148"/>
      <c r="AA321" s="148"/>
      <c r="AE321" s="148"/>
      <c r="AF321" s="148"/>
    </row>
    <row r="322" spans="11:32">
      <c r="K322" s="148"/>
      <c r="L322" s="148"/>
      <c r="P322" s="148"/>
      <c r="Q322" s="148"/>
      <c r="U322" s="148"/>
      <c r="V322" s="148"/>
      <c r="Z322" s="148"/>
      <c r="AA322" s="148"/>
      <c r="AE322" s="148"/>
      <c r="AF322" s="148"/>
    </row>
    <row r="323" spans="11:32">
      <c r="K323" s="148"/>
      <c r="L323" s="148"/>
      <c r="P323" s="148"/>
      <c r="Q323" s="148"/>
      <c r="U323" s="148"/>
      <c r="V323" s="148"/>
      <c r="Z323" s="148"/>
      <c r="AA323" s="148"/>
      <c r="AE323" s="148"/>
      <c r="AF323" s="148"/>
    </row>
    <row r="324" spans="11:32">
      <c r="K324" s="148"/>
      <c r="L324" s="148"/>
      <c r="P324" s="148"/>
      <c r="Q324" s="148"/>
      <c r="U324" s="148"/>
      <c r="V324" s="148"/>
      <c r="Z324" s="148"/>
      <c r="AA324" s="148"/>
      <c r="AE324" s="148"/>
      <c r="AF324" s="148"/>
    </row>
    <row r="325" spans="11:32">
      <c r="K325" s="148"/>
      <c r="L325" s="148"/>
      <c r="P325" s="148"/>
      <c r="Q325" s="148"/>
      <c r="U325" s="148"/>
      <c r="V325" s="148"/>
      <c r="Z325" s="148"/>
      <c r="AA325" s="148"/>
      <c r="AE325" s="148"/>
      <c r="AF325" s="148"/>
    </row>
    <row r="326" spans="11:32">
      <c r="K326" s="148"/>
      <c r="L326" s="148"/>
      <c r="P326" s="148"/>
      <c r="Q326" s="148"/>
      <c r="U326" s="148"/>
      <c r="V326" s="148"/>
      <c r="Z326" s="148"/>
      <c r="AA326" s="148"/>
      <c r="AE326" s="148"/>
      <c r="AF326" s="148"/>
    </row>
    <row r="327" spans="11:32">
      <c r="K327" s="148"/>
      <c r="L327" s="148"/>
      <c r="P327" s="148"/>
      <c r="Q327" s="148"/>
      <c r="U327" s="148"/>
      <c r="V327" s="148"/>
      <c r="Z327" s="148"/>
      <c r="AA327" s="148"/>
      <c r="AE327" s="148"/>
      <c r="AF327" s="148"/>
    </row>
    <row r="328" spans="11:32">
      <c r="K328" s="148"/>
      <c r="L328" s="148"/>
      <c r="P328" s="148"/>
      <c r="Q328" s="148"/>
      <c r="U328" s="148"/>
      <c r="V328" s="148"/>
      <c r="Z328" s="148"/>
      <c r="AA328" s="148"/>
      <c r="AE328" s="148"/>
      <c r="AF328" s="148"/>
    </row>
    <row r="329" spans="11:32">
      <c r="K329" s="148"/>
      <c r="L329" s="148"/>
      <c r="P329" s="148"/>
      <c r="Q329" s="148"/>
      <c r="U329" s="148"/>
      <c r="V329" s="148"/>
      <c r="Z329" s="148"/>
      <c r="AA329" s="148"/>
      <c r="AE329" s="148"/>
      <c r="AF329" s="148"/>
    </row>
    <row r="330" spans="11:32">
      <c r="K330" s="148"/>
      <c r="L330" s="148"/>
      <c r="P330" s="148"/>
      <c r="Q330" s="148"/>
      <c r="U330" s="148"/>
      <c r="V330" s="148"/>
      <c r="Z330" s="148"/>
      <c r="AA330" s="148"/>
      <c r="AE330" s="148"/>
      <c r="AF330" s="148"/>
    </row>
    <row r="331" spans="11:32">
      <c r="K331" s="148"/>
      <c r="L331" s="148"/>
      <c r="P331" s="148"/>
      <c r="Q331" s="148"/>
      <c r="U331" s="148"/>
      <c r="V331" s="148"/>
      <c r="Z331" s="148"/>
      <c r="AA331" s="148"/>
      <c r="AE331" s="148"/>
      <c r="AF331" s="148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D14" sqref="D14"/>
    </sheetView>
  </sheetViews>
  <sheetFormatPr defaultRowHeight="13.2"/>
  <cols>
    <col min="1" max="1" width="20.88671875" customWidth="1"/>
    <col min="2" max="2" width="12.33203125" bestFit="1" customWidth="1"/>
  </cols>
  <sheetData>
    <row r="1" spans="1:6">
      <c r="A1" s="17" t="s">
        <v>151</v>
      </c>
    </row>
    <row r="2" spans="1:6">
      <c r="A2" s="17"/>
    </row>
    <row r="3" spans="1:6">
      <c r="A3" s="33" t="s">
        <v>143</v>
      </c>
    </row>
    <row r="4" spans="1:6" s="20" customFormat="1" ht="13.8" thickBot="1">
      <c r="A4" s="32"/>
    </row>
    <row r="5" spans="1:6">
      <c r="A5" s="4"/>
      <c r="D5" t="s">
        <v>152</v>
      </c>
    </row>
    <row r="6" spans="1:6">
      <c r="A6" s="4" t="s">
        <v>153</v>
      </c>
      <c r="B6" s="24">
        <v>8.75</v>
      </c>
      <c r="D6" s="25">
        <v>0</v>
      </c>
      <c r="F6" t="s">
        <v>138</v>
      </c>
    </row>
    <row r="7" spans="1:6">
      <c r="A7" s="4" t="s">
        <v>52</v>
      </c>
      <c r="B7" s="42">
        <f>IF(D6=0,B6,(B6-(B6*0.07)))</f>
        <v>8.75</v>
      </c>
      <c r="D7" t="s">
        <v>179</v>
      </c>
    </row>
    <row r="8" spans="1:6">
      <c r="A8" s="4" t="s">
        <v>53</v>
      </c>
      <c r="B8" s="25">
        <v>13</v>
      </c>
      <c r="F8" t="s">
        <v>139</v>
      </c>
    </row>
    <row r="9" spans="1:6">
      <c r="A9" s="4" t="s">
        <v>54</v>
      </c>
      <c r="B9" s="2">
        <f>B7/(B7+B8)</f>
        <v>0.40229885057471265</v>
      </c>
      <c r="F9" t="s">
        <v>142</v>
      </c>
    </row>
    <row r="10" spans="1:6">
      <c r="A10" s="4" t="s">
        <v>55</v>
      </c>
      <c r="B10" s="41">
        <f>5+3.95*ATAN((100*B9-50)/15)</f>
        <v>2.7195964800350438</v>
      </c>
      <c r="F10" t="s">
        <v>43</v>
      </c>
    </row>
    <row r="11" spans="1:6">
      <c r="A11" s="4"/>
    </row>
    <row r="12" spans="1:6">
      <c r="A12" s="4" t="s">
        <v>49</v>
      </c>
      <c r="B12" s="25">
        <v>4</v>
      </c>
      <c r="F12" t="s">
        <v>140</v>
      </c>
    </row>
    <row r="13" spans="1:6">
      <c r="A13" s="4" t="s">
        <v>45</v>
      </c>
      <c r="B13" s="2">
        <f>(50+(15*TAN(((B12-5)/3.95))))/100</f>
        <v>0.46119266854984703</v>
      </c>
      <c r="F13" t="s">
        <v>44</v>
      </c>
    </row>
    <row r="14" spans="1:6">
      <c r="A14" s="4" t="s">
        <v>48</v>
      </c>
      <c r="B14" s="41">
        <f>(B13*B8)/(1-B13)</f>
        <v>11.127362864591381</v>
      </c>
      <c r="C14" s="1" t="s">
        <v>176</v>
      </c>
      <c r="D14" s="40" t="str">
        <f>VLOOKUP(FLOOR(B14,1), Parser!$T$5:'Parser'!$U$44,2, FALSE)</f>
        <v>gudabenådad</v>
      </c>
      <c r="E14" s="40"/>
      <c r="F14" t="s">
        <v>141</v>
      </c>
    </row>
    <row r="15" spans="1:6">
      <c r="A15" s="4"/>
      <c r="B15" s="39"/>
      <c r="D15" s="40" t="str">
        <f>VLOOKUP(FLOOR((FLOOR((B14-FLOOR(B14,1))*4,1)),1),Parser!$Q$9:'Parser'!$R$12,2,FALSE)</f>
        <v>mkt låg</v>
      </c>
      <c r="E15" s="40"/>
    </row>
    <row r="16" spans="1:6">
      <c r="A16" s="4"/>
    </row>
    <row r="17" spans="1:12" ht="66">
      <c r="A17" s="12" t="s">
        <v>47</v>
      </c>
      <c r="G17" s="35" t="s">
        <v>144</v>
      </c>
    </row>
    <row r="18" spans="1:12">
      <c r="A18" s="4"/>
      <c r="B18" s="4" t="s">
        <v>15</v>
      </c>
      <c r="C18" s="4" t="s">
        <v>14</v>
      </c>
      <c r="D18" s="4" t="s">
        <v>16</v>
      </c>
      <c r="E18" s="4" t="s">
        <v>57</v>
      </c>
      <c r="F18" s="4" t="s">
        <v>103</v>
      </c>
      <c r="G18" s="5" t="s">
        <v>58</v>
      </c>
      <c r="H18" s="4" t="s">
        <v>15</v>
      </c>
      <c r="I18" s="4" t="s">
        <v>14</v>
      </c>
      <c r="J18" s="4" t="s">
        <v>16</v>
      </c>
      <c r="K18" s="4" t="s">
        <v>57</v>
      </c>
      <c r="L18" s="4" t="s">
        <v>103</v>
      </c>
    </row>
    <row r="19" spans="1:12">
      <c r="A19" s="4" t="s">
        <v>56</v>
      </c>
      <c r="B19" s="8">
        <f>0.26*$B$10</f>
        <v>0.70709508480911143</v>
      </c>
      <c r="C19" s="8">
        <f>0.38*$B$10</f>
        <v>1.0334466624133167</v>
      </c>
      <c r="D19" s="8">
        <f>0.26*$B$10</f>
        <v>0.70709508480911143</v>
      </c>
      <c r="E19" s="43">
        <f>0.1*$B$10</f>
        <v>0.27195964800350442</v>
      </c>
      <c r="F19" s="8">
        <f>SUM(B19:E19)</f>
        <v>2.7195964800350443</v>
      </c>
      <c r="H19" s="8">
        <f>0.26*$B$12</f>
        <v>1.04</v>
      </c>
      <c r="I19" s="8">
        <f>0.38*$B$12</f>
        <v>1.52</v>
      </c>
      <c r="J19" s="8">
        <f>0.26*$B$12</f>
        <v>1.04</v>
      </c>
      <c r="K19" s="43">
        <f>0.1*$B$12</f>
        <v>0.4</v>
      </c>
      <c r="L19" s="8">
        <f>SUM(H19:K19)</f>
        <v>4</v>
      </c>
    </row>
    <row r="20" spans="1:12">
      <c r="A20" s="4" t="s">
        <v>8</v>
      </c>
      <c r="B20" s="8">
        <f>(0.26*$B$10)-($B$19*0.2)</f>
        <v>0.56567606784728919</v>
      </c>
      <c r="C20" s="8">
        <f>(0.38*$B$10)+($B$19*0.2)+($D$19*0.2)</f>
        <v>1.3162846963369614</v>
      </c>
      <c r="D20" s="8">
        <f>(0.26*$B$10)-($D$19*0.2)</f>
        <v>0.56567606784728919</v>
      </c>
      <c r="E20" s="8">
        <f t="shared" ref="E20:E25" si="0">0.1*$B$10</f>
        <v>0.27195964800350442</v>
      </c>
      <c r="F20" s="8">
        <f t="shared" ref="F20:F25" si="1">SUM(B20:E20)</f>
        <v>2.7195964800350443</v>
      </c>
      <c r="G20" s="7"/>
      <c r="H20" s="8">
        <f>(0.26*$B$12)-($H$19*0.2)</f>
        <v>0.83200000000000007</v>
      </c>
      <c r="I20" s="8">
        <f>(0.38*$B$12)+($H$19*0.2)+($J$19*0.2)</f>
        <v>1.9359999999999999</v>
      </c>
      <c r="J20" s="8">
        <f>(0.26*$B$12)-($J$19*0.2)</f>
        <v>0.83200000000000007</v>
      </c>
      <c r="K20" s="8">
        <f t="shared" ref="K20:K25" si="2">0.1*$B$12</f>
        <v>0.4</v>
      </c>
      <c r="L20" s="8">
        <f t="shared" ref="L20:L25" si="3">SUM(H20:K20)</f>
        <v>3.9999999999999996</v>
      </c>
    </row>
    <row r="21" spans="1:12">
      <c r="A21" s="4" t="s">
        <v>10</v>
      </c>
      <c r="B21" s="8">
        <f>(0.26*$B$10)-($B$19*0.3)</f>
        <v>0.49496655936637801</v>
      </c>
      <c r="C21" s="8">
        <f>(0.38*$B$10)+($B$19*0.3)+($D$19*0.3)</f>
        <v>1.4577037132987836</v>
      </c>
      <c r="D21" s="8">
        <f>(0.26*$B$10)-($D$19*0.3)</f>
        <v>0.49496655936637801</v>
      </c>
      <c r="E21" s="8">
        <f t="shared" si="0"/>
        <v>0.27195964800350442</v>
      </c>
      <c r="F21" s="8">
        <f t="shared" si="1"/>
        <v>2.7195964800350438</v>
      </c>
      <c r="G21" s="7"/>
      <c r="H21" s="8">
        <f>(0.26*$B$12)-($H$19*0.3)</f>
        <v>0.72799999999999998</v>
      </c>
      <c r="I21" s="8">
        <f>(0.38*$B$12)+($H$19*0.3)+($J$19*0.3)</f>
        <v>2.1440000000000001</v>
      </c>
      <c r="J21" s="8">
        <f>(0.26*$B$12)-($J$19*0.3)</f>
        <v>0.72799999999999998</v>
      </c>
      <c r="K21" s="8">
        <f t="shared" si="2"/>
        <v>0.4</v>
      </c>
      <c r="L21" s="8">
        <f t="shared" si="3"/>
        <v>3.9999999999999996</v>
      </c>
    </row>
    <row r="22" spans="1:12">
      <c r="A22" s="4" t="s">
        <v>9</v>
      </c>
      <c r="B22" s="8">
        <f>(0.26*$B$10)-($B$19*0.4)</f>
        <v>0.42425705088546684</v>
      </c>
      <c r="C22" s="8">
        <f>(0.38*$B$10)+($B$19*0.4)+($D$19*0.4)</f>
        <v>1.5991227302606061</v>
      </c>
      <c r="D22" s="8">
        <f>(0.26*$B$10)-($D$19*0.4)</f>
        <v>0.42425705088546684</v>
      </c>
      <c r="E22" s="8">
        <f t="shared" si="0"/>
        <v>0.27195964800350442</v>
      </c>
      <c r="F22" s="8">
        <f t="shared" si="1"/>
        <v>2.7195964800350443</v>
      </c>
      <c r="G22" s="7"/>
      <c r="H22" s="8">
        <f>(0.26*$B$12)-($H$19*0.4)</f>
        <v>0.624</v>
      </c>
      <c r="I22" s="8">
        <f>(0.38*$B$12)+($H$19*0.4)+($J$19*0.4)</f>
        <v>2.3519999999999999</v>
      </c>
      <c r="J22" s="8">
        <f>(0.26*$B$12)-($J$19*0.4)</f>
        <v>0.624</v>
      </c>
      <c r="K22" s="8">
        <f t="shared" si="2"/>
        <v>0.4</v>
      </c>
      <c r="L22" s="8">
        <f t="shared" si="3"/>
        <v>4</v>
      </c>
    </row>
    <row r="23" spans="1:12">
      <c r="A23" s="4" t="s">
        <v>11</v>
      </c>
      <c r="B23" s="8">
        <f>(0.26*$B$10)+($C$19*0.2/2)</f>
        <v>0.81043975105044308</v>
      </c>
      <c r="C23" s="8">
        <f>(0.38*$B$10)-($C$19*0.2)</f>
        <v>0.82675732993065343</v>
      </c>
      <c r="D23" s="8">
        <f>(0.26*$B$10)+(($C$19*0.2)/2)</f>
        <v>0.81043975105044308</v>
      </c>
      <c r="E23" s="8">
        <f t="shared" si="0"/>
        <v>0.27195964800350442</v>
      </c>
      <c r="F23" s="8">
        <f>SUM(B23:E23)</f>
        <v>2.7195964800350443</v>
      </c>
      <c r="G23" s="7"/>
      <c r="H23" s="8">
        <f>(0.26*$B$12)+($I$19*0.2/2)</f>
        <v>1.1920000000000002</v>
      </c>
      <c r="I23" s="8">
        <f>(0.38*$B$12)-($I$19*0.2)</f>
        <v>1.216</v>
      </c>
      <c r="J23" s="8">
        <f>(0.26*$B$12)+(($I$19*0.2)/2)</f>
        <v>1.1920000000000002</v>
      </c>
      <c r="K23" s="8">
        <f t="shared" si="2"/>
        <v>0.4</v>
      </c>
      <c r="L23" s="8">
        <f t="shared" si="3"/>
        <v>4.0000000000000009</v>
      </c>
    </row>
    <row r="24" spans="1:12">
      <c r="A24" s="4" t="s">
        <v>12</v>
      </c>
      <c r="B24" s="8">
        <f>(0.26*$B$10)+($C$19*0.3/2)</f>
        <v>0.86211208417110896</v>
      </c>
      <c r="C24" s="8">
        <f>(0.38*$B$10)-($C$19*0.3)</f>
        <v>0.72341266368932167</v>
      </c>
      <c r="D24" s="8">
        <f>(0.26*$B$10)+(($C$19*0.3)/2)</f>
        <v>0.86211208417110896</v>
      </c>
      <c r="E24" s="8">
        <f t="shared" si="0"/>
        <v>0.27195964800350442</v>
      </c>
      <c r="F24" s="8">
        <f t="shared" si="1"/>
        <v>2.7195964800350443</v>
      </c>
      <c r="G24" s="7"/>
      <c r="H24" s="8">
        <f>(0.26*$B$12)+($I$19*0.3/2)</f>
        <v>1.268</v>
      </c>
      <c r="I24" s="8">
        <f>(0.38*$B$12)-($I$19*0.3)</f>
        <v>1.0640000000000001</v>
      </c>
      <c r="J24" s="8">
        <f>(0.26*$B$12)+(($I$19*0.3)/2)</f>
        <v>1.268</v>
      </c>
      <c r="K24" s="8">
        <f t="shared" si="2"/>
        <v>0.4</v>
      </c>
      <c r="L24" s="8">
        <f t="shared" si="3"/>
        <v>3.9999999999999996</v>
      </c>
    </row>
    <row r="25" spans="1:12">
      <c r="A25" s="4" t="s">
        <v>13</v>
      </c>
      <c r="B25" s="8">
        <f>(0.26*$B$10)+($C$19*0.4/2)</f>
        <v>0.91378441729177484</v>
      </c>
      <c r="C25" s="8">
        <f>(0.38*$B$10)-($C$19*0.4)</f>
        <v>0.62006799744799002</v>
      </c>
      <c r="D25" s="8">
        <f>(0.26*$B$10)+(($C$19*0.4)/2)</f>
        <v>0.91378441729177484</v>
      </c>
      <c r="E25" s="8">
        <f t="shared" si="0"/>
        <v>0.27195964800350442</v>
      </c>
      <c r="F25" s="8">
        <f t="shared" si="1"/>
        <v>2.7195964800350443</v>
      </c>
      <c r="G25" s="7"/>
      <c r="H25" s="8">
        <f>(0.26*$B$12)+($I$19*0.4/2)</f>
        <v>1.3440000000000001</v>
      </c>
      <c r="I25" s="8">
        <f>(0.38*$B$12)-($I$19*0.4)</f>
        <v>0.91199999999999992</v>
      </c>
      <c r="J25" s="8">
        <f>(0.26*$B$12)+(($I$19*0.4)/2)</f>
        <v>1.3440000000000001</v>
      </c>
      <c r="K25" s="8">
        <f t="shared" si="2"/>
        <v>0.4</v>
      </c>
      <c r="L25" s="8">
        <f t="shared" si="3"/>
        <v>4.0000000000000009</v>
      </c>
    </row>
    <row r="26" spans="1:12">
      <c r="A26" s="4"/>
      <c r="E26" s="1"/>
    </row>
    <row r="27" spans="1:12">
      <c r="A27" s="4"/>
      <c r="B27" s="4" t="s">
        <v>15</v>
      </c>
      <c r="C27" s="4" t="s">
        <v>14</v>
      </c>
      <c r="D27" s="4" t="s">
        <v>16</v>
      </c>
      <c r="E27" s="1"/>
    </row>
    <row r="28" spans="1:12">
      <c r="A28" s="4" t="s">
        <v>20</v>
      </c>
      <c r="B28" s="26">
        <v>7.25</v>
      </c>
      <c r="C28" s="26">
        <v>6.75</v>
      </c>
      <c r="D28" s="26">
        <v>8.25</v>
      </c>
      <c r="E28" s="1"/>
    </row>
    <row r="29" spans="1:12">
      <c r="A29" s="4" t="s">
        <v>21</v>
      </c>
      <c r="B29" s="26">
        <v>7</v>
      </c>
      <c r="C29" s="26">
        <v>11</v>
      </c>
      <c r="D29" s="26">
        <v>7.25</v>
      </c>
      <c r="E29" s="1"/>
      <c r="J29" s="3" t="s">
        <v>29</v>
      </c>
      <c r="K29" s="3" t="s">
        <v>30</v>
      </c>
      <c r="L29" s="3" t="s">
        <v>31</v>
      </c>
    </row>
    <row r="30" spans="1:12">
      <c r="A30" s="4" t="s">
        <v>3</v>
      </c>
      <c r="B30" s="30">
        <f>1/(1+(POWER(B29, $J$30)/POWER(B28, $K$30)))</f>
        <v>0.53066636521819566</v>
      </c>
      <c r="C30" s="30">
        <f>1/(1+(POWER(C29, $J$30)/POWER(C28, $K$30)))</f>
        <v>0.15326300663555481</v>
      </c>
      <c r="D30" s="30">
        <f>1/(1+(POWER(D29, $J$30)/POWER(D28, $K$30)))</f>
        <v>0.61117193378128443</v>
      </c>
      <c r="E30" s="1"/>
      <c r="F30" t="s">
        <v>24</v>
      </c>
      <c r="H30" t="s">
        <v>25</v>
      </c>
      <c r="J30" s="1">
        <v>3.5</v>
      </c>
      <c r="K30" s="1">
        <v>3.5</v>
      </c>
      <c r="L30" s="1" t="s">
        <v>32</v>
      </c>
    </row>
    <row r="31" spans="1:12" s="6" customFormat="1">
      <c r="A31" s="4" t="s">
        <v>4</v>
      </c>
      <c r="B31" s="31">
        <f>1/(1+POWER((B29/B28),$J$31))</f>
        <v>0.53066636521819555</v>
      </c>
      <c r="C31" s="31">
        <f>1/(1+POWER((C29/C28),$J$31))</f>
        <v>0.15326300663555473</v>
      </c>
      <c r="D31" s="31">
        <f>1/(1+POWER((D29/D28),$J$31))</f>
        <v>0.61117193378128443</v>
      </c>
      <c r="E31" s="18"/>
      <c r="F31" s="6" t="s">
        <v>26</v>
      </c>
      <c r="H31" s="6" t="s">
        <v>27</v>
      </c>
      <c r="J31" s="18">
        <v>3.5</v>
      </c>
      <c r="K31" s="18" t="s">
        <v>32</v>
      </c>
      <c r="L31" s="18" t="s">
        <v>32</v>
      </c>
    </row>
    <row r="32" spans="1:12" s="6" customFormat="1">
      <c r="A32" s="4" t="s">
        <v>5</v>
      </c>
      <c r="B32" s="31">
        <f>1/(1+(($L$32*POWER(B29, $J$30))/POWER(B28, $K$30)))</f>
        <v>0.53066636521819566</v>
      </c>
      <c r="C32" s="31">
        <f>1/(1+(($L$32*POWER(C29, $J$30))/POWER(C28, $K$30)))</f>
        <v>0.15326300663555481</v>
      </c>
      <c r="D32" s="31">
        <f>1/(1+(($L$32*POWER(D29, $J$30))/POWER(D28, $K$30)))</f>
        <v>0.61117193378128443</v>
      </c>
      <c r="E32" s="18"/>
      <c r="F32" s="6" t="s">
        <v>28</v>
      </c>
      <c r="J32" s="18">
        <v>3.5</v>
      </c>
      <c r="K32" s="18">
        <v>3.5</v>
      </c>
      <c r="L32" s="18">
        <v>1</v>
      </c>
    </row>
    <row r="33" spans="1:14">
      <c r="A33" s="4"/>
      <c r="E33" s="1"/>
    </row>
    <row r="34" spans="1:14">
      <c r="A34" s="4"/>
      <c r="B34" s="4" t="s">
        <v>15</v>
      </c>
      <c r="C34" s="4" t="s">
        <v>14</v>
      </c>
      <c r="D34" s="4" t="s">
        <v>16</v>
      </c>
      <c r="E34" s="1"/>
    </row>
    <row r="35" spans="1:14">
      <c r="A35" s="4" t="s">
        <v>23</v>
      </c>
      <c r="B35" s="26">
        <v>4.75</v>
      </c>
      <c r="C35" s="26">
        <v>8.5</v>
      </c>
      <c r="D35" s="26">
        <v>8.25</v>
      </c>
      <c r="E35" s="1"/>
    </row>
    <row r="36" spans="1:14">
      <c r="A36" s="4" t="s">
        <v>22</v>
      </c>
      <c r="B36" s="26">
        <v>10.75</v>
      </c>
      <c r="C36" s="26">
        <v>10</v>
      </c>
      <c r="D36" s="26">
        <v>9.25</v>
      </c>
      <c r="E36" s="1"/>
      <c r="J36" s="3" t="s">
        <v>29</v>
      </c>
      <c r="K36" s="3" t="s">
        <v>30</v>
      </c>
      <c r="L36" s="3" t="s">
        <v>31</v>
      </c>
    </row>
    <row r="37" spans="1:14">
      <c r="A37" s="4" t="s">
        <v>3</v>
      </c>
      <c r="B37" s="30">
        <f>1/(1+(POWER(B36, $J$30)/POWER(B35, $K$30)))</f>
        <v>5.4235189246815058E-2</v>
      </c>
      <c r="C37" s="30">
        <f>1/(1+(POWER(C36, $J$30)/POWER(C35, $K$30)))</f>
        <v>0.3615100130799298</v>
      </c>
      <c r="D37" s="30">
        <f>1/(1+(POWER(D36, $J$30)/POWER(D35, $K$30)))</f>
        <v>0.40120753566688572</v>
      </c>
      <c r="E37" s="1"/>
      <c r="F37" t="s">
        <v>24</v>
      </c>
      <c r="H37" t="s">
        <v>25</v>
      </c>
      <c r="J37" s="1">
        <v>3.5</v>
      </c>
      <c r="K37" s="1">
        <v>3.5</v>
      </c>
      <c r="L37" s="1" t="s">
        <v>32</v>
      </c>
    </row>
    <row r="38" spans="1:14">
      <c r="A38" s="4" t="s">
        <v>4</v>
      </c>
      <c r="B38" s="30">
        <f>1/(1+POWER((B36/B35),$J$31))</f>
        <v>5.4235189246815016E-2</v>
      </c>
      <c r="C38" s="30">
        <f>1/(1+POWER((C36/C35),$J$31))</f>
        <v>0.36151001307992997</v>
      </c>
      <c r="D38" s="30">
        <f>1/(1+POWER((D36/D35),$J$31))</f>
        <v>0.40120753566688594</v>
      </c>
      <c r="E38" s="1"/>
      <c r="F38" t="s">
        <v>26</v>
      </c>
      <c r="H38" t="s">
        <v>27</v>
      </c>
      <c r="J38" s="1">
        <v>3.5</v>
      </c>
      <c r="K38" s="1" t="s">
        <v>32</v>
      </c>
      <c r="L38" s="1" t="s">
        <v>32</v>
      </c>
    </row>
    <row r="39" spans="1:14">
      <c r="A39" s="4" t="s">
        <v>5</v>
      </c>
      <c r="B39" s="30">
        <f>1/(1+($L$32*POWER(B36, $J$30)/POWER(B35, $K$30)))</f>
        <v>5.4235189246815058E-2</v>
      </c>
      <c r="C39" s="30">
        <f>1/(1+($L$32*POWER(C36, $J$30)/POWER(C35, $K$30)))</f>
        <v>0.3615100130799298</v>
      </c>
      <c r="D39" s="30">
        <f>1/(1+($L$32*POWER(D36, $J$30)/POWER(D35, $K$30)))</f>
        <v>0.40120753566688572</v>
      </c>
      <c r="E39" s="1"/>
      <c r="F39" t="s">
        <v>28</v>
      </c>
      <c r="J39" s="1">
        <v>3.5</v>
      </c>
      <c r="K39" s="1">
        <v>3.5</v>
      </c>
      <c r="L39" s="1">
        <v>1</v>
      </c>
    </row>
    <row r="40" spans="1:14" s="20" customFormat="1" ht="13.8" thickBot="1">
      <c r="B40" s="21"/>
      <c r="C40" s="21"/>
      <c r="D40" s="21"/>
      <c r="E40" s="21"/>
    </row>
    <row r="41" spans="1:14" s="22" customFormat="1">
      <c r="B41" s="23"/>
      <c r="C41" s="23"/>
      <c r="D41" s="23"/>
      <c r="E41" s="23"/>
    </row>
    <row r="42" spans="1:14" s="22" customFormat="1">
      <c r="A42" s="36" t="s">
        <v>145</v>
      </c>
      <c r="B42" s="37"/>
      <c r="C42" s="37"/>
      <c r="D42" s="37"/>
      <c r="E42" s="37"/>
      <c r="F42" s="36"/>
      <c r="G42" s="36" t="s">
        <v>146</v>
      </c>
    </row>
    <row r="43" spans="1:14" s="22" customFormat="1">
      <c r="A43" s="36"/>
      <c r="B43" s="37"/>
      <c r="C43" s="37"/>
      <c r="D43" s="37"/>
      <c r="E43" s="37"/>
      <c r="F43" s="36"/>
      <c r="G43" s="36"/>
    </row>
    <row r="44" spans="1:14">
      <c r="B44" s="4" t="s">
        <v>15</v>
      </c>
      <c r="C44" s="4" t="s">
        <v>14</v>
      </c>
      <c r="D44" s="4" t="s">
        <v>16</v>
      </c>
      <c r="E44" s="4" t="s">
        <v>57</v>
      </c>
      <c r="F44" s="4" t="s">
        <v>103</v>
      </c>
      <c r="H44" s="4" t="s">
        <v>15</v>
      </c>
      <c r="I44" s="4" t="s">
        <v>14</v>
      </c>
      <c r="J44" s="4" t="s">
        <v>16</v>
      </c>
      <c r="K44" s="4" t="s">
        <v>57</v>
      </c>
      <c r="L44" s="3" t="s">
        <v>103</v>
      </c>
    </row>
    <row r="45" spans="1:14">
      <c r="A45" s="4" t="s">
        <v>105</v>
      </c>
      <c r="B45" s="8">
        <f>0.26*(10-$B$10)</f>
        <v>1.8929049151908888</v>
      </c>
      <c r="C45" s="8">
        <f>0.38*(10-$B$10)</f>
        <v>2.7665533375866835</v>
      </c>
      <c r="D45" s="8">
        <f>0.26*(10-$B$10)</f>
        <v>1.8929049151908888</v>
      </c>
      <c r="E45" s="43">
        <f>0.1*(10-$B$10)</f>
        <v>0.72804035199649564</v>
      </c>
      <c r="F45" s="8">
        <f>SUM(B45:E45)</f>
        <v>7.280403519964957</v>
      </c>
      <c r="H45" s="8">
        <f>0.26*(10-$B$12)</f>
        <v>1.56</v>
      </c>
      <c r="I45" s="8">
        <f>0.38*(10-$B$12)</f>
        <v>2.2800000000000002</v>
      </c>
      <c r="J45" s="8">
        <f>0.26*(10-$B$12)</f>
        <v>1.56</v>
      </c>
      <c r="K45" s="43">
        <f>0.1*(10-$B$12)</f>
        <v>0.60000000000000009</v>
      </c>
      <c r="L45" s="8">
        <f>SUM(H45:K45)</f>
        <v>6</v>
      </c>
    </row>
    <row r="46" spans="1:14">
      <c r="A46" s="4" t="s">
        <v>106</v>
      </c>
      <c r="B46" s="8">
        <f>B45*B37</f>
        <v>0.10266205630160426</v>
      </c>
      <c r="C46" s="8">
        <f>C45*C37</f>
        <v>1.0001367332572855</v>
      </c>
      <c r="D46" s="8">
        <f>D45*D37</f>
        <v>0.75944771627547181</v>
      </c>
      <c r="E46" s="38"/>
      <c r="F46" s="34">
        <f>SUM(B46:D46)</f>
        <v>1.8622465058343616</v>
      </c>
      <c r="H46" s="8">
        <f>H45*B37</f>
        <v>8.4606895225031495E-2</v>
      </c>
      <c r="I46" s="8">
        <f>I45*C37</f>
        <v>0.82424282982224006</v>
      </c>
      <c r="J46" s="8">
        <f>J45*D37</f>
        <v>0.62588375564034171</v>
      </c>
      <c r="K46" s="8"/>
      <c r="L46" s="34">
        <f>SUM(H46:J46)</f>
        <v>1.5347334806876134</v>
      </c>
      <c r="N46" s="17" t="s">
        <v>148</v>
      </c>
    </row>
    <row r="47" spans="1:14">
      <c r="A47" s="4" t="s">
        <v>6</v>
      </c>
      <c r="B47" s="8">
        <f>B37*((0.26*(10-$B$10))-((0.26*(10-$B$10))*0.3))</f>
        <v>7.1863439411122984E-2</v>
      </c>
      <c r="C47" s="8">
        <f>C37*((0.38*(10-$B$10))+((0.38*(10-$B$10))*0.3))</f>
        <v>1.3001777532344712</v>
      </c>
      <c r="D47" s="8">
        <f>D37*((0.26*(10-$B$10))-((0.26*(10-$B$10))*0.3))</f>
        <v>0.53161340139283031</v>
      </c>
      <c r="E47" s="38"/>
      <c r="F47" s="34">
        <f>SUM(B47:D47)</f>
        <v>1.9036545940384246</v>
      </c>
      <c r="H47" s="8">
        <f>B37*((0.26*(10-$B$12))-((0.26*(10-$B$12))*0.3))</f>
        <v>5.9224826657522045E-2</v>
      </c>
      <c r="I47" s="8">
        <f>C37*((0.38*(10-$B$12))+((0.38*(10-$B$12))*0.3))</f>
        <v>1.0715156787689122</v>
      </c>
      <c r="J47" s="8">
        <f>D37*((0.26*(10-$B$12))-((0.26*(10-$B$12))*0.3))</f>
        <v>0.43811862894823922</v>
      </c>
      <c r="K47" s="8"/>
      <c r="L47" s="34">
        <f>SUM(H47:J47)</f>
        <v>1.5688591343746736</v>
      </c>
      <c r="N47" s="17" t="s">
        <v>177</v>
      </c>
    </row>
    <row r="48" spans="1:14">
      <c r="A48" s="4" t="s">
        <v>7</v>
      </c>
      <c r="B48" s="8">
        <f>B37*((0.26*(10-$B$10))+((0.26*(10-$B$10))*0.3))</f>
        <v>0.13346067319208554</v>
      </c>
      <c r="C48" s="8">
        <f>C37*((0.38*(10-$B$10))-((0.38*(10-$B$10))*0.3))</f>
        <v>0.70009571328009979</v>
      </c>
      <c r="D48" s="8">
        <f>D37*((0.26*(10-$B$10))+((0.26*(10-$B$10))*0.3))</f>
        <v>0.98728203115811342</v>
      </c>
      <c r="E48" s="38"/>
      <c r="F48" s="34">
        <f>SUM(B48:D48)</f>
        <v>1.8208384176302987</v>
      </c>
      <c r="H48" s="8">
        <f>B38*((0.26*(10-$B$12))+((0.26*(10-$B$12))*0.3))</f>
        <v>0.10998896379254085</v>
      </c>
      <c r="I48" s="8">
        <f>C38*((0.38*(10-$B$12))-((0.38*(10-$B$12))*0.3))</f>
        <v>0.57696998087556828</v>
      </c>
      <c r="J48" s="8">
        <f>D38*((0.26*(10-$B$12)+((0.26*(10-$B$12))*0.3)))</f>
        <v>0.8136488823324447</v>
      </c>
      <c r="K48" s="8"/>
      <c r="L48" s="34">
        <f>SUM(H48:J48)</f>
        <v>1.5006078270005538</v>
      </c>
      <c r="N48" s="17" t="s">
        <v>178</v>
      </c>
    </row>
    <row r="49" spans="1:14">
      <c r="H49" s="8"/>
      <c r="I49" s="8"/>
      <c r="J49" s="8"/>
      <c r="K49" s="19"/>
      <c r="L49" s="8"/>
      <c r="N49" s="17"/>
    </row>
    <row r="50" spans="1:14">
      <c r="A50" s="4" t="s">
        <v>107</v>
      </c>
      <c r="B50" s="8">
        <f>B19*B30</f>
        <v>0.37523157851930294</v>
      </c>
      <c r="C50" s="8">
        <f>C19*C30</f>
        <v>0.15838914267894413</v>
      </c>
      <c r="D50" s="8">
        <f>D19*D30</f>
        <v>0.43215667035002597</v>
      </c>
      <c r="E50" s="38"/>
      <c r="F50" s="34">
        <f>SUM(B50:D50)</f>
        <v>0.96577739154827302</v>
      </c>
      <c r="G50" s="4" t="s">
        <v>104</v>
      </c>
      <c r="H50" s="8">
        <f>H19*B30</f>
        <v>0.55189301982692351</v>
      </c>
      <c r="I50" s="8">
        <f>I19*C30</f>
        <v>0.23295977008604332</v>
      </c>
      <c r="J50" s="8">
        <f>J19*D30</f>
        <v>0.63561881113253582</v>
      </c>
      <c r="K50" s="8"/>
      <c r="L50" s="34">
        <f>SUM(H50:J50)</f>
        <v>1.4204716010455027</v>
      </c>
      <c r="N50" s="17" t="s">
        <v>147</v>
      </c>
    </row>
    <row r="51" spans="1:14">
      <c r="A51" s="4" t="s">
        <v>6</v>
      </c>
      <c r="B51" s="8">
        <f>B21*B30</f>
        <v>0.26266210496351206</v>
      </c>
      <c r="C51" s="8">
        <f>C21*C30</f>
        <v>0.22341205388398436</v>
      </c>
      <c r="D51" s="8">
        <f>D21*D30</f>
        <v>0.30250966924501815</v>
      </c>
      <c r="E51" s="38"/>
      <c r="F51" s="34">
        <f>SUM(B51:D51)</f>
        <v>0.78858382809251459</v>
      </c>
      <c r="G51" s="4" t="s">
        <v>6</v>
      </c>
      <c r="H51" s="8">
        <f>H21*B30</f>
        <v>0.38632511387884644</v>
      </c>
      <c r="I51" s="8">
        <f>I21*C30</f>
        <v>0.32859588622662955</v>
      </c>
      <c r="J51" s="8">
        <f>J21*D30</f>
        <v>0.44493316779277503</v>
      </c>
      <c r="K51" s="8"/>
      <c r="L51" s="34">
        <f>SUM(H51:J51)</f>
        <v>1.159854167898251</v>
      </c>
      <c r="N51" s="17" t="s">
        <v>149</v>
      </c>
    </row>
    <row r="52" spans="1:14">
      <c r="A52" s="4" t="s">
        <v>7</v>
      </c>
      <c r="B52" s="8">
        <f>B24*B30</f>
        <v>0.45749388611776554</v>
      </c>
      <c r="C52" s="8">
        <f>C24*C30</f>
        <v>0.11087239987526089</v>
      </c>
      <c r="D52" s="8">
        <f>D24*D30</f>
        <v>0.52689870961907015</v>
      </c>
      <c r="E52" s="38"/>
      <c r="F52" s="34">
        <f>SUM(B52:D52)</f>
        <v>1.0952649956120966</v>
      </c>
      <c r="G52" s="4" t="s">
        <v>7</v>
      </c>
      <c r="H52" s="8">
        <f>H24*B30</f>
        <v>0.67288495109667212</v>
      </c>
      <c r="I52" s="8">
        <f>I24*C30</f>
        <v>0.16307183906023032</v>
      </c>
      <c r="J52" s="8">
        <f>J24*D30</f>
        <v>0.77496601203466864</v>
      </c>
      <c r="K52" s="8"/>
      <c r="L52" s="34">
        <f>SUM(H52:J52)</f>
        <v>1.6109228021915711</v>
      </c>
      <c r="N52" s="17" t="s">
        <v>150</v>
      </c>
    </row>
    <row r="53" spans="1:14">
      <c r="H53" s="8"/>
      <c r="I53" s="8"/>
      <c r="J53" s="8"/>
      <c r="K53" s="8"/>
      <c r="L53" s="8"/>
    </row>
    <row r="54" spans="1:14">
      <c r="B54" s="8"/>
      <c r="F54" s="8"/>
      <c r="H54" s="1"/>
      <c r="I54" s="1"/>
      <c r="J54" s="1"/>
      <c r="K54" s="1"/>
      <c r="L54" s="1"/>
    </row>
    <row r="58" spans="1:14">
      <c r="B58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9"/>
  <sheetViews>
    <sheetView zoomScale="85" workbookViewId="0">
      <selection activeCell="O7" sqref="O7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0.44140625" customWidth="1"/>
    <col min="17" max="17" width="14.88671875" customWidth="1"/>
    <col min="18" max="18" width="19" customWidth="1"/>
    <col min="19" max="19" width="7.6640625" bestFit="1" customWidth="1"/>
    <col min="20" max="20" width="12.33203125" bestFit="1" customWidth="1"/>
    <col min="21" max="21" width="7.6640625" bestFit="1" customWidth="1"/>
    <col min="22" max="22" width="13.88671875" bestFit="1" customWidth="1"/>
    <col min="23" max="23" width="13.44140625" bestFit="1" customWidth="1"/>
    <col min="24" max="24" width="12.33203125" bestFit="1" customWidth="1"/>
  </cols>
  <sheetData>
    <row r="1" spans="1:24">
      <c r="A1" s="17" t="s">
        <v>151</v>
      </c>
    </row>
    <row r="2" spans="1:24">
      <c r="A2" s="17" t="s">
        <v>267</v>
      </c>
      <c r="B2" t="s">
        <v>432</v>
      </c>
    </row>
    <row r="3" spans="1:24">
      <c r="A3" s="33" t="s">
        <v>143</v>
      </c>
    </row>
    <row r="4" spans="1:24" s="20" customFormat="1" ht="13.8" thickBot="1">
      <c r="A4" s="32"/>
    </row>
    <row r="5" spans="1:24">
      <c r="A5" s="4"/>
      <c r="D5" s="4"/>
      <c r="N5" s="4" t="s">
        <v>192</v>
      </c>
    </row>
    <row r="6" spans="1:24">
      <c r="A6" s="4" t="str">
        <f>CONCATENATE("Midfield ",B2)</f>
        <v>Midfield Absint</v>
      </c>
      <c r="B6" s="25">
        <v>8.36</v>
      </c>
      <c r="D6" s="87"/>
      <c r="F6" t="s">
        <v>138</v>
      </c>
      <c r="O6" s="4" t="s">
        <v>433</v>
      </c>
      <c r="P6" s="4" t="s">
        <v>432</v>
      </c>
      <c r="Q6" s="4" t="s">
        <v>272</v>
      </c>
      <c r="R6" s="4" t="str">
        <f>O6</f>
        <v>Nord</v>
      </c>
      <c r="T6" s="4" t="str">
        <f>P6</f>
        <v>Absint</v>
      </c>
      <c r="V6" s="4" t="s">
        <v>273</v>
      </c>
      <c r="W6" s="3" t="str">
        <f>O6</f>
        <v>Nord</v>
      </c>
      <c r="X6" s="3" t="str">
        <f>P6</f>
        <v>Absint</v>
      </c>
    </row>
    <row r="7" spans="1:24">
      <c r="A7" s="4" t="s">
        <v>152</v>
      </c>
      <c r="B7" s="88" t="s">
        <v>270</v>
      </c>
      <c r="D7" s="87"/>
      <c r="F7" t="s">
        <v>269</v>
      </c>
      <c r="N7" t="s">
        <v>249</v>
      </c>
      <c r="O7" t="s">
        <v>250</v>
      </c>
      <c r="P7" t="s">
        <v>251</v>
      </c>
      <c r="Q7" t="s">
        <v>249</v>
      </c>
      <c r="R7" t="str">
        <f t="shared" ref="R7:R13" si="0">LEFT(O7,FIND(" ",O7)-1)</f>
        <v>gudabenådad</v>
      </c>
      <c r="S7" t="str">
        <f t="shared" ref="S7:S13" si="1">MID(O7,LEN(R7)+3,LEN(O7)-LEN(R7)-3)</f>
        <v>mkt hög</v>
      </c>
      <c r="T7" t="str">
        <f t="shared" ref="T7:T13" si="2">LEFT(P7,FIND(" ",P7)-1)</f>
        <v>ypperlig</v>
      </c>
      <c r="U7" t="str">
        <f t="shared" ref="U7:U13" si="3">MID(P7,LEN(T7)+3,LEN(P7)-LEN(T7)-3)</f>
        <v>hög</v>
      </c>
      <c r="V7" t="s">
        <v>249</v>
      </c>
      <c r="W7" s="1">
        <f>VLOOKUP(R7,Parser!$N$5:'Parser'!$O$24,2,FALSE)+VLOOKUP(TRIM(S7),Parser!$R$14:'Parser'!$S$17,2,FALSE)</f>
        <v>11.75</v>
      </c>
      <c r="X7" s="1">
        <f>VLOOKUP(T7,Parser!$N$5:'Parser'!$O$24,2,FALSE)+VLOOKUP(TRIM(U7),Parser!$R$14:'Parser'!$S$17,2,FALSE)</f>
        <v>6.5</v>
      </c>
    </row>
    <row r="8" spans="1:24">
      <c r="A8" s="6" t="s">
        <v>268</v>
      </c>
      <c r="B8" s="42">
        <f>IF(OR(B7="Ja",B7="JA",B7="ja"),(B6*0.93),B6)</f>
        <v>8.36</v>
      </c>
      <c r="F8" t="s">
        <v>271</v>
      </c>
      <c r="N8" t="s">
        <v>252</v>
      </c>
      <c r="O8" t="s">
        <v>253</v>
      </c>
      <c r="P8" t="s">
        <v>250</v>
      </c>
      <c r="Q8" t="s">
        <v>252</v>
      </c>
      <c r="R8" t="str">
        <f t="shared" si="0"/>
        <v>ypperlig</v>
      </c>
      <c r="S8" t="str">
        <f t="shared" si="1"/>
        <v>mkt hög</v>
      </c>
      <c r="T8" t="str">
        <f t="shared" si="2"/>
        <v>gudabenådad</v>
      </c>
      <c r="U8" t="str">
        <f t="shared" si="3"/>
        <v>mkt hög</v>
      </c>
      <c r="V8" t="s">
        <v>252</v>
      </c>
      <c r="W8" s="1">
        <f>VLOOKUP(R8,Parser!$N$5:'Parser'!$O$24,2,FALSE)+VLOOKUP(TRIM(S8),Parser!$R$14:'Parser'!$S$17,2,FALSE)</f>
        <v>6.75</v>
      </c>
      <c r="X8" s="1">
        <f>VLOOKUP(T8,Parser!$N$5:'Parser'!$O$24,2,FALSE)+VLOOKUP(TRIM(U8),Parser!$R$14:'Parser'!$S$17,2,FALSE)</f>
        <v>11.75</v>
      </c>
    </row>
    <row r="9" spans="1:24">
      <c r="A9" s="4" t="str">
        <f>IF(O6=B2,CONCATENATE("Midfield ",P6),CONCATENATE("Midfield ",O6))</f>
        <v>Midfield Nord</v>
      </c>
      <c r="B9" s="25">
        <v>12.62</v>
      </c>
      <c r="F9" t="s">
        <v>139</v>
      </c>
      <c r="N9" t="s">
        <v>254</v>
      </c>
      <c r="O9" t="s">
        <v>255</v>
      </c>
      <c r="P9" t="s">
        <v>256</v>
      </c>
      <c r="Q9" t="s">
        <v>254</v>
      </c>
      <c r="R9" t="str">
        <f t="shared" si="0"/>
        <v>gudabenådad</v>
      </c>
      <c r="S9" t="str">
        <f t="shared" si="1"/>
        <v>låg</v>
      </c>
      <c r="T9" t="str">
        <f t="shared" si="2"/>
        <v>oförglömlig</v>
      </c>
      <c r="U9" t="str">
        <f t="shared" si="3"/>
        <v>låg</v>
      </c>
      <c r="V9" t="s">
        <v>254</v>
      </c>
      <c r="W9" s="1">
        <f>VLOOKUP(R9,Parser!$N$5:'Parser'!$O$24,2,FALSE)+VLOOKUP(TRIM(S9),Parser!$R$14:'Parser'!$S$17,2,FALSE)</f>
        <v>11.25</v>
      </c>
      <c r="X9" s="1">
        <f>VLOOKUP(T9,Parser!$N$5:'Parser'!$O$24,2,FALSE)+VLOOKUP(TRIM(U9),Parser!$R$14:'Parser'!$S$17,2,FALSE)</f>
        <v>13.25</v>
      </c>
    </row>
    <row r="10" spans="1:24">
      <c r="A10" s="6" t="s">
        <v>54</v>
      </c>
      <c r="B10" s="2">
        <f>B8/(B8+B9)</f>
        <v>0.39847473784556725</v>
      </c>
      <c r="F10" t="s">
        <v>142</v>
      </c>
      <c r="N10" t="s">
        <v>257</v>
      </c>
      <c r="O10" t="s">
        <v>258</v>
      </c>
      <c r="P10" t="s">
        <v>259</v>
      </c>
      <c r="Q10" t="s">
        <v>257</v>
      </c>
      <c r="R10" t="str">
        <f t="shared" si="0"/>
        <v>unik</v>
      </c>
      <c r="S10" t="str">
        <f t="shared" si="1"/>
        <v>hög</v>
      </c>
      <c r="T10" t="str">
        <f t="shared" si="2"/>
        <v>övernaturlig</v>
      </c>
      <c r="U10" t="str">
        <f t="shared" si="3"/>
        <v>låg</v>
      </c>
      <c r="V10" t="s">
        <v>257</v>
      </c>
      <c r="W10" s="1">
        <f>VLOOKUP(R10,Parser!$N$5:'Parser'!$O$24,2,FALSE)+VLOOKUP(TRIM(S10),Parser!$R$14:'Parser'!$S$17,2,FALSE)</f>
        <v>9.5</v>
      </c>
      <c r="X10" s="1">
        <f>VLOOKUP(T10,Parser!$N$5:'Parser'!$O$24,2,FALSE)+VLOOKUP(TRIM(U10),Parser!$R$14:'Parser'!$S$17,2,FALSE)</f>
        <v>12.25</v>
      </c>
    </row>
    <row r="11" spans="1:24">
      <c r="A11" s="6" t="s">
        <v>55</v>
      </c>
      <c r="B11" s="41">
        <f>5+3.95*ATAN((100*B10-50)/15)</f>
        <v>2.6497133569939528</v>
      </c>
      <c r="F11" t="s">
        <v>43</v>
      </c>
      <c r="N11" t="s">
        <v>260</v>
      </c>
      <c r="O11" t="s">
        <v>261</v>
      </c>
      <c r="P11" t="s">
        <v>251</v>
      </c>
      <c r="Q11" t="s">
        <v>260</v>
      </c>
      <c r="R11" t="str">
        <f t="shared" si="0"/>
        <v>hyfsad</v>
      </c>
      <c r="S11" t="str">
        <f t="shared" si="1"/>
        <v>mkt låg</v>
      </c>
      <c r="T11" t="str">
        <f t="shared" si="2"/>
        <v>ypperlig</v>
      </c>
      <c r="U11" t="str">
        <f t="shared" si="3"/>
        <v>hög</v>
      </c>
      <c r="V11" t="s">
        <v>260</v>
      </c>
      <c r="W11" s="1">
        <f>VLOOKUP(R11,Parser!$N$5:'Parser'!$O$24,2,FALSE)+VLOOKUP(TRIM(S11),Parser!$R$14:'Parser'!$S$17,2,FALSE)</f>
        <v>4</v>
      </c>
      <c r="X11" s="1">
        <f>VLOOKUP(T11,Parser!$N$5:'Parser'!$O$24,2,FALSE)+VLOOKUP(TRIM(U11),Parser!$R$14:'Parser'!$S$17,2,FALSE)</f>
        <v>6.5</v>
      </c>
    </row>
    <row r="12" spans="1:24">
      <c r="A12" s="4"/>
      <c r="N12" t="s">
        <v>262</v>
      </c>
      <c r="O12" t="s">
        <v>263</v>
      </c>
      <c r="P12" t="s">
        <v>264</v>
      </c>
      <c r="Q12" t="s">
        <v>262</v>
      </c>
      <c r="R12" t="str">
        <f t="shared" si="0"/>
        <v>ypperlig</v>
      </c>
      <c r="S12" t="str">
        <f t="shared" si="1"/>
        <v>låg</v>
      </c>
      <c r="T12" t="str">
        <f t="shared" si="2"/>
        <v>enastående</v>
      </c>
      <c r="U12" t="str">
        <f t="shared" si="3"/>
        <v>mkt låg</v>
      </c>
      <c r="V12" t="s">
        <v>262</v>
      </c>
      <c r="W12" s="1">
        <f>VLOOKUP(R12,Parser!$N$5:'Parser'!$O$24,2,FALSE)+VLOOKUP(TRIM(S12),Parser!$R$14:'Parser'!$S$17,2,FALSE)</f>
        <v>6.25</v>
      </c>
      <c r="X12" s="1">
        <f>VLOOKUP(T12,Parser!$N$5:'Parser'!$O$24,2,FALSE)+VLOOKUP(TRIM(U12),Parser!$R$14:'Parser'!$S$17,2,FALSE)</f>
        <v>7</v>
      </c>
    </row>
    <row r="13" spans="1:24">
      <c r="A13" s="4" t="s">
        <v>49</v>
      </c>
      <c r="B13" s="25">
        <v>3</v>
      </c>
      <c r="F13" t="s">
        <v>140</v>
      </c>
      <c r="N13" t="s">
        <v>265</v>
      </c>
      <c r="O13" t="s">
        <v>255</v>
      </c>
      <c r="P13" t="s">
        <v>253</v>
      </c>
      <c r="Q13" t="s">
        <v>265</v>
      </c>
      <c r="R13" t="str">
        <f t="shared" si="0"/>
        <v>gudabenådad</v>
      </c>
      <c r="S13" t="str">
        <f t="shared" si="1"/>
        <v>låg</v>
      </c>
      <c r="T13" t="str">
        <f t="shared" si="2"/>
        <v>ypperlig</v>
      </c>
      <c r="U13" t="str">
        <f t="shared" si="3"/>
        <v>mkt hög</v>
      </c>
      <c r="V13" t="s">
        <v>265</v>
      </c>
      <c r="W13" s="1">
        <f>VLOOKUP(R13,Parser!$N$5:'Parser'!$O$24,2,FALSE)+VLOOKUP(TRIM(S13),Parser!$R$14:'Parser'!$S$17,2,FALSE)</f>
        <v>11.25</v>
      </c>
      <c r="X13" s="1">
        <f>VLOOKUP(T13,Parser!$N$5:'Parser'!$O$24,2,FALSE)+VLOOKUP(TRIM(U13),Parser!$R$14:'Parser'!$S$17,2,FALSE)</f>
        <v>6.75</v>
      </c>
    </row>
    <row r="14" spans="1:24">
      <c r="A14" s="6" t="s">
        <v>45</v>
      </c>
      <c r="B14" s="2">
        <f>(50+(15*TAN(((B13-5)/3.95))))/100</f>
        <v>0.41681763066786104</v>
      </c>
      <c r="F14" t="s">
        <v>44</v>
      </c>
      <c r="N14" t="s">
        <v>266</v>
      </c>
    </row>
    <row r="15" spans="1:24">
      <c r="A15" s="6" t="s">
        <v>48</v>
      </c>
      <c r="B15" s="41">
        <f>(B14*B9)/(1-B14)</f>
        <v>9.0198860179062628</v>
      </c>
      <c r="C15" s="1" t="s">
        <v>176</v>
      </c>
      <c r="D15" s="40" t="str">
        <f>VLOOKUP(FLOOR(B15,1), Parser!$T$5:'Parser'!$U$44,2, FALSE)</f>
        <v>unik</v>
      </c>
      <c r="E15" s="40"/>
      <c r="F15" t="s">
        <v>141</v>
      </c>
      <c r="N15" t="s">
        <v>280</v>
      </c>
    </row>
    <row r="16" spans="1:24">
      <c r="A16" s="4"/>
      <c r="B16" s="39"/>
      <c r="D16" s="40" t="str">
        <f>VLOOKUP(FLOOR((FLOOR((B15-FLOOR(B15,1))*4,1)),1),Parser!$Q$9:'Parser'!$R$12,2,FALSE)</f>
        <v>mkt låg</v>
      </c>
      <c r="E16" s="40"/>
      <c r="N16" t="s">
        <v>91</v>
      </c>
      <c r="O16" t="s">
        <v>281</v>
      </c>
      <c r="P16" t="s">
        <v>282</v>
      </c>
    </row>
    <row r="17" spans="1:18">
      <c r="A17" s="4"/>
      <c r="N17" t="s">
        <v>283</v>
      </c>
      <c r="O17" t="s">
        <v>281</v>
      </c>
      <c r="P17" t="s">
        <v>251</v>
      </c>
    </row>
    <row r="18" spans="1:18" ht="52.8">
      <c r="A18" s="12" t="s">
        <v>47</v>
      </c>
      <c r="G18" s="35" t="s">
        <v>144</v>
      </c>
      <c r="N18" t="s">
        <v>266</v>
      </c>
    </row>
    <row r="19" spans="1:18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286</v>
      </c>
      <c r="Q19" s="4"/>
    </row>
    <row r="20" spans="1:18">
      <c r="A20" s="4" t="s">
        <v>56</v>
      </c>
      <c r="B20" s="8">
        <f>0.26*$B$11</f>
        <v>0.68892547281842775</v>
      </c>
      <c r="C20" s="8">
        <f>0.38*$B$11</f>
        <v>1.0068910756577021</v>
      </c>
      <c r="D20" s="8">
        <f>0.26*$B$11</f>
        <v>0.68892547281842775</v>
      </c>
      <c r="E20" s="43">
        <f t="shared" ref="E20:E26" si="4">0.1*$B$11</f>
        <v>0.26497133569939529</v>
      </c>
      <c r="F20" s="8">
        <f t="shared" ref="F20:F26" si="5">SUM(B20:E20)</f>
        <v>2.6497133569939528</v>
      </c>
      <c r="H20" s="8">
        <f>0.26*$B$13</f>
        <v>0.78</v>
      </c>
      <c r="I20" s="8">
        <f>0.38*$B$13</f>
        <v>1.1400000000000001</v>
      </c>
      <c r="J20" s="8">
        <f>0.26*$B$13</f>
        <v>0.78</v>
      </c>
      <c r="K20" s="43">
        <f t="shared" ref="K20:K26" si="6">0.1*$B$13</f>
        <v>0.30000000000000004</v>
      </c>
      <c r="L20" s="8">
        <f t="shared" ref="L20:L26" si="7">SUM(H20:K20)</f>
        <v>3</v>
      </c>
      <c r="N20" t="s">
        <v>287</v>
      </c>
      <c r="O20" t="s">
        <v>286</v>
      </c>
      <c r="P20" t="s">
        <v>288</v>
      </c>
    </row>
    <row r="21" spans="1:18">
      <c r="A21" s="4" t="s">
        <v>8</v>
      </c>
      <c r="B21" s="8">
        <f>(0.26*$B$11)-($B$20*0.2)</f>
        <v>0.55114037825474216</v>
      </c>
      <c r="C21" s="8">
        <f>(0.38*$B$11)+($B$20*0.2)+($D$20*0.2)</f>
        <v>1.2824612647850733</v>
      </c>
      <c r="D21" s="8">
        <f>(0.26*$B$11)-($D$20*0.2)</f>
        <v>0.55114037825474216</v>
      </c>
      <c r="E21" s="8">
        <f t="shared" si="4"/>
        <v>0.26497133569939529</v>
      </c>
      <c r="F21" s="8">
        <f t="shared" si="5"/>
        <v>2.6497133569939528</v>
      </c>
      <c r="G21" s="7"/>
      <c r="H21" s="8">
        <f>(0.26*$B$13)-($H$20*0.2)</f>
        <v>0.624</v>
      </c>
      <c r="I21" s="8">
        <f>(0.38*$B$13)+($H$20*0.2)+($J$20*0.2)</f>
        <v>1.4520000000000004</v>
      </c>
      <c r="J21" s="8">
        <f>(0.26*$B$13)-($J$20*0.2)</f>
        <v>0.624</v>
      </c>
      <c r="K21" s="8">
        <f t="shared" si="6"/>
        <v>0.30000000000000004</v>
      </c>
      <c r="L21" s="8">
        <f t="shared" si="7"/>
        <v>3.0000000000000009</v>
      </c>
      <c r="N21" t="s">
        <v>289</v>
      </c>
      <c r="O21" t="s">
        <v>290</v>
      </c>
      <c r="P21" t="s">
        <v>72</v>
      </c>
    </row>
    <row r="22" spans="1:18">
      <c r="A22" s="4" t="s">
        <v>10</v>
      </c>
      <c r="B22" s="8">
        <f>(0.26*$B$11)-($B$20*0.3)</f>
        <v>0.48224783097289947</v>
      </c>
      <c r="C22" s="8">
        <f>(0.38*$B$11)+($B$20*0.3)+($D$20*0.3)</f>
        <v>1.4202463593487586</v>
      </c>
      <c r="D22" s="8">
        <f>(0.26*$B$11)-($D$20*0.3)</f>
        <v>0.48224783097289947</v>
      </c>
      <c r="E22" s="8">
        <f t="shared" si="4"/>
        <v>0.26497133569939529</v>
      </c>
      <c r="F22" s="8">
        <f t="shared" si="5"/>
        <v>2.6497133569939528</v>
      </c>
      <c r="G22" s="7"/>
      <c r="H22" s="8">
        <f>(0.26*$B$13)-($H$20*0.3)</f>
        <v>0.54600000000000004</v>
      </c>
      <c r="I22" s="8">
        <f>(0.38*$B$13)+($H$20*0.3)+($J$20*0.3)</f>
        <v>1.6080000000000001</v>
      </c>
      <c r="J22" s="8">
        <f>(0.26*$B$13)-($J$20*0.3)</f>
        <v>0.54600000000000004</v>
      </c>
      <c r="K22" s="8">
        <f t="shared" si="6"/>
        <v>0.30000000000000004</v>
      </c>
      <c r="L22" s="8">
        <f t="shared" si="7"/>
        <v>3</v>
      </c>
    </row>
    <row r="23" spans="1:18">
      <c r="A23" s="4" t="s">
        <v>9</v>
      </c>
      <c r="B23" s="8">
        <f>(0.26*$B$11)-($B$20*0.4)</f>
        <v>0.41335528369105662</v>
      </c>
      <c r="C23" s="8">
        <f>(0.38*$B$11)+($B$20*0.4)+($D$20*0.4)</f>
        <v>1.5580314539124445</v>
      </c>
      <c r="D23" s="8">
        <f>(0.26*$B$11)-($D$20*0.4)</f>
        <v>0.41335528369105662</v>
      </c>
      <c r="E23" s="8">
        <f t="shared" si="4"/>
        <v>0.26497133569939529</v>
      </c>
      <c r="F23" s="8">
        <f t="shared" si="5"/>
        <v>2.6497133569939533</v>
      </c>
      <c r="G23" s="7"/>
      <c r="H23" s="8">
        <f>(0.26*$B$13)-($H$20*0.4)</f>
        <v>0.46799999999999997</v>
      </c>
      <c r="I23" s="8">
        <f>(0.38*$B$13)+($H$20*0.4)+($J$20*0.4)</f>
        <v>1.7640000000000002</v>
      </c>
      <c r="J23" s="8">
        <f>(0.26*$B$13)-($J$20*0.4)</f>
        <v>0.46799999999999997</v>
      </c>
      <c r="K23" s="8">
        <f t="shared" si="6"/>
        <v>0.30000000000000004</v>
      </c>
      <c r="L23" s="8">
        <f t="shared" si="7"/>
        <v>3</v>
      </c>
      <c r="N23" s="89" t="s">
        <v>274</v>
      </c>
      <c r="O23" s="90">
        <f>4*(3*(W7+0.25)+SUM(W8:W13)+0.25*6)</f>
        <v>346</v>
      </c>
      <c r="P23" s="90">
        <f>4*(3*(X7+0.25)+SUM(X8:X13)+0.25*6)</f>
        <v>317</v>
      </c>
    </row>
    <row r="24" spans="1:18">
      <c r="A24" s="4" t="s">
        <v>11</v>
      </c>
      <c r="B24" s="8">
        <f>(0.26*$B$11)+($C$20*0.2/2)</f>
        <v>0.78961458038419796</v>
      </c>
      <c r="C24" s="8">
        <f>(0.38*$B$11)-($C$20*0.2)</f>
        <v>0.80551286052616167</v>
      </c>
      <c r="D24" s="8">
        <f>(0.26*$B$11)+(($C$20*0.2)/2)</f>
        <v>0.78961458038419796</v>
      </c>
      <c r="E24" s="8">
        <f t="shared" si="4"/>
        <v>0.26497133569939529</v>
      </c>
      <c r="F24" s="8">
        <f t="shared" si="5"/>
        <v>2.6497133569939528</v>
      </c>
      <c r="G24" s="7"/>
      <c r="H24" s="8">
        <f>(0.26*$B$13)+($I$20*0.2/2)</f>
        <v>0.89400000000000002</v>
      </c>
      <c r="I24" s="8">
        <f>(0.38*$B$13)-($I$20*0.2)</f>
        <v>0.91200000000000014</v>
      </c>
      <c r="J24" s="8">
        <f>(0.26*$B$13)+(($I$20*0.2)/2)</f>
        <v>0.89400000000000002</v>
      </c>
      <c r="K24" s="8">
        <f t="shared" si="6"/>
        <v>0.30000000000000004</v>
      </c>
      <c r="L24" s="8">
        <f t="shared" si="7"/>
        <v>3</v>
      </c>
    </row>
    <row r="25" spans="1:18">
      <c r="A25" s="4" t="s">
        <v>12</v>
      </c>
      <c r="B25" s="8">
        <f>(0.26*$B$11)+($C$20*0.3/2)</f>
        <v>0.83995913416708312</v>
      </c>
      <c r="C25" s="8">
        <f>(0.38*$B$11)-($C$20*0.3)</f>
        <v>0.70482375296039146</v>
      </c>
      <c r="D25" s="8">
        <f>(0.26*$B$11)+(($C$20*0.3)/2)</f>
        <v>0.83995913416708312</v>
      </c>
      <c r="E25" s="8">
        <f t="shared" si="4"/>
        <v>0.26497133569939529</v>
      </c>
      <c r="F25" s="8">
        <f t="shared" si="5"/>
        <v>2.6497133569939533</v>
      </c>
      <c r="G25" s="7"/>
      <c r="H25" s="8">
        <f>(0.26*$B$13)+($I$20*0.3/2)</f>
        <v>0.95100000000000007</v>
      </c>
      <c r="I25" s="8">
        <f>(0.38*$B$13)-($I$20*0.3)</f>
        <v>0.79800000000000004</v>
      </c>
      <c r="J25" s="8">
        <f>(0.26*$B$13)+(($I$20*0.3)/2)</f>
        <v>0.95100000000000007</v>
      </c>
      <c r="K25" s="8">
        <f t="shared" si="6"/>
        <v>0.30000000000000004</v>
      </c>
      <c r="L25" s="8">
        <f t="shared" si="7"/>
        <v>3</v>
      </c>
      <c r="N25" s="4" t="s">
        <v>279</v>
      </c>
      <c r="O25" s="3" t="str">
        <f>O6</f>
        <v>Nord</v>
      </c>
      <c r="P25" s="3" t="str">
        <f>P6</f>
        <v>Absint</v>
      </c>
    </row>
    <row r="26" spans="1:18">
      <c r="A26" s="4" t="s">
        <v>13</v>
      </c>
      <c r="B26" s="8">
        <f>(0.26*$B$11)+($C$20*0.4/2)</f>
        <v>0.89030368794996817</v>
      </c>
      <c r="C26" s="8">
        <f>(0.38*$B$11)-($C$20*0.4)</f>
        <v>0.60413464539462125</v>
      </c>
      <c r="D26" s="8">
        <f>(0.26*$B$11)+(($C$20*0.4)/2)</f>
        <v>0.89030368794996817</v>
      </c>
      <c r="E26" s="8">
        <f t="shared" si="4"/>
        <v>0.26497133569939529</v>
      </c>
      <c r="F26" s="8">
        <f t="shared" si="5"/>
        <v>2.6497133569939528</v>
      </c>
      <c r="G26" s="7"/>
      <c r="H26" s="8">
        <f>(0.26*$B$13)+($I$20*0.4/2)</f>
        <v>1.008</v>
      </c>
      <c r="I26" s="8">
        <f>(0.38*$B$13)-($I$20*0.4)</f>
        <v>0.68400000000000005</v>
      </c>
      <c r="J26" s="8">
        <f>(0.26*$B$13)+(($I$20*0.4)/2)</f>
        <v>1.008</v>
      </c>
      <c r="K26" s="8">
        <f t="shared" si="6"/>
        <v>0.30000000000000004</v>
      </c>
      <c r="L26" s="8">
        <f t="shared" si="7"/>
        <v>3</v>
      </c>
      <c r="N26" t="s">
        <v>249</v>
      </c>
      <c r="O26" s="8" t="str">
        <f>IF((W7-X7)&lt;0,CONCATENATE("",TEXT(W7-X7,"0,00")),CONCATENATE("+",TEXT(W7-X7,"0,00")))</f>
        <v>+5,25</v>
      </c>
      <c r="P26" s="8" t="str">
        <f>IF((X7-W7)&lt;0,CONCATENATE("",TEXT(X7-W7,"0,00")),CONCATENATE("+",TEXT(X7-W7,"0,00")))</f>
        <v>-5,25</v>
      </c>
      <c r="Q26" t="s">
        <v>276</v>
      </c>
    </row>
    <row r="27" spans="1:18">
      <c r="A27" s="4"/>
      <c r="E27" s="1"/>
      <c r="N27" t="s">
        <v>252</v>
      </c>
      <c r="O27" s="8" t="str">
        <f>IF((W8-X13)&lt;0,CONCATENATE("",TEXT(W8-X13,"0,00")),CONCATENATE("+",TEXT(W8-X13,"0,00")))</f>
        <v>+0,00</v>
      </c>
      <c r="P27" s="8" t="str">
        <f>IF((X8-W13)&lt;0,CONCATENATE("",TEXT(X8-W13,"0,00")),CONCATENATE("+",TEXT(X8-W13,"0,00")))</f>
        <v>+0,50</v>
      </c>
      <c r="Q27" t="s">
        <v>277</v>
      </c>
      <c r="R27" s="1"/>
    </row>
    <row r="28" spans="1:18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IF((W9-X12)&lt;0,CONCATENATE("",TEXT(W9-X12,"0,00")),CONCATENATE("+",TEXT(W9-X12,"0,00")))</f>
        <v>+4,25</v>
      </c>
      <c r="P28" s="8" t="str">
        <f>IF((X9-W12)&lt;0,CONCATENATE("",TEXT(X9-W12,"0,00")),CONCATENATE("+",TEXT(X9-W12,"0,00")))</f>
        <v>+7,00</v>
      </c>
      <c r="Q28" t="s">
        <v>277</v>
      </c>
      <c r="R28" s="1"/>
    </row>
    <row r="29" spans="1:18">
      <c r="A29" s="4" t="s">
        <v>20</v>
      </c>
      <c r="B29" s="26">
        <v>10</v>
      </c>
      <c r="C29" s="26">
        <v>10</v>
      </c>
      <c r="D29" s="26">
        <v>5</v>
      </c>
      <c r="E29" s="1"/>
      <c r="N29" t="s">
        <v>257</v>
      </c>
      <c r="O29" s="91" t="str">
        <f>IF((W10-X11)&lt;0,CONCATENATE("",TEXT(W10-X11,"0,00")),CONCATENATE("+",TEXT(W10-X11,"0,00")))</f>
        <v>+3,00</v>
      </c>
      <c r="P29" s="91" t="str">
        <f>IF((X10-W11)&lt;0,CONCATENATE("",TEXT(X10-W11,"0,00")),CONCATENATE("+",TEXT(X10-W11,"0,00")))</f>
        <v>+8,25</v>
      </c>
      <c r="Q29" t="s">
        <v>277</v>
      </c>
    </row>
    <row r="30" spans="1:18">
      <c r="A30" s="4" t="s">
        <v>21</v>
      </c>
      <c r="B30" s="26">
        <v>10</v>
      </c>
      <c r="C30" s="26">
        <v>10</v>
      </c>
      <c r="D30" s="26">
        <v>10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IF((W11-X10)&lt;0,CONCATENATE("",TEXT(W11-X10,"0,00")),CONCATENATE("+",TEXT(W11-X10,"0,00")))</f>
        <v>-8,25</v>
      </c>
      <c r="P30" s="91" t="str">
        <f>IF((X11-W10)&lt;0,CONCATENATE("",TEXT(X11-W10,"0,00")),CONCATENATE("+",TEXT(X11-W10,"0,00")))</f>
        <v>-3,00</v>
      </c>
      <c r="Q30" s="6" t="s">
        <v>278</v>
      </c>
    </row>
    <row r="31" spans="1:18">
      <c r="A31" s="4" t="s">
        <v>3</v>
      </c>
      <c r="B31" s="30">
        <f>1/(1+(POWER(B30, $J$31)/POWER(B29, $K$31)))</f>
        <v>0.5</v>
      </c>
      <c r="C31" s="30">
        <f>1/(1+(POWER(C30, $J$31)/POWER(C29, $K$31)))</f>
        <v>0.5</v>
      </c>
      <c r="D31" s="30">
        <f>1/(1+(POWER(D30, $J$31)/POWER(D29, $K$31)))</f>
        <v>8.1210303141612261E-2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IF((W12-X9)&lt;0,CONCATENATE("",TEXT(W12-X9,"0,00")),CONCATENATE("+",TEXT(W12-X9,"0,00")))</f>
        <v>-7,00</v>
      </c>
      <c r="P31" s="8" t="str">
        <f>IF((X12-W9)&lt;0,CONCATENATE("",TEXT(X12-W9,"0,00")),CONCATENATE("+",TEXT(X12-W9,"0,00")))</f>
        <v>-4,25</v>
      </c>
      <c r="Q31" s="6" t="s">
        <v>278</v>
      </c>
    </row>
    <row r="32" spans="1:18" s="6" customFormat="1">
      <c r="A32" s="4" t="s">
        <v>4</v>
      </c>
      <c r="B32" s="31">
        <f>1/(1+POWER((B30/B29),$J$32))</f>
        <v>0.5</v>
      </c>
      <c r="C32" s="31">
        <f>1/(1+POWER((C30/C29),$J$32))</f>
        <v>0.5</v>
      </c>
      <c r="D32" s="31">
        <f>1/(1+POWER((D30/D29),$J$32))</f>
        <v>8.1210303141612289E-2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IF((W13-X8)&lt;0,CONCATENATE("",TEXT(W13-X8,"0,00")),CONCATENATE("+",TEXT(W13-X8,"0,00")))</f>
        <v>-0,50</v>
      </c>
      <c r="P32" s="8" t="str">
        <f>IF((X13-W8)&lt;0,CONCATENATE("",TEXT(X13-W8,"0,00")),CONCATENATE("+",TEXT(X13-W8,"0,00")))</f>
        <v>+0,00</v>
      </c>
      <c r="Q32" s="6" t="s">
        <v>278</v>
      </c>
    </row>
    <row r="33" spans="1:16" s="6" customFormat="1">
      <c r="A33" s="4" t="s">
        <v>5</v>
      </c>
      <c r="B33" s="31">
        <f>1/(1+(($L$33*POWER(B30, $J$31))/POWER(B29, $K$31)))</f>
        <v>0.5</v>
      </c>
      <c r="C33" s="31">
        <f>1/(1+(($L$33*POWER(C30, $J$31))/POWER(C29, $K$31)))</f>
        <v>0.5</v>
      </c>
      <c r="D33" s="31">
        <f>1/(1+(($L$33*POWER(D30, $J$31))/POWER(D29, $K$31)))</f>
        <v>8.1210303141612261E-2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</row>
    <row r="34" spans="1:16">
      <c r="A34" s="4"/>
      <c r="E34" s="1"/>
      <c r="N34" s="6" t="s">
        <v>291</v>
      </c>
      <c r="O34" s="94">
        <f>W7/(W7+X7)</f>
        <v>0.64383561643835618</v>
      </c>
      <c r="P34" s="94">
        <f>X7/(X7+W7)</f>
        <v>0.35616438356164382</v>
      </c>
    </row>
    <row r="35" spans="1:16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8.0194677664855316</v>
      </c>
      <c r="P35" s="38">
        <f>5+3.95*ATAN((100*P34-50)/15)</f>
        <v>1.9805322335144684</v>
      </c>
    </row>
    <row r="36" spans="1:16">
      <c r="A36" s="4" t="s">
        <v>23</v>
      </c>
      <c r="B36" s="26">
        <v>11.75</v>
      </c>
      <c r="C36" s="26">
        <v>12</v>
      </c>
      <c r="D36" s="26">
        <v>6.5</v>
      </c>
      <c r="E36" s="1"/>
      <c r="O36" s="7"/>
      <c r="P36" s="7"/>
    </row>
    <row r="37" spans="1:16">
      <c r="A37" s="4" t="s">
        <v>22</v>
      </c>
      <c r="B37" s="26">
        <f>15.75*0.9</f>
        <v>14.175000000000001</v>
      </c>
      <c r="C37" s="26">
        <f>15.75*0.9</f>
        <v>14.175000000000001</v>
      </c>
      <c r="D37" s="26">
        <f>9.5*0.9</f>
        <v>8.5500000000000007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16">
      <c r="A38" s="4" t="s">
        <v>3</v>
      </c>
      <c r="B38" s="30">
        <f>1/(1+(POWER(B37, $J$31)/POWER(B36, $K$31)))</f>
        <v>0.34148284441651938</v>
      </c>
      <c r="C38" s="30">
        <f>1/(1+(POWER(C37, $J$31)/POWER(C36, $K$31)))</f>
        <v>0.35824116096618586</v>
      </c>
      <c r="D38" s="30">
        <f>1/(1+(POWER(D37, $J$31)/POWER(D36, $K$31)))</f>
        <v>0.27698795282088545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16">
      <c r="A39" s="4" t="s">
        <v>4</v>
      </c>
      <c r="B39" s="30">
        <f>1/(1+POWER((B37/B36),$J$32))</f>
        <v>0.34148284441651955</v>
      </c>
      <c r="C39" s="30">
        <f>1/(1+POWER((C37/C36),$J$32))</f>
        <v>0.35824116096618625</v>
      </c>
      <c r="D39" s="30">
        <f>1/(1+POWER((D37/D36),$J$32))</f>
        <v>0.27698795282088534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16">
      <c r="A40" s="4" t="s">
        <v>5</v>
      </c>
      <c r="B40" s="30">
        <f>1/(1+($L$33*POWER(B37, $J$31)/POWER(B36, $K$31)))</f>
        <v>0.34148284441651938</v>
      </c>
      <c r="C40" s="30">
        <f>1/(1+($L$33*POWER(C37, $J$31)/POWER(C36, $K$31)))</f>
        <v>0.35824116096618586</v>
      </c>
      <c r="D40" s="30">
        <f>1/(1+($L$33*POWER(D37, $J$31)/POWER(D36, $K$31)))</f>
        <v>0.27698795282088545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16" s="20" customFormat="1" ht="13.8" thickBot="1">
      <c r="B41" s="21"/>
      <c r="C41" s="21"/>
      <c r="D41" s="21"/>
      <c r="E41" s="21"/>
      <c r="O41" s="93"/>
      <c r="P41" s="93"/>
    </row>
    <row r="42" spans="1:16" s="22" customFormat="1">
      <c r="B42" s="23"/>
      <c r="C42" s="23"/>
      <c r="D42" s="23"/>
      <c r="E42" s="23"/>
    </row>
    <row r="43" spans="1:16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</row>
    <row r="44" spans="1:16" s="22" customFormat="1">
      <c r="A44" s="36"/>
      <c r="B44" s="37"/>
      <c r="C44" s="37"/>
      <c r="D44" s="37"/>
      <c r="E44" s="37"/>
      <c r="F44" s="36"/>
      <c r="G44" s="36"/>
    </row>
    <row r="45" spans="1:16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16">
      <c r="A46" s="4" t="s">
        <v>105</v>
      </c>
      <c r="B46" s="8">
        <f>0.26*(10-$B$11)</f>
        <v>1.9110745271815723</v>
      </c>
      <c r="C46" s="8">
        <f>0.38*(10-$B$11)</f>
        <v>2.793108924342298</v>
      </c>
      <c r="D46" s="8">
        <f>0.26*(10-$B$11)</f>
        <v>1.9110745271815723</v>
      </c>
      <c r="E46" s="43">
        <f>0.1*(10-$B$11)</f>
        <v>0.73502866430060476</v>
      </c>
      <c r="F46" s="8">
        <f>SUM(B46:E46)</f>
        <v>7.3502866430060472</v>
      </c>
      <c r="H46" s="8">
        <f>0.26*(10-$B$13)</f>
        <v>1.82</v>
      </c>
      <c r="I46" s="8">
        <f>0.38*(10-$B$13)</f>
        <v>2.66</v>
      </c>
      <c r="J46" s="8">
        <f>0.26*(10-$B$13)</f>
        <v>1.82</v>
      </c>
      <c r="K46" s="43">
        <f>0.1*(10-$B$13)</f>
        <v>0.70000000000000007</v>
      </c>
      <c r="L46" s="8">
        <f>SUM(H46:K46)</f>
        <v>7.0000000000000009</v>
      </c>
    </row>
    <row r="47" spans="1:16">
      <c r="A47" s="4" t="s">
        <v>106</v>
      </c>
      <c r="B47" s="8">
        <f>B46*B38</f>
        <v>0.65259916543391816</v>
      </c>
      <c r="C47" s="8">
        <f>C46*C38</f>
        <v>1.0006065837613993</v>
      </c>
      <c r="D47" s="8">
        <f>D46*D38</f>
        <v>0.52934462097216528</v>
      </c>
      <c r="E47" s="38"/>
      <c r="F47" s="34">
        <f>SUM(B47:D47)</f>
        <v>2.1825503701674829</v>
      </c>
      <c r="H47" s="8">
        <f>H46*B38</f>
        <v>0.62149877683806531</v>
      </c>
      <c r="I47" s="8">
        <f>I46*C38</f>
        <v>0.9529214881700544</v>
      </c>
      <c r="J47" s="8">
        <f>J46*D38</f>
        <v>0.50411807413401155</v>
      </c>
      <c r="K47" s="8"/>
      <c r="L47" s="34">
        <f>SUM(H47:J47)</f>
        <v>2.0785383391421313</v>
      </c>
      <c r="N47" s="17" t="s">
        <v>148</v>
      </c>
    </row>
    <row r="48" spans="1:16">
      <c r="A48" s="4" t="s">
        <v>6</v>
      </c>
      <c r="B48" s="8">
        <f>B38*((0.26*(10-$B$11))-((0.26*(10-$B$11))*0.3))</f>
        <v>0.4568194158037428</v>
      </c>
      <c r="C48" s="8">
        <f>C38*((0.38*(10-$B$11))+((0.38*(10-$B$11))*0.3))</f>
        <v>1.3007885588898191</v>
      </c>
      <c r="D48" s="8">
        <f>D38*((0.26*(10-$B$11))-((0.26*(10-$B$11))*0.3))</f>
        <v>0.37054123468051581</v>
      </c>
      <c r="E48" s="38"/>
      <c r="F48" s="34">
        <f>SUM(B48:D48)</f>
        <v>2.1281492093740777</v>
      </c>
      <c r="H48" s="8">
        <f>B38*((0.26*(10-$B$13))-((0.26*(10-$B$13))*0.3))</f>
        <v>0.43504914378664572</v>
      </c>
      <c r="I48" s="8">
        <f>C38*((0.38*(10-$B$13))+((0.38*(10-$B$13))*0.3))</f>
        <v>1.2387979346210707</v>
      </c>
      <c r="J48" s="8">
        <f>D38*((0.26*(10-$B$13))-((0.26*(10-$B$13))*0.3))</f>
        <v>0.35288265189380807</v>
      </c>
      <c r="K48" s="8"/>
      <c r="L48" s="34">
        <f>SUM(H48:J48)</f>
        <v>2.0267297303015246</v>
      </c>
      <c r="N48" s="17" t="s">
        <v>177</v>
      </c>
    </row>
    <row r="49" spans="1:14">
      <c r="A49" s="4" t="s">
        <v>7</v>
      </c>
      <c r="B49" s="8">
        <f>B38*((0.26*(10-$B$11))+((0.26*(10-$B$11))*0.3))</f>
        <v>0.84837891506409358</v>
      </c>
      <c r="C49" s="8">
        <f>C38*((0.38*(10-$B$11))-((0.38*(10-$B$11))*0.3))</f>
        <v>0.70042460863297962</v>
      </c>
      <c r="D49" s="8">
        <f>D38*((0.26*(10-$B$11))+((0.26*(10-$B$11))*0.3))</f>
        <v>0.68814800726381486</v>
      </c>
      <c r="E49" s="38"/>
      <c r="F49" s="34">
        <f>SUM(B49:D49)</f>
        <v>2.2369515309608881</v>
      </c>
      <c r="H49" s="8">
        <f>B39*((0.26*(10-$B$13))+((0.26*(10-$B$13))*0.3))</f>
        <v>0.80794840988948524</v>
      </c>
      <c r="I49" s="8">
        <f>C39*((0.38*(10-$B$13))-((0.38*(10-$B$13))*0.3))</f>
        <v>0.66704504171903878</v>
      </c>
      <c r="J49" s="8">
        <f>D39*((0.26*(10-$B$13)+((0.26*(10-$B$13))*0.3)))</f>
        <v>0.65535349637421469</v>
      </c>
      <c r="K49" s="8"/>
      <c r="L49" s="34">
        <f>SUM(H49:J49)</f>
        <v>2.1303469479827388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>
        <f>B20*B31</f>
        <v>0.34446273640921388</v>
      </c>
      <c r="C51" s="8">
        <f>C20*C31</f>
        <v>0.50344553782885104</v>
      </c>
      <c r="D51" s="8">
        <f>D20*D31</f>
        <v>5.5947846489563073E-2</v>
      </c>
      <c r="E51" s="38"/>
      <c r="F51" s="34">
        <f>SUM(B51:D51)</f>
        <v>0.903856120727628</v>
      </c>
      <c r="G51" s="4" t="s">
        <v>104</v>
      </c>
      <c r="H51" s="8">
        <f>H20*B31</f>
        <v>0.39</v>
      </c>
      <c r="I51" s="8">
        <f>I20*C31</f>
        <v>0.57000000000000006</v>
      </c>
      <c r="J51" s="8">
        <f>J20*D31</f>
        <v>6.3344036450457566E-2</v>
      </c>
      <c r="K51" s="8"/>
      <c r="L51" s="34">
        <f>SUM(H51:J51)</f>
        <v>1.0233440364504576</v>
      </c>
      <c r="N51" s="17" t="s">
        <v>147</v>
      </c>
    </row>
    <row r="52" spans="1:14">
      <c r="A52" s="4" t="s">
        <v>6</v>
      </c>
      <c r="B52" s="8">
        <f>B22*B31</f>
        <v>0.24112391548644974</v>
      </c>
      <c r="C52" s="8">
        <f>C22*C31</f>
        <v>0.71012317967437932</v>
      </c>
      <c r="D52" s="8">
        <f>D22*D31</f>
        <v>3.9163492542694155E-2</v>
      </c>
      <c r="E52" s="38"/>
      <c r="F52" s="34">
        <f>SUM(B52:D52)</f>
        <v>0.99041058770352319</v>
      </c>
      <c r="G52" s="4" t="s">
        <v>6</v>
      </c>
      <c r="H52" s="8">
        <f>H22*B31</f>
        <v>0.27300000000000002</v>
      </c>
      <c r="I52" s="8">
        <f>I22*C31</f>
        <v>0.80400000000000005</v>
      </c>
      <c r="J52" s="8">
        <f>J22*D31</f>
        <v>4.4340825515320301E-2</v>
      </c>
      <c r="K52" s="8"/>
      <c r="L52" s="34">
        <f>SUM(H52:J52)</f>
        <v>1.1213408255153203</v>
      </c>
      <c r="N52" s="17" t="s">
        <v>149</v>
      </c>
    </row>
    <row r="53" spans="1:14">
      <c r="A53" s="4" t="s">
        <v>7</v>
      </c>
      <c r="B53" s="8">
        <f>B25*B31</f>
        <v>0.41997956708354156</v>
      </c>
      <c r="C53" s="8">
        <f>C25*C31</f>
        <v>0.35241187648019573</v>
      </c>
      <c r="D53" s="8">
        <f>D25*D31</f>
        <v>6.8213335912274992E-2</v>
      </c>
      <c r="E53" s="38"/>
      <c r="F53" s="34">
        <f>SUM(B53:D53)</f>
        <v>0.84060477947601231</v>
      </c>
      <c r="G53" s="4" t="s">
        <v>7</v>
      </c>
      <c r="H53" s="8">
        <f>H25*B31</f>
        <v>0.47550000000000003</v>
      </c>
      <c r="I53" s="8">
        <f>I25*C31</f>
        <v>0.39900000000000002</v>
      </c>
      <c r="J53" s="8">
        <f>J25*D31</f>
        <v>7.7230998287673269E-2</v>
      </c>
      <c r="K53" s="8"/>
      <c r="L53" s="34">
        <f>SUM(H53:J53)</f>
        <v>0.95173099828767338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59"/>
  <sheetViews>
    <sheetView zoomScale="85" workbookViewId="0">
      <selection activeCell="A5" sqref="A5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5" customWidth="1"/>
    <col min="17" max="17" width="14.88671875" customWidth="1"/>
    <col min="18" max="18" width="13.33203125" customWidth="1"/>
    <col min="19" max="19" width="7.6640625" customWidth="1"/>
    <col min="20" max="20" width="12.33203125" customWidth="1"/>
    <col min="21" max="21" width="7.6640625" customWidth="1"/>
    <col min="22" max="22" width="13.88671875" bestFit="1" customWidth="1"/>
    <col min="23" max="23" width="13.44140625" style="1" bestFit="1" customWidth="1"/>
    <col min="24" max="24" width="12.33203125" style="1" bestFit="1" customWidth="1"/>
    <col min="25" max="27" width="12.33203125" customWidth="1"/>
    <col min="28" max="28" width="13" bestFit="1" customWidth="1"/>
  </cols>
  <sheetData>
    <row r="1" spans="1:30">
      <c r="A1" s="17" t="s">
        <v>151</v>
      </c>
    </row>
    <row r="2" spans="1:30">
      <c r="A2" s="17" t="s">
        <v>267</v>
      </c>
      <c r="B2" t="s">
        <v>294</v>
      </c>
    </row>
    <row r="3" spans="1:30">
      <c r="A3" s="33" t="s">
        <v>143</v>
      </c>
      <c r="P3" t="s">
        <v>560</v>
      </c>
      <c r="Q3" t="s">
        <v>558</v>
      </c>
    </row>
    <row r="4" spans="1:30" s="20" customFormat="1" ht="13.8" thickBot="1">
      <c r="A4" s="32"/>
      <c r="W4" s="21"/>
      <c r="X4" s="21"/>
    </row>
    <row r="5" spans="1:30">
      <c r="A5" s="4"/>
      <c r="D5" s="4"/>
      <c r="N5" s="4" t="s">
        <v>192</v>
      </c>
    </row>
    <row r="6" spans="1:30" ht="13.8" thickBot="1">
      <c r="A6" s="4" t="str">
        <f>CONCATENATE("Midfield ",B2)</f>
        <v>Midfield Sverige</v>
      </c>
      <c r="B6" s="25">
        <v>9</v>
      </c>
      <c r="D6" s="87"/>
      <c r="F6" t="s">
        <v>138</v>
      </c>
      <c r="N6" s="95"/>
      <c r="O6" s="95" t="s">
        <v>294</v>
      </c>
      <c r="P6" s="98" t="s">
        <v>557</v>
      </c>
      <c r="Q6" s="4"/>
      <c r="R6" s="4" t="str">
        <f>O6</f>
        <v>Sverige</v>
      </c>
      <c r="T6" s="4" t="str">
        <f>P6</f>
        <v>Ungern</v>
      </c>
      <c r="V6" t="s">
        <v>558</v>
      </c>
      <c r="Y6" s="4" t="s">
        <v>273</v>
      </c>
      <c r="Z6" s="3" t="str">
        <f>O6</f>
        <v>Sverige</v>
      </c>
      <c r="AA6" s="3" t="str">
        <f>P6</f>
        <v>Ungern</v>
      </c>
      <c r="AB6" s="4" t="s">
        <v>568</v>
      </c>
      <c r="AC6" s="3" t="str">
        <f>O6</f>
        <v>Sverige</v>
      </c>
      <c r="AD6" s="3" t="str">
        <f>P6</f>
        <v>Ungern</v>
      </c>
    </row>
    <row r="7" spans="1:30" ht="13.8" thickTop="1">
      <c r="A7" s="4" t="s">
        <v>152</v>
      </c>
      <c r="B7" s="88" t="s">
        <v>270</v>
      </c>
      <c r="D7" s="87"/>
      <c r="F7" t="s">
        <v>269</v>
      </c>
      <c r="N7" s="96" t="s">
        <v>249</v>
      </c>
      <c r="O7" s="97" t="s">
        <v>569</v>
      </c>
      <c r="P7" s="62" t="s">
        <v>282</v>
      </c>
      <c r="R7" t="str">
        <f t="shared" ref="R7:R13" si="0">LEFT(O7,FIND(" ",O7)-1)</f>
        <v>bra</v>
      </c>
      <c r="S7" t="str">
        <f t="shared" ref="S7:S13" si="1">MID(O7,LEN(R7)+3,LEN(O7)-LEN(R7)-3)</f>
        <v>mkt låg</v>
      </c>
      <c r="T7" t="str">
        <f t="shared" ref="T7:T13" si="2">LEFT(P7,FIND(" ",P7)-1)</f>
        <v>enastående</v>
      </c>
      <c r="U7" t="str">
        <f t="shared" ref="U7:U13" si="3">MID(P7,LEN(T7)+3,LEN(P7)-LEN(T7)-3)</f>
        <v>hög</v>
      </c>
      <c r="V7" t="s">
        <v>249</v>
      </c>
      <c r="W7" s="1">
        <v>7.44</v>
      </c>
      <c r="X7" s="1">
        <v>6.81</v>
      </c>
      <c r="Y7" t="s">
        <v>249</v>
      </c>
      <c r="Z7" s="1">
        <f>VLOOKUP(R7,Parser!$N$5:'Parser'!$O$24,2,FALSE)+VLOOKUP(TRIM(S7),Parser!$R$14:'Parser'!$S$17,2,FALSE)</f>
        <v>5</v>
      </c>
      <c r="AA7" s="1">
        <f>VLOOKUP(T7,Parser!$N$5:'Parser'!$O$24,2,FALSE)+VLOOKUP(TRIM(U7),Parser!$R$14:'Parser'!$S$17,2,FALSE)</f>
        <v>7.5</v>
      </c>
      <c r="AB7" t="s">
        <v>249</v>
      </c>
      <c r="AC7" s="1">
        <f>IF($Q$3="Numbers",W7,Z7)</f>
        <v>7.44</v>
      </c>
      <c r="AD7" s="1">
        <f>IF($Q$3="Numbers",X7,AA7)</f>
        <v>6.81</v>
      </c>
    </row>
    <row r="8" spans="1:30">
      <c r="A8" s="6" t="s">
        <v>268</v>
      </c>
      <c r="B8" s="42">
        <f>IF(OR(B7="Ja",B7="JA",B7="ja"),(B6*0.93),B6)</f>
        <v>9</v>
      </c>
      <c r="F8" t="s">
        <v>271</v>
      </c>
      <c r="N8" s="96" t="s">
        <v>252</v>
      </c>
      <c r="O8" s="97" t="s">
        <v>562</v>
      </c>
      <c r="P8" s="62" t="s">
        <v>297</v>
      </c>
      <c r="R8" t="str">
        <f t="shared" si="0"/>
        <v>unik</v>
      </c>
      <c r="S8" t="str">
        <f t="shared" si="1"/>
        <v>mkt låg</v>
      </c>
      <c r="T8" t="str">
        <f t="shared" si="2"/>
        <v>fenomenal</v>
      </c>
      <c r="U8" t="str">
        <f t="shared" si="3"/>
        <v>låg</v>
      </c>
      <c r="V8" t="s">
        <v>252</v>
      </c>
      <c r="Y8" t="s">
        <v>252</v>
      </c>
      <c r="Z8" s="1">
        <f>VLOOKUP(R8,Parser!$N$5:'Parser'!$O$24,2,FALSE)+VLOOKUP(TRIM(S8),Parser!$R$14:'Parser'!$S$17,2,FALSE)</f>
        <v>9</v>
      </c>
      <c r="AA8" s="1">
        <f>VLOOKUP(T8,Parser!$N$5:'Parser'!$O$24,2,FALSE)+VLOOKUP(TRIM(U8),Parser!$R$14:'Parser'!$S$17,2,FALSE)</f>
        <v>8.25</v>
      </c>
      <c r="AB8" t="s">
        <v>252</v>
      </c>
      <c r="AC8" s="1">
        <f t="shared" ref="AC8:AC13" si="4">IF($Q$3="Numbers",W8,Z8)</f>
        <v>0</v>
      </c>
      <c r="AD8" s="1">
        <f t="shared" ref="AD8:AD13" si="5">IF($Q$3="Numbers",X8,AA8)</f>
        <v>0</v>
      </c>
    </row>
    <row r="9" spans="1:30">
      <c r="A9" s="4" t="str">
        <f>IF(O6=B2,CONCATENATE("Midfield ",P6),CONCATENATE("Midfield ",O6))</f>
        <v>Midfield Ungern</v>
      </c>
      <c r="B9" s="25">
        <v>15</v>
      </c>
      <c r="F9" t="s">
        <v>139</v>
      </c>
      <c r="N9" s="96" t="s">
        <v>254</v>
      </c>
      <c r="O9" s="97" t="s">
        <v>563</v>
      </c>
      <c r="P9" s="62" t="s">
        <v>564</v>
      </c>
      <c r="R9" t="str">
        <f t="shared" si="0"/>
        <v>fenomenal</v>
      </c>
      <c r="S9" t="str">
        <f t="shared" si="1"/>
        <v>mkt låg</v>
      </c>
      <c r="T9" t="str">
        <f t="shared" si="2"/>
        <v>legendarisk</v>
      </c>
      <c r="U9" t="str">
        <f t="shared" si="3"/>
        <v>låg</v>
      </c>
      <c r="V9" t="s">
        <v>254</v>
      </c>
      <c r="Y9" t="s">
        <v>254</v>
      </c>
      <c r="Z9" s="1">
        <f>VLOOKUP(R9,Parser!$N$5:'Parser'!$O$24,2,FALSE)+VLOOKUP(TRIM(S9),Parser!$R$14:'Parser'!$S$17,2,FALSE)</f>
        <v>8</v>
      </c>
      <c r="AA9" s="1">
        <f>VLOOKUP(T9,Parser!$N$5:'Parser'!$O$24,2,FALSE)+VLOOKUP(TRIM(U9),Parser!$R$14:'Parser'!$S$17,2,FALSE)</f>
        <v>10.25</v>
      </c>
      <c r="AB9" t="s">
        <v>254</v>
      </c>
      <c r="AC9" s="1">
        <f t="shared" si="4"/>
        <v>0</v>
      </c>
      <c r="AD9" s="1">
        <f t="shared" si="5"/>
        <v>0</v>
      </c>
    </row>
    <row r="10" spans="1:30">
      <c r="A10" s="6" t="s">
        <v>54</v>
      </c>
      <c r="B10" s="2">
        <f>B8/(B8+B9)</f>
        <v>0.375</v>
      </c>
      <c r="F10" t="s">
        <v>142</v>
      </c>
      <c r="N10" s="96" t="s">
        <v>257</v>
      </c>
      <c r="O10" s="97" t="s">
        <v>563</v>
      </c>
      <c r="P10" s="62" t="s">
        <v>263</v>
      </c>
      <c r="R10" t="str">
        <f t="shared" si="0"/>
        <v>fenomenal</v>
      </c>
      <c r="S10" t="str">
        <f t="shared" si="1"/>
        <v>mkt låg</v>
      </c>
      <c r="T10" t="str">
        <f t="shared" si="2"/>
        <v>ypperlig</v>
      </c>
      <c r="U10" t="str">
        <f t="shared" si="3"/>
        <v>låg</v>
      </c>
      <c r="V10" t="s">
        <v>257</v>
      </c>
      <c r="Y10" t="s">
        <v>257</v>
      </c>
      <c r="Z10" s="1">
        <f>VLOOKUP(R10,Parser!$N$5:'Parser'!$O$24,2,FALSE)+VLOOKUP(TRIM(S10),Parser!$R$14:'Parser'!$S$17,2,FALSE)</f>
        <v>8</v>
      </c>
      <c r="AA10" s="1">
        <f>VLOOKUP(T10,Parser!$N$5:'Parser'!$O$24,2,FALSE)+VLOOKUP(TRIM(U10),Parser!$R$14:'Parser'!$S$17,2,FALSE)</f>
        <v>6.25</v>
      </c>
      <c r="AB10" t="s">
        <v>257</v>
      </c>
      <c r="AC10" s="1">
        <f t="shared" si="4"/>
        <v>0</v>
      </c>
      <c r="AD10" s="1">
        <f t="shared" si="5"/>
        <v>0</v>
      </c>
    </row>
    <row r="11" spans="1:30">
      <c r="A11" s="6" t="s">
        <v>55</v>
      </c>
      <c r="B11" s="41">
        <f>5+3.95*ATAN((100*B10-50)/15)</f>
        <v>2.255783809023022</v>
      </c>
      <c r="F11" t="s">
        <v>43</v>
      </c>
      <c r="N11" s="96" t="s">
        <v>260</v>
      </c>
      <c r="O11" s="97" t="s">
        <v>563</v>
      </c>
      <c r="P11" s="62" t="s">
        <v>565</v>
      </c>
      <c r="R11" t="str">
        <f t="shared" si="0"/>
        <v>fenomenal</v>
      </c>
      <c r="S11" t="str">
        <f t="shared" si="1"/>
        <v>mkt låg</v>
      </c>
      <c r="T11" t="str">
        <f t="shared" si="2"/>
        <v>hyfsad</v>
      </c>
      <c r="U11" t="str">
        <f t="shared" si="3"/>
        <v>låg</v>
      </c>
      <c r="V11" t="s">
        <v>260</v>
      </c>
      <c r="Y11" t="s">
        <v>260</v>
      </c>
      <c r="Z11" s="1">
        <f>VLOOKUP(R11,Parser!$N$5:'Parser'!$O$24,2,FALSE)+VLOOKUP(TRIM(S11),Parser!$R$14:'Parser'!$S$17,2,FALSE)</f>
        <v>8</v>
      </c>
      <c r="AA11" s="1">
        <f>VLOOKUP(T11,Parser!$N$5:'Parser'!$O$24,2,FALSE)+VLOOKUP(TRIM(U11),Parser!$R$14:'Parser'!$S$17,2,FALSE)</f>
        <v>4.25</v>
      </c>
      <c r="AB11" t="s">
        <v>260</v>
      </c>
      <c r="AC11" s="1">
        <f t="shared" si="4"/>
        <v>0</v>
      </c>
      <c r="AD11" s="1">
        <f t="shared" si="5"/>
        <v>0</v>
      </c>
    </row>
    <row r="12" spans="1:30">
      <c r="A12" s="4"/>
      <c r="N12" s="96" t="s">
        <v>262</v>
      </c>
      <c r="O12" s="97" t="s">
        <v>567</v>
      </c>
      <c r="P12" s="62" t="s">
        <v>566</v>
      </c>
      <c r="R12" t="str">
        <f t="shared" si="0"/>
        <v>katastrofal</v>
      </c>
      <c r="S12" t="str">
        <f t="shared" si="1"/>
        <v>låg</v>
      </c>
      <c r="T12" t="str">
        <f t="shared" si="2"/>
        <v>enastående</v>
      </c>
      <c r="U12" t="str">
        <f t="shared" si="3"/>
        <v>låg</v>
      </c>
      <c r="V12" t="s">
        <v>262</v>
      </c>
      <c r="Y12" t="s">
        <v>262</v>
      </c>
      <c r="Z12" s="1">
        <f>VLOOKUP(R12,Parser!$N$5:'Parser'!$O$24,2,FALSE)+VLOOKUP(TRIM(S12),Parser!$R$14:'Parser'!$S$17,2,FALSE)</f>
        <v>1.25</v>
      </c>
      <c r="AA12" s="1">
        <f>VLOOKUP(T12,Parser!$N$5:'Parser'!$O$24,2,FALSE)+VLOOKUP(TRIM(U12),Parser!$R$14:'Parser'!$S$17,2,FALSE)</f>
        <v>7.25</v>
      </c>
      <c r="AB12" t="s">
        <v>262</v>
      </c>
      <c r="AC12" s="1">
        <f t="shared" si="4"/>
        <v>0</v>
      </c>
      <c r="AD12" s="1">
        <f t="shared" si="5"/>
        <v>0</v>
      </c>
    </row>
    <row r="13" spans="1:30">
      <c r="A13" s="4" t="s">
        <v>49</v>
      </c>
      <c r="B13" s="25">
        <v>4.68</v>
      </c>
      <c r="F13" t="s">
        <v>140</v>
      </c>
      <c r="N13" s="96" t="s">
        <v>265</v>
      </c>
      <c r="O13" s="97" t="s">
        <v>563</v>
      </c>
      <c r="P13" s="62" t="s">
        <v>261</v>
      </c>
      <c r="R13" t="str">
        <f t="shared" si="0"/>
        <v>fenomenal</v>
      </c>
      <c r="S13" t="str">
        <f t="shared" si="1"/>
        <v>mkt låg</v>
      </c>
      <c r="T13" t="str">
        <f t="shared" si="2"/>
        <v>hyfsad</v>
      </c>
      <c r="U13" t="str">
        <f t="shared" si="3"/>
        <v>mkt låg</v>
      </c>
      <c r="V13" t="s">
        <v>265</v>
      </c>
      <c r="Y13" t="s">
        <v>265</v>
      </c>
      <c r="Z13" s="1">
        <f>VLOOKUP(R13,Parser!$N$5:'Parser'!$O$24,2,FALSE)+VLOOKUP(TRIM(S13),Parser!$R$14:'Parser'!$S$17,2,FALSE)</f>
        <v>8</v>
      </c>
      <c r="AA13" s="1">
        <f>VLOOKUP(T13,Parser!$N$5:'Parser'!$O$24,2,FALSE)+VLOOKUP(TRIM(U13),Parser!$R$14:'Parser'!$S$17,2,FALSE)</f>
        <v>4</v>
      </c>
      <c r="AB13" t="s">
        <v>265</v>
      </c>
      <c r="AC13" s="1">
        <f t="shared" si="4"/>
        <v>0</v>
      </c>
      <c r="AD13" s="1">
        <f t="shared" si="5"/>
        <v>0</v>
      </c>
    </row>
    <row r="14" spans="1:30">
      <c r="A14" s="6" t="s">
        <v>45</v>
      </c>
      <c r="B14" s="2">
        <f>(50+(15*TAN(((B13-5)/3.95))))/100</f>
        <v>0.48782144678019618</v>
      </c>
      <c r="F14" t="s">
        <v>44</v>
      </c>
      <c r="N14" t="s">
        <v>266</v>
      </c>
    </row>
    <row r="15" spans="1:30">
      <c r="A15" s="6" t="s">
        <v>48</v>
      </c>
      <c r="B15" s="41">
        <f>(B14*B9)/(1-B14)</f>
        <v>14.286661664575167</v>
      </c>
      <c r="C15" s="1" t="s">
        <v>176</v>
      </c>
      <c r="D15" s="40" t="str">
        <f>VLOOKUP(FLOOR(B15,1), Parser!$T$5:'Parser'!$U$44,2, FALSE)</f>
        <v>himmelsk</v>
      </c>
      <c r="E15" s="40"/>
      <c r="F15" t="s">
        <v>141</v>
      </c>
      <c r="N15" t="s">
        <v>280</v>
      </c>
    </row>
    <row r="16" spans="1:30">
      <c r="A16" s="4"/>
      <c r="B16" s="39"/>
      <c r="D16" s="40" t="str">
        <f>VLOOKUP(FLOOR((FLOOR((B15-FLOOR(B15,1))*4,1)),1),Parser!$Q$9:'Parser'!$R$12,2,FALSE)</f>
        <v>låg</v>
      </c>
      <c r="E16" s="40"/>
      <c r="N16" t="s">
        <v>91</v>
      </c>
      <c r="O16" t="s">
        <v>295</v>
      </c>
      <c r="P16" t="s">
        <v>296</v>
      </c>
    </row>
    <row r="17" spans="1:24">
      <c r="A17" s="4"/>
      <c r="N17" t="s">
        <v>283</v>
      </c>
      <c r="O17" t="s">
        <v>251</v>
      </c>
      <c r="P17" t="s">
        <v>297</v>
      </c>
    </row>
    <row r="18" spans="1:24" ht="52.8">
      <c r="A18" s="12" t="s">
        <v>47</v>
      </c>
      <c r="G18" s="35" t="s">
        <v>144</v>
      </c>
      <c r="N18" t="s">
        <v>266</v>
      </c>
    </row>
    <row r="19" spans="1:24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285</v>
      </c>
      <c r="Q19" s="4"/>
    </row>
    <row r="20" spans="1:24">
      <c r="A20" s="4" t="s">
        <v>56</v>
      </c>
      <c r="B20" s="8">
        <f>0.25*$B$11</f>
        <v>0.5639459522557555</v>
      </c>
      <c r="C20" s="8">
        <f>0.35*$B$11</f>
        <v>0.7895243331580577</v>
      </c>
      <c r="D20" s="8">
        <f>0.25*$B$11</f>
        <v>0.5639459522557555</v>
      </c>
      <c r="E20" s="43">
        <f t="shared" ref="E20:E26" si="6">0.15*$B$11</f>
        <v>0.3383675713534533</v>
      </c>
      <c r="F20" s="8">
        <f t="shared" ref="F20:F26" si="7">SUM(B20:E20)</f>
        <v>2.255783809023022</v>
      </c>
      <c r="H20" s="8">
        <f>0.25*$B$13</f>
        <v>1.17</v>
      </c>
      <c r="I20" s="8">
        <f>0.35*$B$13</f>
        <v>1.6379999999999999</v>
      </c>
      <c r="J20" s="8">
        <f>0.25*$B$13</f>
        <v>1.17</v>
      </c>
      <c r="K20" s="43">
        <f t="shared" ref="K20:K26" si="8">0.15*$B$13</f>
        <v>0.70199999999999996</v>
      </c>
      <c r="L20" s="8">
        <f t="shared" ref="L20:L26" si="9">SUM(H20:K20)</f>
        <v>4.68</v>
      </c>
      <c r="N20" t="s">
        <v>287</v>
      </c>
      <c r="O20" t="s">
        <v>298</v>
      </c>
      <c r="P20" t="s">
        <v>286</v>
      </c>
    </row>
    <row r="21" spans="1:24">
      <c r="A21" s="4" t="s">
        <v>8</v>
      </c>
      <c r="B21" s="8">
        <f>(0.25*$B$11)-($B$20*0.2)</f>
        <v>0.4511567618046044</v>
      </c>
      <c r="C21" s="8">
        <f>(0.35*$B$11)+($B$20*0.2)+($D$20*0.2)</f>
        <v>1.0151027140603599</v>
      </c>
      <c r="D21" s="8">
        <f>(0.25*$B$11)-($D$20*0.2)</f>
        <v>0.4511567618046044</v>
      </c>
      <c r="E21" s="8">
        <f t="shared" si="6"/>
        <v>0.3383675713534533</v>
      </c>
      <c r="F21" s="8">
        <f t="shared" si="7"/>
        <v>2.255783809023022</v>
      </c>
      <c r="G21" s="7"/>
      <c r="H21" s="8">
        <f>(0.25*$B$13)-($H$20*0.2)</f>
        <v>0.93599999999999994</v>
      </c>
      <c r="I21" s="8">
        <f>(0.35*$B$13)+($H$20*0.2)+($J$20*0.2)</f>
        <v>2.1059999999999999</v>
      </c>
      <c r="J21" s="8">
        <f>(0.25*$B$13)-($J$20*0.2)</f>
        <v>0.93599999999999994</v>
      </c>
      <c r="K21" s="8">
        <f t="shared" si="8"/>
        <v>0.70199999999999996</v>
      </c>
      <c r="L21" s="8">
        <f t="shared" si="9"/>
        <v>4.68</v>
      </c>
      <c r="N21" t="s">
        <v>289</v>
      </c>
      <c r="O21" t="s">
        <v>78</v>
      </c>
      <c r="P21" t="s">
        <v>290</v>
      </c>
    </row>
    <row r="22" spans="1:24">
      <c r="A22" s="4" t="s">
        <v>10</v>
      </c>
      <c r="B22" s="8">
        <f>(0.25*$B$11)-($B$20*0.3)</f>
        <v>0.39476216657902885</v>
      </c>
      <c r="C22" s="8">
        <f>(0.35*$B$11)+($B$20*0.3)+($D$20*0.3)</f>
        <v>1.127891904511511</v>
      </c>
      <c r="D22" s="8">
        <f>(0.25*$B$11)-($D$20*0.3)</f>
        <v>0.39476216657902885</v>
      </c>
      <c r="E22" s="8">
        <f t="shared" si="6"/>
        <v>0.3383675713534533</v>
      </c>
      <c r="F22" s="8">
        <f t="shared" si="7"/>
        <v>2.255783809023022</v>
      </c>
      <c r="G22" s="7"/>
      <c r="H22" s="8">
        <f>(0.25*$B$13)-($H$20*0.3)</f>
        <v>0.81899999999999995</v>
      </c>
      <c r="I22" s="8">
        <f>(0.35*$B$13)+($H$20*0.3)+($J$20*0.3)</f>
        <v>2.34</v>
      </c>
      <c r="J22" s="8">
        <f>(0.25*$B$13)-($J$20*0.3)</f>
        <v>0.81899999999999995</v>
      </c>
      <c r="K22" s="8">
        <f t="shared" si="8"/>
        <v>0.70199999999999996</v>
      </c>
      <c r="L22" s="8">
        <f t="shared" si="9"/>
        <v>4.68</v>
      </c>
    </row>
    <row r="23" spans="1:24">
      <c r="A23" s="4" t="s">
        <v>9</v>
      </c>
      <c r="B23" s="8">
        <f>(0.25*$B$11)-($B$20*0.4)</f>
        <v>0.3383675713534533</v>
      </c>
      <c r="C23" s="8">
        <f>(0.35*$B$11)+($B$20*0.4)+($D$20*0.4)</f>
        <v>1.2406810949626621</v>
      </c>
      <c r="D23" s="8">
        <f>(0.25*$B$11)-($D$20*0.4)</f>
        <v>0.3383675713534533</v>
      </c>
      <c r="E23" s="8">
        <f t="shared" si="6"/>
        <v>0.3383675713534533</v>
      </c>
      <c r="F23" s="8">
        <f t="shared" si="7"/>
        <v>2.255783809023022</v>
      </c>
      <c r="G23" s="7"/>
      <c r="H23" s="8">
        <f>(0.25*$B$13)-($H$20*0.4)</f>
        <v>0.70199999999999996</v>
      </c>
      <c r="I23" s="8">
        <f>(0.35*$B$13)+($H$20*0.4)+($J$20*0.4)</f>
        <v>2.5739999999999998</v>
      </c>
      <c r="J23" s="8">
        <f>(0.25*$B$13)-($J$20*0.4)</f>
        <v>0.70199999999999996</v>
      </c>
      <c r="K23" s="8">
        <f t="shared" si="8"/>
        <v>0.70199999999999996</v>
      </c>
      <c r="L23" s="8">
        <f t="shared" si="9"/>
        <v>4.68</v>
      </c>
      <c r="N23" s="89" t="s">
        <v>274</v>
      </c>
      <c r="O23" s="90">
        <f>4*(3*(AC7+0.25)+SUM(AC8:AC13)+0.25*6)</f>
        <v>98.28</v>
      </c>
      <c r="P23" s="90">
        <f>4*(3*(AD7+0.25)+SUM(AD8:AD13)+0.25*6)</f>
        <v>90.72</v>
      </c>
    </row>
    <row r="24" spans="1:24">
      <c r="A24" s="4" t="s">
        <v>11</v>
      </c>
      <c r="B24" s="8">
        <f>(0.25*$B$11)+($C$20*0.2/2)</f>
        <v>0.64289838557156131</v>
      </c>
      <c r="C24" s="8">
        <f>(0.35*$B$11)-($C$20*0.2)</f>
        <v>0.63161946652644618</v>
      </c>
      <c r="D24" s="8">
        <f>(0.25*$B$11)+(($C$20*0.2)/2)</f>
        <v>0.64289838557156131</v>
      </c>
      <c r="E24" s="8">
        <f t="shared" si="6"/>
        <v>0.3383675713534533</v>
      </c>
      <c r="F24" s="8">
        <f t="shared" si="7"/>
        <v>2.255783809023022</v>
      </c>
      <c r="G24" s="7"/>
      <c r="H24" s="8">
        <f>(0.25*$B$13)+($I$20*0.2/2)</f>
        <v>1.3337999999999999</v>
      </c>
      <c r="I24" s="8">
        <f>(0.35*$B$13)-($I$20*0.2)</f>
        <v>1.3104</v>
      </c>
      <c r="J24" s="8">
        <f>(0.25*$B$13)+(($I$20*0.2)/2)</f>
        <v>1.3337999999999999</v>
      </c>
      <c r="K24" s="8">
        <f t="shared" si="8"/>
        <v>0.70199999999999996</v>
      </c>
      <c r="L24" s="8">
        <f t="shared" si="9"/>
        <v>4.68</v>
      </c>
    </row>
    <row r="25" spans="1:24">
      <c r="A25" s="4" t="s">
        <v>12</v>
      </c>
      <c r="B25" s="8">
        <f>(0.25*$B$11)+($C$20*0.3/2)</f>
        <v>0.68237460222946411</v>
      </c>
      <c r="C25" s="8">
        <f>(0.35*$B$11)-($C$20*0.3)</f>
        <v>0.55266703321064037</v>
      </c>
      <c r="D25" s="8">
        <f>(0.25*$B$11)+(($C$20*0.3)/2)</f>
        <v>0.68237460222946411</v>
      </c>
      <c r="E25" s="8">
        <f t="shared" si="6"/>
        <v>0.3383675713534533</v>
      </c>
      <c r="F25" s="8">
        <f t="shared" si="7"/>
        <v>2.255783809023022</v>
      </c>
      <c r="G25" s="7"/>
      <c r="H25" s="8">
        <f>(0.25*$B$13)+($I$20*0.3/2)</f>
        <v>1.4157</v>
      </c>
      <c r="I25" s="8">
        <f>(0.35*$B$13)-($I$20*0.3)</f>
        <v>1.1465999999999998</v>
      </c>
      <c r="J25" s="8">
        <f>(0.25*$B$13)+(($I$20*0.3)/2)</f>
        <v>1.4157</v>
      </c>
      <c r="K25" s="8">
        <f t="shared" si="8"/>
        <v>0.70199999999999996</v>
      </c>
      <c r="L25" s="8">
        <f t="shared" si="9"/>
        <v>4.68</v>
      </c>
      <c r="N25" s="4" t="s">
        <v>279</v>
      </c>
      <c r="O25" s="3" t="str">
        <f>O6</f>
        <v>Sverige</v>
      </c>
      <c r="P25" s="3" t="str">
        <f>P6</f>
        <v>Ungern</v>
      </c>
    </row>
    <row r="26" spans="1:24">
      <c r="A26" s="4" t="s">
        <v>13</v>
      </c>
      <c r="B26" s="8">
        <f>(0.25*$B$11)+($C$20*0.4/2)</f>
        <v>0.72185081888736702</v>
      </c>
      <c r="C26" s="8">
        <f>(0.35*$B$11)-($C$20*0.4)</f>
        <v>0.47371459989483461</v>
      </c>
      <c r="D26" s="8">
        <f>(0.25*$B$11)+(($C$20*0.4)/2)</f>
        <v>0.72185081888736702</v>
      </c>
      <c r="E26" s="8">
        <f t="shared" si="6"/>
        <v>0.3383675713534533</v>
      </c>
      <c r="F26" s="8">
        <f t="shared" si="7"/>
        <v>2.255783809023022</v>
      </c>
      <c r="G26" s="7"/>
      <c r="H26" s="8">
        <f>(0.25*$B$13)+($I$20*0.4/2)</f>
        <v>1.4975999999999998</v>
      </c>
      <c r="I26" s="8">
        <f>(0.35*$B$13)-($I$20*0.4)</f>
        <v>0.9827999999999999</v>
      </c>
      <c r="J26" s="8">
        <f>(0.25*$B$13)+(($I$20*0.4)/2)</f>
        <v>1.4975999999999998</v>
      </c>
      <c r="K26" s="8">
        <f t="shared" si="8"/>
        <v>0.70199999999999996</v>
      </c>
      <c r="L26" s="8">
        <f t="shared" si="9"/>
        <v>4.68</v>
      </c>
      <c r="N26" t="s">
        <v>249</v>
      </c>
      <c r="O26" s="8" t="str">
        <f>IF((AC7-AD7)&lt;0,CONCATENATE("",TEXT(AC7-AD7,"0,00")),CONCATENATE("+",TEXT(AC7-AD7,"0,00")))</f>
        <v>+0,63</v>
      </c>
      <c r="P26" s="8" t="str">
        <f>IF((AD7-AC7)&lt;0,CONCATENATE("",TEXT(AD7-AC7,"0,00")),CONCATENATE("+",TEXT(AD7-AC7,"0,00")))</f>
        <v>-0,63</v>
      </c>
      <c r="Q26" t="s">
        <v>276</v>
      </c>
    </row>
    <row r="27" spans="1:24">
      <c r="A27" s="4"/>
      <c r="E27" s="1"/>
      <c r="N27" t="s">
        <v>252</v>
      </c>
      <c r="O27" s="8" t="str">
        <f>IF((AC8-AD13)&lt;0,CONCATENATE("",TEXT(AC8-AD13,"0,00")),CONCATENATE("+",TEXT(AC8-AD13,"0,00")))</f>
        <v>+0,00</v>
      </c>
      <c r="P27" s="8" t="str">
        <f>IF((AD8-AC13)&lt;0,CONCATENATE("",TEXT(AD8-AC13,"0,00")),CONCATENATE("+",TEXT(AD8-AC13,"0,00")))</f>
        <v>+0,00</v>
      </c>
      <c r="Q27" t="s">
        <v>277</v>
      </c>
      <c r="R27" s="1"/>
    </row>
    <row r="28" spans="1:24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IF((AC9-AD12)&lt;0,CONCATENATE("",TEXT(AC9-AD12,"0,00")),CONCATENATE("+",TEXT(AC9-AD12,"0,00")))</f>
        <v>+0,00</v>
      </c>
      <c r="P28" s="8" t="str">
        <f>IF((AD9-AC12)&lt;0,CONCATENATE("",TEXT(AD9-AC12,"0,00")),CONCATENATE("+",TEXT(AD9-AC12,"0,00")))</f>
        <v>+0,00</v>
      </c>
      <c r="Q28" t="s">
        <v>277</v>
      </c>
      <c r="R28" s="1"/>
    </row>
    <row r="29" spans="1:24">
      <c r="A29" s="4" t="s">
        <v>20</v>
      </c>
      <c r="B29" s="26">
        <f>AC13</f>
        <v>0</v>
      </c>
      <c r="C29" s="26">
        <f>AC12</f>
        <v>0</v>
      </c>
      <c r="D29" s="26">
        <f>AC11</f>
        <v>0</v>
      </c>
      <c r="E29" s="1"/>
      <c r="N29" t="s">
        <v>257</v>
      </c>
      <c r="O29" s="91" t="str">
        <f>IF((AC10-AD11)&lt;0,CONCATENATE("",TEXT(AC10-AD11,"0,00")),CONCATENATE("+",TEXT(AC10-AD11,"0,00")))</f>
        <v>+0,00</v>
      </c>
      <c r="P29" s="91" t="str">
        <f>IF((AD10-AC11)&lt;0,CONCATENATE("",TEXT(AD10-AC11,"0,00")),CONCATENATE("+",TEXT(AD10-AC11,"0,00")))</f>
        <v>+0,00</v>
      </c>
      <c r="Q29" t="s">
        <v>277</v>
      </c>
    </row>
    <row r="30" spans="1:24">
      <c r="A30" s="4" t="s">
        <v>21</v>
      </c>
      <c r="B30" s="26">
        <f>AD8</f>
        <v>0</v>
      </c>
      <c r="C30" s="26">
        <f>AD9</f>
        <v>0</v>
      </c>
      <c r="D30" s="26">
        <f>AD10</f>
        <v>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IF((AC11-AD10)&lt;0,CONCATENATE("",TEXT(AC11-AD10,"0,00")),CONCATENATE("+",TEXT(AC11-AD10,"0,00")))</f>
        <v>+0,00</v>
      </c>
      <c r="P30" s="91" t="str">
        <f>IF((AD11-AC10)&lt;0,CONCATENATE("",TEXT(AD11-AC10,"0,00")),CONCATENATE("+",TEXT(AD11-AC10,"0,00")))</f>
        <v>+0,00</v>
      </c>
      <c r="Q30" s="6" t="s">
        <v>278</v>
      </c>
    </row>
    <row r="31" spans="1:24">
      <c r="A31" s="4" t="s">
        <v>3</v>
      </c>
      <c r="B31" s="30" t="e">
        <f>1/(1+(POWER(B30, $J$31)/POWER(B29, $K$31)))</f>
        <v>#DIV/0!</v>
      </c>
      <c r="C31" s="30" t="e">
        <f>1/(1+(POWER(C30, $J$31)/POWER(C29, $K$31)))</f>
        <v>#DIV/0!</v>
      </c>
      <c r="D31" s="30" t="e">
        <f>1/(1+(POWER(D30, $J$31)/POWER(D29, $K$31)))</f>
        <v>#DIV/0!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IF((AC12-AD9)&lt;0,CONCATENATE("",TEXT(AC12-AD9,"0,00")),CONCATENATE("+",TEXT(AC12-AD9,"0,00")))</f>
        <v>+0,00</v>
      </c>
      <c r="P31" s="8" t="str">
        <f>IF((AD12-AC9)&lt;0,CONCATENATE("",TEXT(AD12-AC9,"0,00")),CONCATENATE("+",TEXT(AD12-AC9,"0,00")))</f>
        <v>+0,00</v>
      </c>
      <c r="Q31" s="6" t="s">
        <v>278</v>
      </c>
    </row>
    <row r="32" spans="1:24" s="6" customFormat="1">
      <c r="A32" s="4" t="s">
        <v>4</v>
      </c>
      <c r="B32" s="31" t="e">
        <f>1/(1+POWER((B30/B29),$J$32))</f>
        <v>#DIV/0!</v>
      </c>
      <c r="C32" s="31" t="e">
        <f>1/(1+POWER((C30/C29),$J$32))</f>
        <v>#DIV/0!</v>
      </c>
      <c r="D32" s="31" t="e">
        <f>1/(1+POWER((D30/D29),$J$32))</f>
        <v>#DIV/0!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IF((AC13-AD8)&lt;0,CONCATENATE("",TEXT(AC13-AD8,"0,00")),CONCATENATE("+",TEXT(AC13-AD8,"0,00")))</f>
        <v>+0,00</v>
      </c>
      <c r="P32" s="8" t="str">
        <f>IF((AD13-AC8)&lt;0,CONCATENATE("",TEXT(AD13-AC8,"0,00")),CONCATENATE("+",TEXT(AD13-AC8,"0,00")))</f>
        <v>+0,00</v>
      </c>
      <c r="Q32" s="6" t="s">
        <v>278</v>
      </c>
      <c r="W32" s="18"/>
      <c r="X32" s="18"/>
    </row>
    <row r="33" spans="1:24" s="6" customFormat="1">
      <c r="A33" s="4" t="s">
        <v>5</v>
      </c>
      <c r="B33" s="31" t="e">
        <f>1/(1+(($L$33*POWER(B30, $J$31))/POWER(B29, $K$31)))</f>
        <v>#DIV/0!</v>
      </c>
      <c r="C33" s="31" t="e">
        <f>1/(1+(($L$33*POWER(C30, $J$31))/POWER(C29, $K$31)))</f>
        <v>#DIV/0!</v>
      </c>
      <c r="D33" s="31" t="e">
        <f>1/(1+(($L$33*POWER(D30, $J$31))/POWER(D29, $K$31)))</f>
        <v>#DIV/0!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  <c r="W33" s="18"/>
      <c r="X33" s="18"/>
    </row>
    <row r="34" spans="1:24">
      <c r="A34" s="4"/>
      <c r="E34" s="1"/>
      <c r="N34" s="6" t="s">
        <v>291</v>
      </c>
      <c r="O34" s="94">
        <f>AC7/(AC7+AD7)</f>
        <v>0.52210526315789474</v>
      </c>
      <c r="P34" s="94">
        <f>AD7/(AD7+AC7)</f>
        <v>0.47789473684210526</v>
      </c>
    </row>
    <row r="35" spans="1:24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5.5779453876198692</v>
      </c>
      <c r="P35" s="38">
        <f>5+3.95*ATAN((100*P34-50)/15)</f>
        <v>4.4220546123801308</v>
      </c>
    </row>
    <row r="36" spans="1:24">
      <c r="A36" s="4" t="s">
        <v>23</v>
      </c>
      <c r="B36" s="26">
        <f>AD13</f>
        <v>0</v>
      </c>
      <c r="C36" s="26">
        <f>AD12</f>
        <v>0</v>
      </c>
      <c r="D36" s="26">
        <f>AD11</f>
        <v>0</v>
      </c>
      <c r="E36" s="1"/>
      <c r="O36" s="7"/>
      <c r="P36" s="7"/>
    </row>
    <row r="37" spans="1:24">
      <c r="A37" s="4" t="s">
        <v>22</v>
      </c>
      <c r="B37" s="26">
        <f>AC8</f>
        <v>0</v>
      </c>
      <c r="C37" s="26">
        <f>AC9</f>
        <v>0</v>
      </c>
      <c r="D37" s="26">
        <f>AC10</f>
        <v>0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24">
      <c r="A38" s="4" t="s">
        <v>3</v>
      </c>
      <c r="B38" s="30" t="e">
        <f>1/(1+(POWER(B37, $J$31)/POWER(B36, $K$31)))</f>
        <v>#DIV/0!</v>
      </c>
      <c r="C38" s="30" t="e">
        <f>1/(1+(POWER(C37, $J$31)/POWER(C36, $K$31)))</f>
        <v>#DIV/0!</v>
      </c>
      <c r="D38" s="30" t="e">
        <f>1/(1+(POWER(D37, $J$31)/POWER(D36, $K$31)))</f>
        <v>#DIV/0!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24">
      <c r="A39" s="4" t="s">
        <v>4</v>
      </c>
      <c r="B39" s="30" t="e">
        <f>1/(1+POWER((B37/B36),$J$32))</f>
        <v>#DIV/0!</v>
      </c>
      <c r="C39" s="30" t="e">
        <f>1/(1+POWER((C37/C36),$J$32))</f>
        <v>#DIV/0!</v>
      </c>
      <c r="D39" s="30" t="e">
        <f>1/(1+POWER((D37/D36),$J$32))</f>
        <v>#DIV/0!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24">
      <c r="A40" s="4" t="s">
        <v>5</v>
      </c>
      <c r="B40" s="30" t="e">
        <f>1/(1+($L$33*POWER(B37, $J$31)/POWER(B36, $K$31)))</f>
        <v>#DIV/0!</v>
      </c>
      <c r="C40" s="30" t="e">
        <f>1/(1+($L$33*POWER(C37, $J$31)/POWER(C36, $K$31)))</f>
        <v>#DIV/0!</v>
      </c>
      <c r="D40" s="30" t="e">
        <f>1/(1+($L$33*POWER(D37, $J$31)/POWER(D36, $K$31)))</f>
        <v>#DIV/0!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24" s="20" customFormat="1" ht="13.8" thickBot="1">
      <c r="B41" s="21"/>
      <c r="C41" s="21"/>
      <c r="D41" s="21"/>
      <c r="E41" s="21"/>
      <c r="O41" s="93"/>
      <c r="P41" s="93"/>
      <c r="W41" s="21"/>
      <c r="X41" s="21"/>
    </row>
    <row r="42" spans="1:24" s="22" customFormat="1">
      <c r="B42" s="23"/>
      <c r="C42" s="23"/>
      <c r="D42" s="23"/>
      <c r="E42" s="23"/>
      <c r="W42" s="23"/>
      <c r="X42" s="23"/>
    </row>
    <row r="43" spans="1:24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  <c r="W43" s="23"/>
      <c r="X43" s="23"/>
    </row>
    <row r="44" spans="1:24" s="22" customFormat="1">
      <c r="A44" s="36"/>
      <c r="B44" s="37"/>
      <c r="C44" s="37"/>
      <c r="D44" s="37"/>
      <c r="E44" s="37"/>
      <c r="F44" s="36"/>
      <c r="G44" s="36"/>
      <c r="W44" s="23"/>
      <c r="X44" s="23"/>
    </row>
    <row r="45" spans="1:24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24">
      <c r="A46" s="4" t="s">
        <v>105</v>
      </c>
      <c r="B46" s="8">
        <f>0.26*(10-$B$11)</f>
        <v>2.0134962096540145</v>
      </c>
      <c r="C46" s="8">
        <f>0.38*(10-$B$11)</f>
        <v>2.9428021525712516</v>
      </c>
      <c r="D46" s="8">
        <f>0.26*(10-$B$11)</f>
        <v>2.0134962096540145</v>
      </c>
      <c r="E46" s="43">
        <f>0.1*(10-$B$11)</f>
        <v>0.7744216190976978</v>
      </c>
      <c r="F46" s="8">
        <f>SUM(B46:E46)</f>
        <v>7.744216190976978</v>
      </c>
      <c r="H46" s="8">
        <f>0.26*(10-$B$13)</f>
        <v>1.3832000000000002</v>
      </c>
      <c r="I46" s="8">
        <f>0.38*(10-$B$13)</f>
        <v>2.0216000000000003</v>
      </c>
      <c r="J46" s="8">
        <f>0.26*(10-$B$13)</f>
        <v>1.3832000000000002</v>
      </c>
      <c r="K46" s="43">
        <f>0.1*(10-$B$13)</f>
        <v>0.53200000000000003</v>
      </c>
      <c r="L46" s="8">
        <f>SUM(H46:K46)</f>
        <v>5.3200000000000012</v>
      </c>
    </row>
    <row r="47" spans="1:24">
      <c r="A47" s="4" t="s">
        <v>106</v>
      </c>
      <c r="B47" s="8" t="e">
        <f>B46*B38</f>
        <v>#DIV/0!</v>
      </c>
      <c r="C47" s="8" t="e">
        <f>C46*C38</f>
        <v>#DIV/0!</v>
      </c>
      <c r="D47" s="8" t="e">
        <f>D46*D38</f>
        <v>#DIV/0!</v>
      </c>
      <c r="E47" s="38"/>
      <c r="F47" s="34" t="e">
        <f>SUM(B47:D47)</f>
        <v>#DIV/0!</v>
      </c>
      <c r="H47" s="8" t="e">
        <f>H46*B38</f>
        <v>#DIV/0!</v>
      </c>
      <c r="I47" s="8" t="e">
        <f>I46*C38</f>
        <v>#DIV/0!</v>
      </c>
      <c r="J47" s="8" t="e">
        <f>J46*D38</f>
        <v>#DIV/0!</v>
      </c>
      <c r="K47" s="8"/>
      <c r="L47" s="34" t="e">
        <f>SUM(H47:J47)</f>
        <v>#DIV/0!</v>
      </c>
      <c r="N47" s="17" t="s">
        <v>148</v>
      </c>
    </row>
    <row r="48" spans="1:24">
      <c r="A48" s="4" t="s">
        <v>6</v>
      </c>
      <c r="B48" s="8" t="e">
        <f>B38*((0.26*(10-$B$11))-((0.26*(10-$B$11))*0.3))</f>
        <v>#DIV/0!</v>
      </c>
      <c r="C48" s="8" t="e">
        <f>C38*((0.38*(10-$B$11))+((0.38*(10-$B$11))*0.3))</f>
        <v>#DIV/0!</v>
      </c>
      <c r="D48" s="8" t="e">
        <f>D38*((0.26*(10-$B$11))-((0.26*(10-$B$11))*0.3))</f>
        <v>#DIV/0!</v>
      </c>
      <c r="E48" s="38"/>
      <c r="F48" s="34" t="e">
        <f>SUM(B48:D48)</f>
        <v>#DIV/0!</v>
      </c>
      <c r="H48" s="8" t="e">
        <f>B38*((0.26*(10-$B$13))-((0.26*(10-$B$13))*0.3))</f>
        <v>#DIV/0!</v>
      </c>
      <c r="I48" s="8" t="e">
        <f>C38*((0.38*(10-$B$13))+((0.38*(10-$B$13))*0.3))</f>
        <v>#DIV/0!</v>
      </c>
      <c r="J48" s="8" t="e">
        <f>D38*((0.26*(10-$B$13))-((0.26*(10-$B$13))*0.3))</f>
        <v>#DIV/0!</v>
      </c>
      <c r="K48" s="8"/>
      <c r="L48" s="34" t="e">
        <f>SUM(H48:J48)</f>
        <v>#DIV/0!</v>
      </c>
      <c r="N48" s="17" t="s">
        <v>177</v>
      </c>
    </row>
    <row r="49" spans="1:14">
      <c r="A49" s="4" t="s">
        <v>7</v>
      </c>
      <c r="B49" s="8" t="e">
        <f>B38*((0.26*(10-$B$11))+((0.26*(10-$B$11))*0.3))</f>
        <v>#DIV/0!</v>
      </c>
      <c r="C49" s="8" t="e">
        <f>C38*((0.38*(10-$B$11))-((0.38*(10-$B$11))*0.3))</f>
        <v>#DIV/0!</v>
      </c>
      <c r="D49" s="8" t="e">
        <f>D38*((0.26*(10-$B$11))+((0.26*(10-$B$11))*0.3))</f>
        <v>#DIV/0!</v>
      </c>
      <c r="E49" s="38"/>
      <c r="F49" s="34" t="e">
        <f>SUM(B49:D49)</f>
        <v>#DIV/0!</v>
      </c>
      <c r="H49" s="8" t="e">
        <f>B39*((0.26*(10-$B$13))+((0.26*(10-$B$13))*0.3))</f>
        <v>#DIV/0!</v>
      </c>
      <c r="I49" s="8" t="e">
        <f>C39*((0.38*(10-$B$13))-((0.38*(10-$B$13))*0.3))</f>
        <v>#DIV/0!</v>
      </c>
      <c r="J49" s="8" t="e">
        <f>D39*((0.26*(10-$B$13)+((0.26*(10-$B$13))*0.3)))</f>
        <v>#DIV/0!</v>
      </c>
      <c r="K49" s="8"/>
      <c r="L49" s="34" t="e">
        <f>SUM(H49:J49)</f>
        <v>#DIV/0!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 t="e">
        <f>B20*B31</f>
        <v>#DIV/0!</v>
      </c>
      <c r="C51" s="8" t="e">
        <f>C20*C31</f>
        <v>#DIV/0!</v>
      </c>
      <c r="D51" s="8" t="e">
        <f>D20*D31</f>
        <v>#DIV/0!</v>
      </c>
      <c r="E51" s="38"/>
      <c r="F51" s="34" t="e">
        <f>SUM(B51:D51)</f>
        <v>#DIV/0!</v>
      </c>
      <c r="G51" s="4" t="s">
        <v>104</v>
      </c>
      <c r="H51" s="8" t="e">
        <f>H20*B31</f>
        <v>#DIV/0!</v>
      </c>
      <c r="I51" s="8" t="e">
        <f>I20*C31</f>
        <v>#DIV/0!</v>
      </c>
      <c r="J51" s="8" t="e">
        <f>J20*D31</f>
        <v>#DIV/0!</v>
      </c>
      <c r="K51" s="8"/>
      <c r="L51" s="34" t="e">
        <f>SUM(H51:J51)</f>
        <v>#DIV/0!</v>
      </c>
      <c r="N51" s="17" t="s">
        <v>147</v>
      </c>
    </row>
    <row r="52" spans="1:14">
      <c r="A52" s="4" t="s">
        <v>6</v>
      </c>
      <c r="B52" s="8" t="e">
        <f>B22*B31</f>
        <v>#DIV/0!</v>
      </c>
      <c r="C52" s="8" t="e">
        <f>C22*C31</f>
        <v>#DIV/0!</v>
      </c>
      <c r="D52" s="8" t="e">
        <f>D22*D31</f>
        <v>#DIV/0!</v>
      </c>
      <c r="E52" s="38"/>
      <c r="F52" s="34" t="e">
        <f>SUM(B52:D52)</f>
        <v>#DIV/0!</v>
      </c>
      <c r="G52" s="4" t="s">
        <v>6</v>
      </c>
      <c r="H52" s="8" t="e">
        <f>H22*B31</f>
        <v>#DIV/0!</v>
      </c>
      <c r="I52" s="8" t="e">
        <f>I22*C31</f>
        <v>#DIV/0!</v>
      </c>
      <c r="J52" s="8" t="e">
        <f>J22*D31</f>
        <v>#DIV/0!</v>
      </c>
      <c r="K52" s="8"/>
      <c r="L52" s="34" t="e">
        <f>SUM(H52:J52)</f>
        <v>#DIV/0!</v>
      </c>
      <c r="N52" s="17" t="s">
        <v>149</v>
      </c>
    </row>
    <row r="53" spans="1:14">
      <c r="A53" s="4" t="s">
        <v>7</v>
      </c>
      <c r="B53" s="8" t="e">
        <f>B25*B31</f>
        <v>#DIV/0!</v>
      </c>
      <c r="C53" s="8" t="e">
        <f>C25*C31</f>
        <v>#DIV/0!</v>
      </c>
      <c r="D53" s="8" t="e">
        <f>D25*D31</f>
        <v>#DIV/0!</v>
      </c>
      <c r="E53" s="38"/>
      <c r="F53" s="34" t="e">
        <f>SUM(B53:D53)</f>
        <v>#DIV/0!</v>
      </c>
      <c r="G53" s="4" t="s">
        <v>7</v>
      </c>
      <c r="H53" s="8" t="e">
        <f>H25*B31</f>
        <v>#DIV/0!</v>
      </c>
      <c r="I53" s="8" t="e">
        <f>I25*C31</f>
        <v>#DIV/0!</v>
      </c>
      <c r="J53" s="8" t="e">
        <f>J25*D31</f>
        <v>#DIV/0!</v>
      </c>
      <c r="K53" s="8"/>
      <c r="L53" s="34" t="e">
        <f>SUM(H53:J53)</f>
        <v>#DIV/0!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dataValidations count="2">
    <dataValidation type="list" allowBlank="1" showInputMessage="1" showErrorMessage="1" sqref="O7:P13">
      <formula1>Förmågenivå</formula1>
    </dataValidation>
    <dataValidation type="list" allowBlank="1" showInputMessage="1" showErrorMessage="1" sqref="Q3">
      <formula1>Input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Description</vt:lpstr>
      <vt:lpstr>PlayerData</vt:lpstr>
      <vt:lpstr>TeamData</vt:lpstr>
      <vt:lpstr>Summary</vt:lpstr>
      <vt:lpstr>RawData</vt:lpstr>
      <vt:lpstr>TS Analysis</vt:lpstr>
      <vt:lpstr>Match predictor</vt:lpstr>
      <vt:lpstr>Team tool (GBK)</vt:lpstr>
      <vt:lpstr>Team tool (SWE)</vt:lpstr>
      <vt:lpstr>Ability analyser</vt:lpstr>
      <vt:lpstr>Coach</vt:lpstr>
      <vt:lpstr>Confidence</vt:lpstr>
      <vt:lpstr>Player tool 2</vt:lpstr>
      <vt:lpstr>Player Tools</vt:lpstr>
      <vt:lpstr>Övriga vertyg</vt:lpstr>
      <vt:lpstr>Parser</vt:lpstr>
      <vt:lpstr>Tables</vt:lpstr>
      <vt:lpstr>LL Player tool</vt:lpstr>
      <vt:lpstr>CA</vt:lpstr>
      <vt:lpstr>Player tool 2.0</vt:lpstr>
      <vt:lpstr>Salary</vt:lpstr>
      <vt:lpstr>Economy</vt:lpstr>
      <vt:lpstr>Stamina performance</vt:lpstr>
      <vt:lpstr>Stamina training</vt:lpstr>
      <vt:lpstr>Form vs Stamina</vt:lpstr>
      <vt:lpstr>Experience vs Form</vt:lpstr>
      <vt:lpstr> Experience vs Stamina (abs)</vt:lpstr>
      <vt:lpstr> Experience vs Stamina (rel)</vt:lpstr>
      <vt:lpstr>Sheet1</vt:lpstr>
      <vt:lpstr>Chance conversion</vt:lpstr>
      <vt:lpstr>Chance conversion new</vt:lpstr>
      <vt:lpstr>CC tables</vt:lpstr>
      <vt:lpstr>Förmågenivå</vt:lpstr>
      <vt:lpstr>Input</vt:lpstr>
    </vt:vector>
  </TitlesOfParts>
  <Company>Alps Nordic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2007-03-06T10:45:17Z</dcterms:created>
  <dcterms:modified xsi:type="dcterms:W3CDTF">2012-04-20T08:23:44Z</dcterms:modified>
</cp:coreProperties>
</file>