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84" yWindow="132" windowWidth="18180" windowHeight="10848"/>
  </bookViews>
  <sheets>
    <sheet name="Team tool (SWE)" sheetId="1" r:id="rId1"/>
    <sheet name="Tables" sheetId="2" r:id="rId2"/>
    <sheet name="Parser" sheetId="3" r:id="rId3"/>
  </sheets>
  <externalReferences>
    <externalReference r:id="rId4"/>
  </externalReferences>
  <definedNames>
    <definedName name="_xlnm._FilterDatabase" localSheetId="1" hidden="1">Tables!$V$1:$V$122</definedName>
    <definedName name="Förmågenivå">[1]Tables!$V$2:$V$122</definedName>
    <definedName name="Input">[1]Tables!$G$17:$G$18</definedName>
  </definedNames>
  <calcPr calcId="125725"/>
</workbook>
</file>

<file path=xl/calcChain.xml><?xml version="1.0" encoding="utf-8"?>
<calcChain xmlns="http://schemas.openxmlformats.org/spreadsheetml/2006/main">
  <c r="B16" i="1"/>
  <c r="B15"/>
  <c r="A52"/>
  <c r="A53"/>
  <c r="A57"/>
  <c r="A58"/>
  <c r="A42"/>
  <c r="A41"/>
  <c r="A34"/>
  <c r="A33"/>
  <c r="A7"/>
  <c r="B9"/>
  <c r="A10"/>
  <c r="L23"/>
  <c r="L29" s="1"/>
  <c r="K23"/>
  <c r="K52" s="1"/>
  <c r="J24"/>
  <c r="J23"/>
  <c r="J27" s="1"/>
  <c r="L24"/>
  <c r="A28"/>
  <c r="A29"/>
  <c r="A27"/>
  <c r="A25"/>
  <c r="A26"/>
  <c r="A24"/>
  <c r="M57"/>
  <c r="C24" i="3"/>
  <c r="H24" s="1"/>
  <c r="E21"/>
  <c r="C21"/>
  <c r="E20"/>
  <c r="C20"/>
  <c r="C26" s="1"/>
  <c r="H26" s="1"/>
  <c r="E19"/>
  <c r="C19"/>
  <c r="AA18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A33" s="1"/>
  <c r="E18"/>
  <c r="E24" s="1"/>
  <c r="J24" s="1"/>
  <c r="C18"/>
  <c r="AA17"/>
  <c r="F16"/>
  <c r="C16"/>
  <c r="E15"/>
  <c r="C15"/>
  <c r="F15" s="1"/>
  <c r="E14"/>
  <c r="F14" s="1"/>
  <c r="J52" i="1" l="1"/>
  <c r="L26"/>
  <c r="J26"/>
  <c r="L25"/>
  <c r="J25"/>
  <c r="L52"/>
  <c r="K26"/>
  <c r="K27"/>
  <c r="J29"/>
  <c r="K25"/>
  <c r="L27"/>
  <c r="J28"/>
  <c r="K24"/>
  <c r="L28"/>
  <c r="K29"/>
  <c r="K28"/>
  <c r="E25" i="3"/>
  <c r="J25" s="1"/>
  <c r="E27"/>
  <c r="J27" s="1"/>
  <c r="C25"/>
  <c r="H25" s="1"/>
  <c r="C27"/>
  <c r="H27" s="1"/>
  <c r="E26"/>
  <c r="J26" s="1"/>
  <c r="S120" i="2" l="1"/>
  <c r="V120" s="1"/>
  <c r="V119"/>
  <c r="S117"/>
  <c r="V117" s="1"/>
  <c r="V116"/>
  <c r="S116"/>
  <c r="V115"/>
  <c r="S114"/>
  <c r="V114" s="1"/>
  <c r="V113"/>
  <c r="S113"/>
  <c r="V112"/>
  <c r="S112"/>
  <c r="V111"/>
  <c r="S108"/>
  <c r="V108" s="1"/>
  <c r="V107"/>
  <c r="S104"/>
  <c r="V104" s="1"/>
  <c r="V103"/>
  <c r="S101"/>
  <c r="V101" s="1"/>
  <c r="V100"/>
  <c r="S100"/>
  <c r="V99"/>
  <c r="V96"/>
  <c r="S96"/>
  <c r="S97" s="1"/>
  <c r="V95"/>
  <c r="S92"/>
  <c r="V92" s="1"/>
  <c r="V91"/>
  <c r="S88"/>
  <c r="V88" s="1"/>
  <c r="V87"/>
  <c r="S85"/>
  <c r="V85" s="1"/>
  <c r="V84"/>
  <c r="S84"/>
  <c r="V83"/>
  <c r="V80"/>
  <c r="S80"/>
  <c r="S81" s="1"/>
  <c r="V79"/>
  <c r="S76"/>
  <c r="V76" s="1"/>
  <c r="V75"/>
  <c r="S72"/>
  <c r="V72" s="1"/>
  <c r="V71"/>
  <c r="S69"/>
  <c r="V69" s="1"/>
  <c r="S68"/>
  <c r="V68" s="1"/>
  <c r="V67"/>
  <c r="V64"/>
  <c r="S64"/>
  <c r="S65" s="1"/>
  <c r="V63"/>
  <c r="S60"/>
  <c r="V60" s="1"/>
  <c r="V59"/>
  <c r="S56"/>
  <c r="V56" s="1"/>
  <c r="V55"/>
  <c r="S53"/>
  <c r="V53" s="1"/>
  <c r="V52"/>
  <c r="S52"/>
  <c r="V51"/>
  <c r="V48"/>
  <c r="S48"/>
  <c r="S49" s="1"/>
  <c r="V47"/>
  <c r="S44"/>
  <c r="V44" s="1"/>
  <c r="V43"/>
  <c r="S40"/>
  <c r="V40" s="1"/>
  <c r="V39"/>
  <c r="S37"/>
  <c r="V37" s="1"/>
  <c r="V36"/>
  <c r="S36"/>
  <c r="V35"/>
  <c r="V32"/>
  <c r="S32"/>
  <c r="S33" s="1"/>
  <c r="V31"/>
  <c r="S28"/>
  <c r="V28" s="1"/>
  <c r="V27"/>
  <c r="S24"/>
  <c r="V24" s="1"/>
  <c r="V23"/>
  <c r="S21"/>
  <c r="V21" s="1"/>
  <c r="V20"/>
  <c r="S20"/>
  <c r="V19"/>
  <c r="V16"/>
  <c r="S16"/>
  <c r="S17" s="1"/>
  <c r="V15"/>
  <c r="N14"/>
  <c r="N13"/>
  <c r="M13" s="1"/>
  <c r="S12"/>
  <c r="S13" s="1"/>
  <c r="N12"/>
  <c r="M12" s="1"/>
  <c r="V11"/>
  <c r="N11"/>
  <c r="M11" s="1"/>
  <c r="N10"/>
  <c r="M10" s="1"/>
  <c r="M9"/>
  <c r="V8"/>
  <c r="S8"/>
  <c r="S9" s="1"/>
  <c r="M8"/>
  <c r="V7"/>
  <c r="M7"/>
  <c r="M6"/>
  <c r="M5"/>
  <c r="U4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U73" s="1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93" s="1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M4"/>
  <c r="S3"/>
  <c r="V3" s="1"/>
  <c r="M3"/>
  <c r="M2"/>
  <c r="D46" i="1"/>
  <c r="D45"/>
  <c r="D44"/>
  <c r="D43"/>
  <c r="C46"/>
  <c r="C45"/>
  <c r="C44"/>
  <c r="C43"/>
  <c r="B46"/>
  <c r="B45"/>
  <c r="B44"/>
  <c r="B43"/>
  <c r="B37"/>
  <c r="D37"/>
  <c r="D36"/>
  <c r="C36"/>
  <c r="B36"/>
  <c r="D35"/>
  <c r="B35"/>
  <c r="B38"/>
  <c r="D38"/>
  <c r="C37"/>
  <c r="C35"/>
  <c r="C38"/>
  <c r="J57"/>
  <c r="M23"/>
  <c r="M52" s="1"/>
  <c r="M55" l="1"/>
  <c r="M58"/>
  <c r="M59"/>
  <c r="M53"/>
  <c r="M60"/>
  <c r="M54"/>
  <c r="J58"/>
  <c r="S10" i="2"/>
  <c r="V10" s="1"/>
  <c r="V9"/>
  <c r="V33"/>
  <c r="S34"/>
  <c r="V34" s="1"/>
  <c r="S82"/>
  <c r="V82" s="1"/>
  <c r="V81"/>
  <c r="S50"/>
  <c r="V50" s="1"/>
  <c r="V49"/>
  <c r="S98"/>
  <c r="V98" s="1"/>
  <c r="V97"/>
  <c r="V65"/>
  <c r="S66"/>
  <c r="V66" s="1"/>
  <c r="S14"/>
  <c r="V14" s="1"/>
  <c r="V13"/>
  <c r="S18"/>
  <c r="V18" s="1"/>
  <c r="V17"/>
  <c r="S4"/>
  <c r="S22"/>
  <c r="V22" s="1"/>
  <c r="S25"/>
  <c r="S38"/>
  <c r="V38" s="1"/>
  <c r="S41"/>
  <c r="S54"/>
  <c r="V54" s="1"/>
  <c r="S57"/>
  <c r="S70"/>
  <c r="V70" s="1"/>
  <c r="S73"/>
  <c r="S86"/>
  <c r="V86" s="1"/>
  <c r="S89"/>
  <c r="S102"/>
  <c r="V102" s="1"/>
  <c r="S105"/>
  <c r="S118"/>
  <c r="V118" s="1"/>
  <c r="S121"/>
  <c r="V12"/>
  <c r="S29"/>
  <c r="S45"/>
  <c r="S61"/>
  <c r="S77"/>
  <c r="S93"/>
  <c r="S109"/>
  <c r="S94" l="1"/>
  <c r="V94" s="1"/>
  <c r="V93"/>
  <c r="S110"/>
  <c r="V110" s="1"/>
  <c r="V109"/>
  <c r="S46"/>
  <c r="V46" s="1"/>
  <c r="V45"/>
  <c r="S30"/>
  <c r="V30" s="1"/>
  <c r="V29"/>
  <c r="V41"/>
  <c r="S42"/>
  <c r="V42" s="1"/>
  <c r="S62"/>
  <c r="V62" s="1"/>
  <c r="V61"/>
  <c r="V121"/>
  <c r="S122"/>
  <c r="V122" s="1"/>
  <c r="V89"/>
  <c r="S90"/>
  <c r="V90" s="1"/>
  <c r="V57"/>
  <c r="S58"/>
  <c r="V58" s="1"/>
  <c r="V25"/>
  <c r="S26"/>
  <c r="V26" s="1"/>
  <c r="V105"/>
  <c r="S106"/>
  <c r="V106" s="1"/>
  <c r="V73"/>
  <c r="S74"/>
  <c r="V74" s="1"/>
  <c r="V4"/>
  <c r="S5"/>
  <c r="S78"/>
  <c r="V78" s="1"/>
  <c r="V77"/>
  <c r="V5" l="1"/>
  <c r="S6"/>
  <c r="V6" s="1"/>
  <c r="B11" i="1" l="1"/>
  <c r="B12" s="1"/>
  <c r="F29" s="1"/>
  <c r="M24"/>
  <c r="M25"/>
  <c r="M26"/>
  <c r="M27"/>
  <c r="M28"/>
  <c r="M29"/>
  <c r="K57"/>
  <c r="L57"/>
  <c r="L58" s="1"/>
  <c r="F57" l="1"/>
  <c r="C57"/>
  <c r="C58" s="1"/>
  <c r="C59"/>
  <c r="D16"/>
  <c r="D17"/>
  <c r="K58"/>
  <c r="N58" s="1"/>
  <c r="N57"/>
  <c r="F25"/>
  <c r="F24"/>
  <c r="F28"/>
  <c r="D23"/>
  <c r="D52" s="1"/>
  <c r="C23"/>
  <c r="C52" s="1"/>
  <c r="F27"/>
  <c r="E23"/>
  <c r="E52" s="1"/>
  <c r="F26"/>
  <c r="F23"/>
  <c r="F52" s="1"/>
  <c r="N26"/>
  <c r="N24"/>
  <c r="N25"/>
  <c r="J60"/>
  <c r="K60"/>
  <c r="E59"/>
  <c r="L59"/>
  <c r="E60"/>
  <c r="D57"/>
  <c r="D58" s="1"/>
  <c r="E57"/>
  <c r="E58" s="1"/>
  <c r="N27"/>
  <c r="N23"/>
  <c r="N52" s="1"/>
  <c r="L60"/>
  <c r="F53" l="1"/>
  <c r="F60"/>
  <c r="F58"/>
  <c r="G58" s="1"/>
  <c r="F54"/>
  <c r="F59"/>
  <c r="F55"/>
  <c r="N60"/>
  <c r="C28"/>
  <c r="C25"/>
  <c r="C29"/>
  <c r="C24"/>
  <c r="C27"/>
  <c r="C26"/>
  <c r="E24"/>
  <c r="E27"/>
  <c r="E26"/>
  <c r="E29"/>
  <c r="E25"/>
  <c r="E28"/>
  <c r="D28"/>
  <c r="D24"/>
  <c r="D25"/>
  <c r="D27"/>
  <c r="D29"/>
  <c r="D26"/>
  <c r="E53"/>
  <c r="J59"/>
  <c r="C60"/>
  <c r="G57"/>
  <c r="G23"/>
  <c r="G52" s="1"/>
  <c r="L53"/>
  <c r="L54"/>
  <c r="D53"/>
  <c r="N29"/>
  <c r="E55"/>
  <c r="D59"/>
  <c r="G59" s="1"/>
  <c r="K59"/>
  <c r="D60"/>
  <c r="N28"/>
  <c r="J55"/>
  <c r="L55"/>
  <c r="E54"/>
  <c r="N59" l="1"/>
  <c r="G24"/>
  <c r="G60"/>
  <c r="G26"/>
  <c r="G27"/>
  <c r="D54"/>
  <c r="G25"/>
  <c r="C54"/>
  <c r="G29"/>
  <c r="D55"/>
  <c r="J53"/>
  <c r="J54"/>
  <c r="G28"/>
  <c r="C55"/>
  <c r="K55"/>
  <c r="N55" s="1"/>
  <c r="K53"/>
  <c r="K54"/>
  <c r="C53"/>
  <c r="G53" s="1"/>
  <c r="G54" l="1"/>
  <c r="G55"/>
  <c r="N53"/>
  <c r="N54"/>
</calcChain>
</file>

<file path=xl/sharedStrings.xml><?xml version="1.0" encoding="utf-8"?>
<sst xmlns="http://schemas.openxmlformats.org/spreadsheetml/2006/main" count="674" uniqueCount="142">
  <si>
    <t>APK</t>
  </si>
  <si>
    <t>AIM</t>
  </si>
  <si>
    <t>Input</t>
  </si>
  <si>
    <t>Total</t>
  </si>
  <si>
    <t>SP</t>
  </si>
  <si>
    <t>Right</t>
  </si>
  <si>
    <t>Central</t>
  </si>
  <si>
    <t>Left</t>
  </si>
  <si>
    <t>Beräkningar för inmatade antal chanser</t>
  </si>
  <si>
    <t>Beräkningar för inmatade mittfältsbetyg</t>
  </si>
  <si>
    <t>P=1/[ 1+k*D^x/A^y ]</t>
  </si>
  <si>
    <t>Prob 3</t>
  </si>
  <si>
    <t>-</t>
  </si>
  <si>
    <t>x=3.5[0.2]</t>
  </si>
  <si>
    <t>P=1/[ 1+(D/A)^x ]</t>
  </si>
  <si>
    <t>Prob 2</t>
  </si>
  <si>
    <t>x=3.5[0.2], y=3.5[0.2]</t>
  </si>
  <si>
    <t>P=1/[ 1+D^x/A^y ]</t>
  </si>
  <si>
    <t>Prob.</t>
  </si>
  <si>
    <t>k</t>
  </si>
  <si>
    <t>y</t>
  </si>
  <si>
    <t>x</t>
  </si>
  <si>
    <t>magisk</t>
  </si>
  <si>
    <t>Distribution</t>
  </si>
  <si>
    <t>Input:</t>
  </si>
  <si>
    <t>Motsvarande beräkning för inmatat antal chanser</t>
  </si>
  <si>
    <t>Försvar</t>
  </si>
  <si>
    <t>Mittfält behövt för angett antal chanser, jämfört med motståndarens mittfält ovan</t>
  </si>
  <si>
    <t>=</t>
  </si>
  <si>
    <t>Bollinnehav (x) nödvändigt för y antal chanser = 50 + 15 * tan( (y-5) / 15 )</t>
  </si>
  <si>
    <t>Önskat antal chanser</t>
  </si>
  <si>
    <t>Antal chanser i medel = 5 + 3.95*arctan((x-50)/15)</t>
  </si>
  <si>
    <t>Bollinnehav</t>
  </si>
  <si>
    <t>Motståndarens mittfältbetyg</t>
  </si>
  <si>
    <t>Mittfältsbetyg kompenserat för kontringar</t>
  </si>
  <si>
    <t>Kontringar?</t>
  </si>
  <si>
    <t>Nej</t>
  </si>
  <si>
    <t>Numbers</t>
  </si>
  <si>
    <t>Eget mittfältsbetyg</t>
  </si>
  <si>
    <t>Copy-paste:</t>
  </si>
  <si>
    <t>katastofal = 1, usel = 2, etc. bra(mkt låg)=5, bra(låg)=5,25, bra(hög)=5,50, bra(mkt hög)=5,75</t>
  </si>
  <si>
    <t>Team name:</t>
  </si>
  <si>
    <t>P=A^x / [ A^x + k * D^y]</t>
  </si>
  <si>
    <t>Prob 4 ("new")</t>
  </si>
  <si>
    <t>Opponent:</t>
  </si>
  <si>
    <t>Förmåga</t>
  </si>
  <si>
    <t>Värde</t>
  </si>
  <si>
    <t>Beräkningsvärde</t>
  </si>
  <si>
    <t>Formtendens</t>
  </si>
  <si>
    <t>Stämning</t>
  </si>
  <si>
    <t>Step</t>
  </si>
  <si>
    <t>Coefficient</t>
  </si>
  <si>
    <t>Salary</t>
  </si>
  <si>
    <t>Factor</t>
  </si>
  <si>
    <t>Förmågenivå</t>
  </si>
  <si>
    <t>obefintlig</t>
  </si>
  <si>
    <t>katastrofal</t>
  </si>
  <si>
    <t>hög</t>
  </si>
  <si>
    <t>usel</t>
  </si>
  <si>
    <t>medel</t>
  </si>
  <si>
    <t>mkt låg</t>
  </si>
  <si>
    <t>dålig</t>
  </si>
  <si>
    <t>låg</t>
  </si>
  <si>
    <t>hyfsad</t>
  </si>
  <si>
    <t>bra</t>
  </si>
  <si>
    <t>mkt hög</t>
  </si>
  <si>
    <t>ypperlig</t>
  </si>
  <si>
    <t>enastående</t>
  </si>
  <si>
    <t>fenomenal</t>
  </si>
  <si>
    <t>unik</t>
  </si>
  <si>
    <t>legendarisk</t>
  </si>
  <si>
    <t>gudabenådad</t>
  </si>
  <si>
    <t>övernaturlig</t>
  </si>
  <si>
    <t>oförglömlig</t>
  </si>
  <si>
    <t>himmelsk</t>
  </si>
  <si>
    <t>titanisk</t>
  </si>
  <si>
    <t>utomjordisk</t>
  </si>
  <si>
    <t>Ratings</t>
  </si>
  <si>
    <t>mytomspunnen</t>
  </si>
  <si>
    <t>utopisk</t>
  </si>
  <si>
    <t>gudomlig</t>
  </si>
  <si>
    <t>gudomlig+1</t>
  </si>
  <si>
    <t>gudomlig+2</t>
  </si>
  <si>
    <t>gudomlig+3</t>
  </si>
  <si>
    <t>gudomlig+4</t>
  </si>
  <si>
    <t>gudomlig+5</t>
  </si>
  <si>
    <t>gudomlig+6</t>
  </si>
  <si>
    <t>gudomlig+7</t>
  </si>
  <si>
    <t>gudomlig+8</t>
  </si>
  <si>
    <t>gudomlig+9</t>
  </si>
  <si>
    <t>gudomlig+10</t>
  </si>
  <si>
    <t>gudomlig+11</t>
  </si>
  <si>
    <t>gudomlig+12</t>
  </si>
  <si>
    <t>gudomlig+13</t>
  </si>
  <si>
    <t>gudomlig+14</t>
  </si>
  <si>
    <t>gudomlig+15</t>
  </si>
  <si>
    <t>gudomlig+16</t>
  </si>
  <si>
    <t>gudomlig+17</t>
  </si>
  <si>
    <t>gudomlig+18</t>
  </si>
  <si>
    <t>gudomlig+19</t>
  </si>
  <si>
    <t>gudomlig+20</t>
  </si>
  <si>
    <t>Spelare:</t>
  </si>
  <si>
    <t>Rutin</t>
  </si>
  <si>
    <t>Form</t>
  </si>
  <si>
    <t>Lookup table</t>
  </si>
  <si>
    <t>X kondis</t>
  </si>
  <si>
    <t>Team ratings</t>
  </si>
  <si>
    <t>Kondition:</t>
  </si>
  <si>
    <t>Målvakt:</t>
  </si>
  <si>
    <t>katastofal (mkt låg)</t>
  </si>
  <si>
    <t>Spelupplägg:</t>
  </si>
  <si>
    <t>Framspel:</t>
  </si>
  <si>
    <t>Ytter:</t>
  </si>
  <si>
    <t>Försvar:</t>
  </si>
  <si>
    <t>Målgörare:</t>
  </si>
  <si>
    <t>Fasta sit.:</t>
  </si>
  <si>
    <t>Parsad spelare:</t>
  </si>
  <si>
    <t>Faktor</t>
  </si>
  <si>
    <t>Extra</t>
  </si>
  <si>
    <t>Tendens</t>
  </si>
  <si>
    <t>Kondition</t>
  </si>
  <si>
    <t>Målvakt</t>
  </si>
  <si>
    <t>SU</t>
  </si>
  <si>
    <t>Passningar</t>
  </si>
  <si>
    <t>S43 = new ratio</t>
  </si>
  <si>
    <t>Ytter</t>
  </si>
  <si>
    <t>Målgörare</t>
  </si>
  <si>
    <t>Fasta</t>
  </si>
  <si>
    <t>Prestation:</t>
  </si>
  <si>
    <t>Mittfält vs mittfält</t>
  </si>
  <si>
    <t>Kontringar (Ja / Nej)?</t>
  </si>
  <si>
    <t>Kompenserat mittfält</t>
  </si>
  <si>
    <t>Motståndare</t>
  </si>
  <si>
    <t>Eget lag</t>
  </si>
  <si>
    <t>Chanser</t>
  </si>
  <si>
    <t>Chanser, input</t>
  </si>
  <si>
    <t>Bollinnehav nödvändigt</t>
  </si>
  <si>
    <t>MIttfält nödvändigt</t>
  </si>
  <si>
    <t>Gröna fält indikerar celler där användaren kan mata in data. Blåa celler markerar resultat (mest intressanta resultaten)</t>
  </si>
  <si>
    <t>Vänster</t>
  </si>
  <si>
    <t>Mitten</t>
  </si>
  <si>
    <t>Höger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</si>
</sst>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0"/>
      <name val="Arial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theme="0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2" fontId="0" fillId="2" borderId="0" xfId="0" applyNumberFormat="1" applyFill="1" applyAlignment="1">
      <alignment horizontal="center"/>
    </xf>
    <xf numFmtId="0" fontId="3" fillId="0" borderId="0" xfId="0" applyFont="1"/>
    <xf numFmtId="2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1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1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" borderId="0" xfId="0" applyFill="1"/>
    <xf numFmtId="2" fontId="0" fillId="0" borderId="0" xfId="0" applyNumberFormat="1" applyFill="1"/>
    <xf numFmtId="10" fontId="0" fillId="0" borderId="0" xfId="0" applyNumberFormat="1"/>
    <xf numFmtId="0" fontId="5" fillId="0" borderId="0" xfId="2" applyAlignment="1" applyProtection="1">
      <alignment horizontal="left" vertical="top" wrapText="1"/>
    </xf>
    <xf numFmtId="0" fontId="5" fillId="0" borderId="0" xfId="2" applyFont="1" applyAlignment="1" applyProtection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3" borderId="0" xfId="0" applyFill="1"/>
    <xf numFmtId="0" fontId="0" fillId="0" borderId="0" xfId="0" applyFill="1"/>
    <xf numFmtId="0" fontId="4" fillId="0" borderId="1" xfId="0" applyFont="1" applyBorder="1"/>
    <xf numFmtId="0" fontId="4" fillId="0" borderId="0" xfId="0" applyFont="1" applyBorder="1"/>
    <xf numFmtId="9" fontId="0" fillId="0" borderId="0" xfId="1" applyFont="1" applyAlignment="1">
      <alignment horizontal="center" vertical="center"/>
    </xf>
    <xf numFmtId="0" fontId="3" fillId="0" borderId="0" xfId="0" applyFont="1" applyBorder="1"/>
    <xf numFmtId="10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/>
    <xf numFmtId="0" fontId="5" fillId="0" borderId="0" xfId="2" applyFill="1" applyBorder="1" applyAlignment="1" applyProtection="1">
      <alignment horizontal="left" vertical="top" wrapText="1"/>
    </xf>
    <xf numFmtId="0" fontId="5" fillId="0" borderId="0" xfId="2" applyFont="1" applyFill="1" applyBorder="1" applyAlignment="1" applyProtection="1">
      <alignment horizontal="left" vertical="top" wrapText="1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left" vertical="top" wrapText="1"/>
    </xf>
    <xf numFmtId="0" fontId="4" fillId="0" borderId="0" xfId="3"/>
    <xf numFmtId="0" fontId="4" fillId="0" borderId="0" xfId="3" applyAlignment="1">
      <alignment horizontal="center"/>
    </xf>
    <xf numFmtId="164" fontId="4" fillId="0" borderId="0" xfId="3" applyNumberFormat="1" applyAlignment="1">
      <alignment horizontal="center"/>
    </xf>
    <xf numFmtId="0" fontId="4" fillId="0" borderId="0" xfId="3" applyAlignment="1">
      <alignment horizontal="center" vertical="center"/>
    </xf>
    <xf numFmtId="0" fontId="3" fillId="0" borderId="0" xfId="3" applyFont="1"/>
    <xf numFmtId="0" fontId="4" fillId="0" borderId="0" xfId="3" applyAlignment="1">
      <alignment horizontal="left"/>
    </xf>
    <xf numFmtId="0" fontId="7" fillId="0" borderId="0" xfId="3" applyFont="1" applyAlignment="1">
      <alignment horizontal="left" vertical="top"/>
    </xf>
    <xf numFmtId="0" fontId="5" fillId="0" borderId="0" xfId="2" applyAlignment="1" applyProtection="1">
      <alignment horizontal="left" vertical="top"/>
    </xf>
    <xf numFmtId="2" fontId="4" fillId="0" borderId="0" xfId="3" applyNumberFormat="1" applyAlignment="1">
      <alignment horizontal="center"/>
    </xf>
    <xf numFmtId="0" fontId="3" fillId="0" borderId="3" xfId="3" applyFont="1" applyBorder="1"/>
    <xf numFmtId="0" fontId="4" fillId="0" borderId="4" xfId="3" applyBorder="1" applyAlignment="1">
      <alignment horizontal="left"/>
    </xf>
    <xf numFmtId="0" fontId="3" fillId="0" borderId="4" xfId="3" applyFont="1" applyBorder="1" applyAlignment="1">
      <alignment horizontal="left"/>
    </xf>
    <xf numFmtId="0" fontId="4" fillId="0" borderId="5" xfId="3" applyBorder="1" applyAlignment="1">
      <alignment horizontal="left"/>
    </xf>
    <xf numFmtId="0" fontId="3" fillId="0" borderId="6" xfId="3" applyFont="1" applyBorder="1"/>
    <xf numFmtId="0" fontId="4" fillId="0" borderId="0" xfId="3" applyBorder="1" applyAlignment="1">
      <alignment horizontal="left"/>
    </xf>
    <xf numFmtId="0" fontId="3" fillId="0" borderId="0" xfId="3" applyFont="1" applyBorder="1" applyAlignment="1">
      <alignment horizontal="left"/>
    </xf>
    <xf numFmtId="0" fontId="4" fillId="0" borderId="7" xfId="3" applyBorder="1" applyAlignment="1">
      <alignment horizontal="left"/>
    </xf>
    <xf numFmtId="0" fontId="3" fillId="0" borderId="8" xfId="3" applyFont="1" applyBorder="1"/>
    <xf numFmtId="0" fontId="4" fillId="0" borderId="1" xfId="3" applyBorder="1" applyAlignment="1">
      <alignment horizontal="left"/>
    </xf>
    <xf numFmtId="0" fontId="3" fillId="0" borderId="1" xfId="3" applyFont="1" applyBorder="1" applyAlignment="1">
      <alignment horizontal="left"/>
    </xf>
    <xf numFmtId="0" fontId="4" fillId="0" borderId="9" xfId="3" applyBorder="1" applyAlignment="1">
      <alignment horizontal="left"/>
    </xf>
    <xf numFmtId="2" fontId="4" fillId="0" borderId="0" xfId="3" applyNumberFormat="1"/>
    <xf numFmtId="10" fontId="8" fillId="0" borderId="0" xfId="0" applyNumberFormat="1" applyFont="1" applyBorder="1" applyAlignment="1">
      <alignment horizontal="center"/>
    </xf>
    <xf numFmtId="9" fontId="0" fillId="3" borderId="0" xfId="1" applyFont="1" applyFill="1" applyAlignment="1">
      <alignment horizontal="center"/>
    </xf>
    <xf numFmtId="0" fontId="3" fillId="0" borderId="1" xfId="0" applyFont="1" applyBorder="1"/>
    <xf numFmtId="2" fontId="0" fillId="0" borderId="1" xfId="0" applyNumberFormat="1" applyFill="1" applyBorder="1"/>
    <xf numFmtId="0" fontId="0" fillId="0" borderId="1" xfId="0" applyFill="1" applyBorder="1"/>
    <xf numFmtId="9" fontId="0" fillId="0" borderId="1" xfId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0" fontId="3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4" fillId="0" borderId="0" xfId="0" applyFont="1" applyFill="1"/>
    <xf numFmtId="0" fontId="4" fillId="3" borderId="0" xfId="0" applyFont="1" applyFill="1" applyAlignment="1">
      <alignment horizontal="right"/>
    </xf>
    <xf numFmtId="2" fontId="3" fillId="2" borderId="2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</cellXfs>
  <cellStyles count="4">
    <cellStyle name="Hyperlink" xfId="2" builtinId="8"/>
    <cellStyle name="Normal" xfId="0" builtinId="0"/>
    <cellStyle name="Normal 2" xfId="3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ox_ht_helper_too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cription"/>
      <sheetName val="PlayerData"/>
      <sheetName val="TeamData"/>
      <sheetName val="Summary"/>
      <sheetName val="RawData"/>
      <sheetName val="TS Analysis"/>
      <sheetName val="Match predictor"/>
      <sheetName val="Team tool (GBK)"/>
      <sheetName val="Team tool (SWE)"/>
      <sheetName val="Ability analyser"/>
      <sheetName val="Coach"/>
      <sheetName val="Confidence"/>
      <sheetName val="Player tool 2"/>
      <sheetName val="Player Tools"/>
      <sheetName val="Övriga vertyg"/>
      <sheetName val="Parser"/>
      <sheetName val="Tables"/>
      <sheetName val="LL Player tool"/>
      <sheetName val="CA"/>
      <sheetName val="Player tool 2.0"/>
      <sheetName val="Salary"/>
      <sheetName val="Economy"/>
      <sheetName val="Stamina performance"/>
      <sheetName val="Stamina training"/>
      <sheetName val="Form vs Stamina"/>
      <sheetName val="Experience vs Form"/>
      <sheetName val=" Experience vs Stamina (abs)"/>
      <sheetName val=" Experience vs Stamina (rel)"/>
      <sheetName val="Sheet1"/>
      <sheetName val="Chance conversion"/>
      <sheetName val="Chance conversion new"/>
      <sheetName val="CC 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">
          <cell r="T5">
            <v>1</v>
          </cell>
        </row>
      </sheetData>
      <sheetData sheetId="16">
        <row r="2">
          <cell r="V2" t="str">
            <v>obefintlig</v>
          </cell>
        </row>
        <row r="3">
          <cell r="V3" t="str">
            <v>katastrofal (mkt låg)</v>
          </cell>
        </row>
        <row r="4">
          <cell r="V4" t="str">
            <v>katastrofal (låg)</v>
          </cell>
        </row>
        <row r="5">
          <cell r="V5" t="str">
            <v>katastrofal (hög)</v>
          </cell>
        </row>
        <row r="6">
          <cell r="V6" t="str">
            <v>katastrofal (mkt hög)</v>
          </cell>
        </row>
        <row r="7">
          <cell r="V7" t="str">
            <v>usel (mkt låg)</v>
          </cell>
        </row>
        <row r="8">
          <cell r="V8" t="str">
            <v>usel (låg)</v>
          </cell>
        </row>
        <row r="9">
          <cell r="V9" t="str">
            <v>usel (hög)</v>
          </cell>
        </row>
        <row r="10">
          <cell r="V10" t="str">
            <v>usel (mkt hög)</v>
          </cell>
        </row>
        <row r="11">
          <cell r="V11" t="str">
            <v>dålig (mkt låg)</v>
          </cell>
        </row>
        <row r="12">
          <cell r="V12" t="str">
            <v>dålig (låg)</v>
          </cell>
        </row>
        <row r="13">
          <cell r="V13" t="str">
            <v>dålig (hög)</v>
          </cell>
        </row>
        <row r="14">
          <cell r="V14" t="str">
            <v>dålig (mkt hög)</v>
          </cell>
        </row>
        <row r="15">
          <cell r="V15" t="str">
            <v>hyfsad (mkt låg)</v>
          </cell>
        </row>
        <row r="16">
          <cell r="V16" t="str">
            <v>hyfsad (låg)</v>
          </cell>
        </row>
        <row r="17">
          <cell r="G17" t="str">
            <v>Ratings</v>
          </cell>
          <cell r="V17" t="str">
            <v>hyfsad (hög)</v>
          </cell>
        </row>
        <row r="18">
          <cell r="G18" t="str">
            <v>Numbers</v>
          </cell>
          <cell r="V18" t="str">
            <v>hyfsad (mkt hög)</v>
          </cell>
        </row>
        <row r="19">
          <cell r="V19" t="str">
            <v>bra (mkt låg)</v>
          </cell>
        </row>
        <row r="20">
          <cell r="V20" t="str">
            <v>bra (låg)</v>
          </cell>
        </row>
        <row r="21">
          <cell r="V21" t="str">
            <v>bra (hög)</v>
          </cell>
        </row>
        <row r="22">
          <cell r="V22" t="str">
            <v>bra (mkt hög)</v>
          </cell>
        </row>
        <row r="23">
          <cell r="V23" t="str">
            <v>ypperlig (mkt låg)</v>
          </cell>
        </row>
        <row r="24">
          <cell r="V24" t="str">
            <v>ypperlig (låg)</v>
          </cell>
        </row>
        <row r="25">
          <cell r="V25" t="str">
            <v>ypperlig (hög)</v>
          </cell>
        </row>
        <row r="26">
          <cell r="V26" t="str">
            <v>ypperlig (mkt hög)</v>
          </cell>
        </row>
        <row r="27">
          <cell r="V27" t="str">
            <v>enastående (mkt låg)</v>
          </cell>
        </row>
        <row r="28">
          <cell r="V28" t="str">
            <v>enastående (låg)</v>
          </cell>
        </row>
        <row r="29">
          <cell r="V29" t="str">
            <v>enastående (hög)</v>
          </cell>
        </row>
        <row r="30">
          <cell r="V30" t="str">
            <v>enastående (mkt hög)</v>
          </cell>
        </row>
        <row r="31">
          <cell r="V31" t="str">
            <v>fenomenal (mkt låg)</v>
          </cell>
        </row>
        <row r="32">
          <cell r="V32" t="str">
            <v>fenomenal (låg)</v>
          </cell>
        </row>
        <row r="33">
          <cell r="V33" t="str">
            <v>fenomenal (hög)</v>
          </cell>
        </row>
        <row r="34">
          <cell r="V34" t="str">
            <v>fenomenal (mkt hög)</v>
          </cell>
        </row>
        <row r="35">
          <cell r="V35" t="str">
            <v>unik (mkt låg)</v>
          </cell>
        </row>
        <row r="36">
          <cell r="V36" t="str">
            <v>unik (låg)</v>
          </cell>
        </row>
        <row r="37">
          <cell r="V37" t="str">
            <v>unik (hög)</v>
          </cell>
        </row>
        <row r="38">
          <cell r="V38" t="str">
            <v>unik (mkt hög)</v>
          </cell>
        </row>
        <row r="39">
          <cell r="V39" t="str">
            <v>legendarisk (mkt låg)</v>
          </cell>
        </row>
        <row r="40">
          <cell r="V40" t="str">
            <v>legendarisk (låg)</v>
          </cell>
        </row>
        <row r="41">
          <cell r="V41" t="str">
            <v>legendarisk (hög)</v>
          </cell>
        </row>
        <row r="42">
          <cell r="V42" t="str">
            <v>legendarisk (mkt hög)</v>
          </cell>
        </row>
        <row r="43">
          <cell r="V43" t="str">
            <v>gudabenådad (mkt låg)</v>
          </cell>
        </row>
        <row r="44">
          <cell r="V44" t="str">
            <v>gudabenådad (låg)</v>
          </cell>
        </row>
        <row r="45">
          <cell r="V45" t="str">
            <v>gudabenådad (hög)</v>
          </cell>
        </row>
        <row r="46">
          <cell r="V46" t="str">
            <v>gudabenådad (mkt hög)</v>
          </cell>
        </row>
        <row r="47">
          <cell r="V47" t="str">
            <v>övernaturlig (mkt låg)</v>
          </cell>
        </row>
        <row r="48">
          <cell r="V48" t="str">
            <v>övernaturlig (låg)</v>
          </cell>
        </row>
        <row r="49">
          <cell r="V49" t="str">
            <v>övernaturlig (hög)</v>
          </cell>
        </row>
        <row r="50">
          <cell r="V50" t="str">
            <v>övernaturlig (mkt hög)</v>
          </cell>
        </row>
        <row r="51">
          <cell r="V51" t="str">
            <v>oförglömlig (mkt låg)</v>
          </cell>
        </row>
        <row r="52">
          <cell r="V52" t="str">
            <v>oförglömlig (låg)</v>
          </cell>
        </row>
        <row r="53">
          <cell r="V53" t="str">
            <v>oförglömlig (hög)</v>
          </cell>
        </row>
        <row r="54">
          <cell r="V54" t="str">
            <v>oförglömlig (mkt hög)</v>
          </cell>
        </row>
        <row r="55">
          <cell r="V55" t="str">
            <v>himmelsk (mkt låg)</v>
          </cell>
        </row>
        <row r="56">
          <cell r="V56" t="str">
            <v>himmelsk (låg)</v>
          </cell>
        </row>
        <row r="57">
          <cell r="V57" t="str">
            <v>himmelsk (hög)</v>
          </cell>
        </row>
        <row r="58">
          <cell r="V58" t="str">
            <v>himmelsk (mkt hög)</v>
          </cell>
        </row>
        <row r="59">
          <cell r="V59" t="str">
            <v>titanisk (mkt låg)</v>
          </cell>
        </row>
        <row r="60">
          <cell r="V60" t="str">
            <v>titanisk (låg)</v>
          </cell>
        </row>
        <row r="61">
          <cell r="V61" t="str">
            <v>titanisk (hög)</v>
          </cell>
        </row>
        <row r="62">
          <cell r="V62" t="str">
            <v>titanisk (mkt hög)</v>
          </cell>
        </row>
        <row r="63">
          <cell r="V63" t="str">
            <v>utomjordisk (mkt låg)</v>
          </cell>
        </row>
        <row r="64">
          <cell r="V64" t="str">
            <v>utomjordisk (låg)</v>
          </cell>
        </row>
        <row r="65">
          <cell r="V65" t="str">
            <v>utomjordisk (hög)</v>
          </cell>
        </row>
        <row r="66">
          <cell r="V66" t="str">
            <v>utomjordisk (mkt hög)</v>
          </cell>
        </row>
        <row r="67">
          <cell r="V67" t="str">
            <v>mytomspunnen (mkt låg)</v>
          </cell>
        </row>
        <row r="68">
          <cell r="V68" t="str">
            <v>mytomspunnen (låg)</v>
          </cell>
        </row>
        <row r="69">
          <cell r="V69" t="str">
            <v>mytomspunnen (hög)</v>
          </cell>
        </row>
        <row r="70">
          <cell r="V70" t="str">
            <v>mytomspunnen (mkt hög)</v>
          </cell>
        </row>
        <row r="71">
          <cell r="V71" t="str">
            <v>magisk (mkt låg)</v>
          </cell>
        </row>
        <row r="72">
          <cell r="V72" t="str">
            <v>magisk (låg)</v>
          </cell>
        </row>
        <row r="73">
          <cell r="V73" t="str">
            <v>magisk (hög)</v>
          </cell>
        </row>
        <row r="74">
          <cell r="V74" t="str">
            <v>magisk (mkt hög)</v>
          </cell>
        </row>
        <row r="75">
          <cell r="V75" t="str">
            <v>utopisk (mkt låg)</v>
          </cell>
        </row>
        <row r="76">
          <cell r="V76" t="str">
            <v>utopisk (låg)</v>
          </cell>
        </row>
        <row r="77">
          <cell r="V77" t="str">
            <v>utopisk (hög)</v>
          </cell>
        </row>
        <row r="78">
          <cell r="V78" t="str">
            <v>utopisk (mkt hög)</v>
          </cell>
        </row>
        <row r="79">
          <cell r="V79" t="str">
            <v>gudomlig (mkt låg)</v>
          </cell>
        </row>
        <row r="80">
          <cell r="V80" t="str">
            <v>gudomlig (låg)</v>
          </cell>
        </row>
        <row r="81">
          <cell r="V81" t="str">
            <v>gudomlig (hög)</v>
          </cell>
        </row>
        <row r="82">
          <cell r="V82" t="str">
            <v>gudomlig (mkt hög)</v>
          </cell>
        </row>
        <row r="83">
          <cell r="V83" t="str">
            <v>gudomlig+1 (mkt låg)</v>
          </cell>
        </row>
        <row r="84">
          <cell r="V84" t="str">
            <v>gudomlig+1 (låg)</v>
          </cell>
        </row>
        <row r="85">
          <cell r="V85" t="str">
            <v>gudomlig+1 (hög)</v>
          </cell>
        </row>
        <row r="86">
          <cell r="V86" t="str">
            <v>gudomlig+1 (mkt hög)</v>
          </cell>
        </row>
        <row r="87">
          <cell r="V87" t="str">
            <v>gudomlig+2 (mkt låg)</v>
          </cell>
        </row>
        <row r="88">
          <cell r="V88" t="str">
            <v>gudomlig+2 (låg)</v>
          </cell>
        </row>
        <row r="89">
          <cell r="V89" t="str">
            <v>gudomlig+2 (hög)</v>
          </cell>
        </row>
        <row r="90">
          <cell r="V90" t="str">
            <v>gudomlig+2 (mkt hög)</v>
          </cell>
        </row>
        <row r="91">
          <cell r="V91" t="str">
            <v>gudomlig+3 (mkt låg)</v>
          </cell>
        </row>
        <row r="92">
          <cell r="V92" t="str">
            <v>gudomlig+3 (låg)</v>
          </cell>
        </row>
        <row r="93">
          <cell r="V93" t="str">
            <v>gudomlig+3 (hög)</v>
          </cell>
        </row>
        <row r="94">
          <cell r="V94" t="str">
            <v>gudomlig+3 (mkt hög)</v>
          </cell>
        </row>
        <row r="95">
          <cell r="V95" t="str">
            <v>gudomlig+4 (mkt låg)</v>
          </cell>
        </row>
        <row r="96">
          <cell r="V96" t="str">
            <v>gudomlig+4 (låg)</v>
          </cell>
        </row>
        <row r="97">
          <cell r="V97" t="str">
            <v>gudomlig+4 (hög)</v>
          </cell>
        </row>
        <row r="98">
          <cell r="V98" t="str">
            <v>gudomlig+4 (mkt hög)</v>
          </cell>
        </row>
        <row r="99">
          <cell r="V99" t="str">
            <v>gudomlig+5 (mkt låg)</v>
          </cell>
        </row>
        <row r="100">
          <cell r="V100" t="str">
            <v>gudomlig+5 (låg)</v>
          </cell>
        </row>
        <row r="101">
          <cell r="V101" t="str">
            <v>gudomlig+5 (hög)</v>
          </cell>
        </row>
        <row r="102">
          <cell r="V102" t="str">
            <v>gudomlig+5 (mkt hög)</v>
          </cell>
        </row>
        <row r="103">
          <cell r="V103" t="str">
            <v>gudomlig+6 (mkt låg)</v>
          </cell>
        </row>
        <row r="104">
          <cell r="V104" t="str">
            <v>gudomlig+6 (låg)</v>
          </cell>
        </row>
        <row r="105">
          <cell r="V105" t="str">
            <v>gudomlig+6 (hög)</v>
          </cell>
        </row>
        <row r="106">
          <cell r="V106" t="str">
            <v>gudomlig+6 (mkt hög)</v>
          </cell>
        </row>
        <row r="107">
          <cell r="V107" t="str">
            <v>gudomlig+7 (mkt låg)</v>
          </cell>
        </row>
        <row r="108">
          <cell r="V108" t="str">
            <v>gudomlig+7 (låg)</v>
          </cell>
        </row>
        <row r="109">
          <cell r="V109" t="str">
            <v>gudomlig+7 (hög)</v>
          </cell>
        </row>
        <row r="110">
          <cell r="V110" t="str">
            <v>gudomlig+7 (mkt hög)</v>
          </cell>
        </row>
        <row r="111">
          <cell r="V111" t="str">
            <v>gudomlig+8 (mkt låg)</v>
          </cell>
        </row>
        <row r="112">
          <cell r="V112" t="str">
            <v>gudomlig+8 (låg)</v>
          </cell>
        </row>
        <row r="113">
          <cell r="V113" t="str">
            <v>gudomlig+8 (hög)</v>
          </cell>
        </row>
        <row r="114">
          <cell r="V114" t="str">
            <v>gudomlig+8 (mkt hög)</v>
          </cell>
        </row>
        <row r="115">
          <cell r="V115" t="str">
            <v>gudomlig+9 (mkt låg)</v>
          </cell>
        </row>
        <row r="116">
          <cell r="V116" t="str">
            <v>gudomlig+9 (låg)</v>
          </cell>
        </row>
        <row r="117">
          <cell r="V117" t="str">
            <v>gudomlig+9 (hög)</v>
          </cell>
        </row>
        <row r="118">
          <cell r="V118" t="str">
            <v>gudomlig+9 (mkt hög)</v>
          </cell>
        </row>
        <row r="119">
          <cell r="V119" t="str">
            <v>gudomlig+10 (mkt låg)</v>
          </cell>
        </row>
        <row r="120">
          <cell r="V120" t="str">
            <v>gudomlig+10 (låg)</v>
          </cell>
        </row>
        <row r="121">
          <cell r="V121" t="str">
            <v>gudomlig+10 (hög)</v>
          </cell>
        </row>
        <row r="122">
          <cell r="V122" t="str">
            <v>gudomlig+10 (mkt hög)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99.hattrick.org/Help/Rules/AppDenominations.aspx?lt=skill&amp;ll=6" TargetMode="External"/><Relationship Id="rId3" Type="http://schemas.openxmlformats.org/officeDocument/2006/relationships/hyperlink" Target="http://www99.hattrick.org/Help/Rules/AppDenominations.aspx?lt=skill&amp;ll=5" TargetMode="External"/><Relationship Id="rId7" Type="http://schemas.openxmlformats.org/officeDocument/2006/relationships/hyperlink" Target="http://www99.hattrick.org/Help/Rules/AppDenominations.aspx?lt=skill&amp;ll=5" TargetMode="External"/><Relationship Id="rId2" Type="http://schemas.openxmlformats.org/officeDocument/2006/relationships/hyperlink" Target="http://www99.hattrick.org/Help/Rules/AppDenominations.aspx?lt=skill&amp;ll=1" TargetMode="External"/><Relationship Id="rId1" Type="http://schemas.openxmlformats.org/officeDocument/2006/relationships/hyperlink" Target="http://www99.hattrick.org/Help/Rules/AppDenominations.aspx?lt=skill&amp;ll=8" TargetMode="External"/><Relationship Id="rId6" Type="http://schemas.openxmlformats.org/officeDocument/2006/relationships/hyperlink" Target="http://www99.hattrick.org/Help/Rules/AppDenominations.aspx?lt=skill&amp;ll=12" TargetMode="External"/><Relationship Id="rId5" Type="http://schemas.openxmlformats.org/officeDocument/2006/relationships/hyperlink" Target="http://www99.hattrick.org/Help/Rules/AppDenominations.aspx?lt=skill&amp;ll=10" TargetMode="External"/><Relationship Id="rId4" Type="http://schemas.openxmlformats.org/officeDocument/2006/relationships/hyperlink" Target="http://www99.hattrick.org/Help/Rules/AppDenominations.aspx?lt=skill&amp;ll=5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66"/>
  <sheetViews>
    <sheetView tabSelected="1" topLeftCell="A22" zoomScale="85" workbookViewId="0">
      <selection activeCell="D12" sqref="D12"/>
    </sheetView>
  </sheetViews>
  <sheetFormatPr defaultRowHeight="13.2"/>
  <cols>
    <col min="1" max="1" width="23.6640625" customWidth="1"/>
    <col min="2" max="2" width="11.77734375" customWidth="1"/>
    <col min="8" max="8" width="5.5546875" customWidth="1"/>
    <col min="13" max="13" width="6.21875" customWidth="1"/>
    <col min="14" max="14" width="7.44140625" customWidth="1"/>
    <col min="15" max="15" width="20.6640625" customWidth="1"/>
    <col min="16" max="16" width="25" customWidth="1"/>
    <col min="17" max="17" width="14.88671875" customWidth="1"/>
    <col min="18" max="18" width="13.33203125" customWidth="1"/>
    <col min="19" max="19" width="7.6640625" customWidth="1"/>
    <col min="20" max="20" width="12.33203125" customWidth="1"/>
    <col min="21" max="21" width="7.6640625" customWidth="1"/>
    <col min="22" max="22" width="13.88671875" bestFit="1" customWidth="1"/>
    <col min="23" max="23" width="13.44140625" style="1" bestFit="1" customWidth="1"/>
    <col min="24" max="24" width="12.33203125" style="1" bestFit="1" customWidth="1"/>
    <col min="25" max="27" width="12.33203125" customWidth="1"/>
    <col min="28" max="28" width="13" bestFit="1" customWidth="1"/>
  </cols>
  <sheetData>
    <row r="1" spans="1:30">
      <c r="A1" s="3" t="s">
        <v>138</v>
      </c>
    </row>
    <row r="2" spans="1:30">
      <c r="A2" s="3"/>
    </row>
    <row r="3" spans="1:30">
      <c r="A3" s="3" t="s">
        <v>41</v>
      </c>
      <c r="B3" s="18" t="s">
        <v>133</v>
      </c>
      <c r="D3" s="10" t="s">
        <v>40</v>
      </c>
    </row>
    <row r="4" spans="1:30" s="8" customFormat="1">
      <c r="A4" s="37" t="s">
        <v>44</v>
      </c>
      <c r="B4" s="37" t="s">
        <v>132</v>
      </c>
      <c r="W4" s="9"/>
      <c r="X4" s="9"/>
    </row>
    <row r="5" spans="1:30" s="12" customFormat="1" ht="13.8" thickBot="1">
      <c r="A5" s="36"/>
      <c r="B5" s="36"/>
      <c r="W5" s="13"/>
      <c r="X5" s="13"/>
    </row>
    <row r="6" spans="1:30">
      <c r="A6" s="5"/>
      <c r="D6" s="5"/>
      <c r="M6" s="35"/>
      <c r="N6" s="45"/>
      <c r="O6" s="35"/>
      <c r="P6" s="35"/>
      <c r="Q6" s="35"/>
      <c r="R6" s="35"/>
      <c r="S6" s="35"/>
      <c r="T6" s="35"/>
      <c r="U6" s="35"/>
      <c r="V6" s="35"/>
      <c r="W6" s="46"/>
      <c r="X6" s="46"/>
      <c r="Y6" s="35"/>
      <c r="Z6" s="35"/>
      <c r="AA6" s="35"/>
      <c r="AB6" s="35"/>
      <c r="AC6" s="35"/>
      <c r="AD6" s="35"/>
    </row>
    <row r="7" spans="1:30">
      <c r="A7" s="5" t="str">
        <f>CONCATENATE("MIttfält ",B3)</f>
        <v>MIttfält Eget lag</v>
      </c>
      <c r="B7" s="34">
        <v>6</v>
      </c>
      <c r="D7" s="35"/>
      <c r="F7" t="s">
        <v>38</v>
      </c>
      <c r="M7" s="48"/>
      <c r="N7" s="49"/>
      <c r="O7" s="49"/>
      <c r="P7" s="50"/>
      <c r="Q7" s="51"/>
      <c r="R7" s="45"/>
      <c r="S7" s="35"/>
      <c r="T7" s="45"/>
      <c r="U7" s="35"/>
      <c r="V7" s="35"/>
      <c r="W7" s="46"/>
      <c r="X7" s="46"/>
      <c r="Y7" s="45"/>
      <c r="Z7" s="47"/>
      <c r="AA7" s="47"/>
      <c r="AB7" s="45"/>
      <c r="AC7" s="47"/>
      <c r="AD7" s="47"/>
    </row>
    <row r="8" spans="1:30">
      <c r="A8" s="5" t="s">
        <v>130</v>
      </c>
      <c r="B8" s="87" t="s">
        <v>36</v>
      </c>
      <c r="D8" s="35"/>
      <c r="F8" t="s">
        <v>35</v>
      </c>
      <c r="M8" s="48"/>
      <c r="N8" s="52"/>
      <c r="O8" s="50"/>
      <c r="P8" s="49"/>
      <c r="Q8" s="48"/>
      <c r="R8" s="35"/>
      <c r="S8" s="35"/>
      <c r="T8" s="35"/>
      <c r="U8" s="35"/>
      <c r="V8" s="35"/>
      <c r="W8" s="46"/>
      <c r="X8" s="46"/>
      <c r="Y8" s="35"/>
      <c r="Z8" s="46"/>
      <c r="AA8" s="46"/>
      <c r="AB8" s="35"/>
      <c r="AC8" s="46"/>
      <c r="AD8" s="46"/>
    </row>
    <row r="9" spans="1:30">
      <c r="A9" s="18" t="s">
        <v>131</v>
      </c>
      <c r="B9" s="86">
        <f>IF(OR(B8="Ja",B8="JA",B8="ja"),(B7*0.93),B7)</f>
        <v>6</v>
      </c>
      <c r="F9" t="s">
        <v>34</v>
      </c>
      <c r="N9" s="33"/>
      <c r="O9" s="32"/>
      <c r="P9" s="31"/>
      <c r="Z9" s="1"/>
      <c r="AA9" s="1"/>
      <c r="AC9" s="1"/>
      <c r="AD9" s="1"/>
    </row>
    <row r="10" spans="1:30">
      <c r="A10" s="5" t="str">
        <f>CONCATENATE("Midfield ",B4)</f>
        <v>Midfield Motståndare</v>
      </c>
      <c r="B10" s="34">
        <v>16</v>
      </c>
      <c r="F10" t="s">
        <v>33</v>
      </c>
      <c r="N10" s="33"/>
      <c r="O10" s="32"/>
      <c r="P10" s="31"/>
      <c r="Z10" s="1"/>
      <c r="AA10" s="1"/>
      <c r="AC10" s="1"/>
      <c r="AD10" s="1"/>
    </row>
    <row r="11" spans="1:30">
      <c r="A11" s="18" t="s">
        <v>32</v>
      </c>
      <c r="B11" s="30">
        <f>B9/(B9+B10)</f>
        <v>0.27272727272727271</v>
      </c>
      <c r="F11" t="s">
        <v>32</v>
      </c>
      <c r="N11" s="33"/>
      <c r="O11" s="32"/>
      <c r="P11" s="31"/>
      <c r="Z11" s="1"/>
      <c r="AA11" s="1"/>
      <c r="AC11" s="1"/>
      <c r="AD11" s="1"/>
    </row>
    <row r="12" spans="1:30">
      <c r="A12" s="18" t="s">
        <v>134</v>
      </c>
      <c r="B12" s="85">
        <f>5+3.95*ATAN((100*B11-50)/15)</f>
        <v>1.099677886785889</v>
      </c>
      <c r="F12" t="s">
        <v>31</v>
      </c>
      <c r="N12" s="33"/>
      <c r="O12" s="32"/>
      <c r="P12" s="31"/>
      <c r="Z12" s="1"/>
      <c r="AA12" s="1"/>
      <c r="AC12" s="1"/>
      <c r="AD12" s="1"/>
    </row>
    <row r="13" spans="1:30">
      <c r="A13" s="5"/>
      <c r="N13" s="33"/>
      <c r="O13" s="32"/>
      <c r="P13" s="31"/>
      <c r="Z13" s="1"/>
      <c r="AA13" s="1"/>
      <c r="AC13" s="1"/>
      <c r="AD13" s="1"/>
    </row>
    <row r="14" spans="1:30">
      <c r="A14" s="5" t="s">
        <v>135</v>
      </c>
      <c r="B14" s="34">
        <v>4.0999999999999996</v>
      </c>
      <c r="F14" t="s">
        <v>30</v>
      </c>
      <c r="N14" s="33"/>
      <c r="O14" s="32"/>
      <c r="P14" s="31"/>
      <c r="Z14" s="1"/>
      <c r="AA14" s="1"/>
      <c r="AC14" s="1"/>
      <c r="AD14" s="1"/>
    </row>
    <row r="15" spans="1:30">
      <c r="A15" s="18" t="s">
        <v>136</v>
      </c>
      <c r="B15" s="30">
        <f>(50+(15*TAN(((B14-5)/3.95))))/100</f>
        <v>0.46521880558506368</v>
      </c>
      <c r="F15" t="s">
        <v>29</v>
      </c>
    </row>
    <row r="16" spans="1:30">
      <c r="A16" s="18" t="s">
        <v>137</v>
      </c>
      <c r="B16" s="85">
        <f>(B15*B10)/(1-B15)</f>
        <v>13.918778309892499</v>
      </c>
      <c r="C16" s="1" t="s">
        <v>28</v>
      </c>
      <c r="D16" s="28" t="str">
        <f>VLOOKUP(FLOOR(B16,1), Parser!$T$5:'Parser'!$U$44,2, FALSE)</f>
        <v>oförglömlig</v>
      </c>
      <c r="E16" s="28"/>
      <c r="F16" t="s">
        <v>27</v>
      </c>
    </row>
    <row r="17" spans="1:24">
      <c r="A17" s="5"/>
      <c r="B17" s="29"/>
      <c r="D17" s="28" t="str">
        <f>VLOOKUP(FLOOR((FLOOR((B16-FLOOR(B16,1))*4,1)),1),Parser!$Q$9:'Parser'!$R$12,2,FALSE)</f>
        <v>mkt hög</v>
      </c>
      <c r="E17" s="28"/>
    </row>
    <row r="18" spans="1:24" s="12" customFormat="1" ht="13.8" thickBot="1">
      <c r="A18" s="77"/>
      <c r="B18" s="78"/>
      <c r="D18" s="79"/>
      <c r="E18" s="79"/>
      <c r="W18" s="13"/>
      <c r="X18" s="13"/>
    </row>
    <row r="19" spans="1:24">
      <c r="A19" s="5"/>
      <c r="B19" s="29"/>
      <c r="D19" s="35"/>
      <c r="E19" s="35"/>
    </row>
    <row r="20" spans="1:24">
      <c r="A20" s="5"/>
      <c r="B20" s="18" t="s">
        <v>129</v>
      </c>
      <c r="I20" s="26" t="s">
        <v>25</v>
      </c>
    </row>
    <row r="21" spans="1:24">
      <c r="A21" s="27" t="s">
        <v>23</v>
      </c>
      <c r="C21" s="38">
        <v>0.25</v>
      </c>
      <c r="D21" s="38">
        <v>0.35</v>
      </c>
      <c r="E21" s="38">
        <v>0.25</v>
      </c>
      <c r="F21" s="38">
        <v>0.15</v>
      </c>
      <c r="I21" s="26"/>
      <c r="J21" s="38">
        <v>0.25</v>
      </c>
      <c r="K21" s="38">
        <v>0.35</v>
      </c>
      <c r="L21" s="38">
        <v>0.25</v>
      </c>
      <c r="M21" s="38">
        <v>0.15</v>
      </c>
    </row>
    <row r="22" spans="1:24">
      <c r="A22" s="5"/>
      <c r="C22" s="5" t="s">
        <v>139</v>
      </c>
      <c r="D22" s="5" t="s">
        <v>140</v>
      </c>
      <c r="E22" s="5" t="s">
        <v>141</v>
      </c>
      <c r="F22" s="5" t="s">
        <v>127</v>
      </c>
      <c r="G22" s="5" t="s">
        <v>3</v>
      </c>
      <c r="I22" s="25" t="s">
        <v>24</v>
      </c>
      <c r="J22" s="5" t="s">
        <v>139</v>
      </c>
      <c r="K22" s="5" t="s">
        <v>140</v>
      </c>
      <c r="L22" s="5" t="s">
        <v>141</v>
      </c>
      <c r="M22" s="5" t="s">
        <v>127</v>
      </c>
      <c r="N22" s="5" t="s">
        <v>3</v>
      </c>
      <c r="Q22" s="5"/>
    </row>
    <row r="23" spans="1:24">
      <c r="A23" s="5" t="s">
        <v>23</v>
      </c>
      <c r="C23" s="84">
        <f>C$21*$B$12</f>
        <v>0.27491947169647224</v>
      </c>
      <c r="D23" s="84">
        <f>D$21*$B$12</f>
        <v>0.3848872603750611</v>
      </c>
      <c r="E23" s="84">
        <f>E$21*$B$12</f>
        <v>0.27491947169647224</v>
      </c>
      <c r="F23" s="84">
        <f>F$21*$B$12</f>
        <v>0.16495168301788335</v>
      </c>
      <c r="G23" s="2">
        <f>SUM(C23:F23)</f>
        <v>1.099677886785889</v>
      </c>
      <c r="J23" s="84">
        <f>J$21*$B$14</f>
        <v>1.0249999999999999</v>
      </c>
      <c r="K23" s="84">
        <f>K$21*$B$14</f>
        <v>1.4349999999999998</v>
      </c>
      <c r="L23" s="84">
        <f>L$21*$B$14</f>
        <v>1.0249999999999999</v>
      </c>
      <c r="M23" s="84">
        <f>M$21*$B$14</f>
        <v>0.61499999999999988</v>
      </c>
      <c r="N23" s="2">
        <f>SUM(J23:M23)</f>
        <v>4.0999999999999996</v>
      </c>
    </row>
    <row r="24" spans="1:24">
      <c r="A24" s="5" t="str">
        <f>CONCATENATE("AIM ",TEXT(B24,"0%"))</f>
        <v>AIM 20%</v>
      </c>
      <c r="B24" s="76">
        <v>0.2</v>
      </c>
      <c r="C24" s="2">
        <f>C$23-(C$23*$B24/2)</f>
        <v>0.24742752452682501</v>
      </c>
      <c r="D24" s="2">
        <f>(D$23)+(C$23*$B24/2)+(E$23*$B24/2)</f>
        <v>0.43987115471435551</v>
      </c>
      <c r="E24" s="2">
        <f>E$23-(E$23*$B24/2)</f>
        <v>0.24742752452682501</v>
      </c>
      <c r="F24" s="6">
        <f>F$21*$B$12</f>
        <v>0.16495168301788335</v>
      </c>
      <c r="G24" s="2">
        <f>SUM(C24:F24)</f>
        <v>1.099677886785889</v>
      </c>
      <c r="I24" s="15"/>
      <c r="J24" s="2">
        <f>J$23-(J$23*$B24/2)</f>
        <v>0.92249999999999988</v>
      </c>
      <c r="K24" s="2">
        <f>(K$23)+(J$23*$B24/2)+(L$23*$B24/2)</f>
        <v>1.64</v>
      </c>
      <c r="L24" s="2">
        <f>L$23-(L$23*$B24/2)</f>
        <v>0.92249999999999988</v>
      </c>
      <c r="M24" s="2">
        <f>0.15*$B$14</f>
        <v>0.61499999999999988</v>
      </c>
      <c r="N24" s="2">
        <f>SUM(J24:M24)</f>
        <v>4.0999999999999996</v>
      </c>
    </row>
    <row r="25" spans="1:24">
      <c r="A25" s="5" t="str">
        <f t="shared" ref="A25:A26" si="0">CONCATENATE("AIM ",TEXT(B25,"0%"))</f>
        <v>AIM 30%</v>
      </c>
      <c r="B25" s="76">
        <v>0.3</v>
      </c>
      <c r="C25" s="2">
        <f>C$23-(C$23*$B25/2)</f>
        <v>0.23368155094200141</v>
      </c>
      <c r="D25" s="2">
        <f t="shared" ref="D25:D26" si="1">(D$23)+(C$23*$B25/2)+(E$23*$B25/2)</f>
        <v>0.46736310188400282</v>
      </c>
      <c r="E25" s="2">
        <f t="shared" ref="E25:E26" si="2">E$23-(E$23*$B25/2)</f>
        <v>0.23368155094200141</v>
      </c>
      <c r="F25" s="6">
        <f>F$21*$B$12</f>
        <v>0.16495168301788335</v>
      </c>
      <c r="G25" s="2">
        <f>SUM(C25:F25)</f>
        <v>1.099677886785889</v>
      </c>
      <c r="I25" s="15"/>
      <c r="J25" s="2">
        <f>J$23-(J$23*$B25/2)</f>
        <v>0.87124999999999997</v>
      </c>
      <c r="K25" s="2">
        <f>(K$23)+(J$23*$B25/2)+(L$23*$B25/2)</f>
        <v>1.7424999999999999</v>
      </c>
      <c r="L25" s="2">
        <f t="shared" ref="L25:L26" si="3">L$23-(L$23*$B25/2)</f>
        <v>0.87124999999999997</v>
      </c>
      <c r="M25" s="2">
        <f>0.15*$B$14</f>
        <v>0.61499999999999988</v>
      </c>
      <c r="N25" s="2">
        <f>SUM(J25:M25)</f>
        <v>4.0999999999999996</v>
      </c>
    </row>
    <row r="26" spans="1:24">
      <c r="A26" s="5" t="str">
        <f t="shared" si="0"/>
        <v>AIM 40%</v>
      </c>
      <c r="B26" s="76">
        <v>0.4</v>
      </c>
      <c r="C26" s="2">
        <f>C$23-(C$23*$B26/2)</f>
        <v>0.21993557735717778</v>
      </c>
      <c r="D26" s="2">
        <f t="shared" si="1"/>
        <v>0.49485504905365002</v>
      </c>
      <c r="E26" s="2">
        <f t="shared" si="2"/>
        <v>0.21993557735717778</v>
      </c>
      <c r="F26" s="6">
        <f>F$21*$B$12</f>
        <v>0.16495168301788335</v>
      </c>
      <c r="G26" s="2">
        <f>SUM(C26:F26)</f>
        <v>1.099677886785889</v>
      </c>
      <c r="I26" s="15"/>
      <c r="J26" s="2">
        <f>J$23-(J$23*$B26/2)</f>
        <v>0.82</v>
      </c>
      <c r="K26" s="2">
        <f>(K$23)+(J$23*$B26/2)+(L$23*$B26/2)</f>
        <v>1.845</v>
      </c>
      <c r="L26" s="2">
        <f t="shared" si="3"/>
        <v>0.82</v>
      </c>
      <c r="M26" s="2">
        <f>0.15*$B$14</f>
        <v>0.61499999999999988</v>
      </c>
      <c r="N26" s="2">
        <f>SUM(J26:M26)</f>
        <v>4.0999999999999996</v>
      </c>
      <c r="O26" s="24"/>
      <c r="P26" s="24"/>
    </row>
    <row r="27" spans="1:24">
      <c r="A27" s="5" t="str">
        <f>CONCATENATE("APK ",TEXT(B27,"0%"))</f>
        <v>APK 20%</v>
      </c>
      <c r="B27" s="76">
        <v>0.2</v>
      </c>
      <c r="C27" s="2">
        <f>C$23+(D$23*($B27/2))</f>
        <v>0.31340819773397832</v>
      </c>
      <c r="D27" s="2">
        <f>(D$23)-(D$23*$B27)</f>
        <v>0.30790980830004888</v>
      </c>
      <c r="E27" s="2">
        <f>E$23+(D$23*($B27/2))</f>
        <v>0.31340819773397832</v>
      </c>
      <c r="F27" s="6">
        <f>F$21*$B$12</f>
        <v>0.16495168301788335</v>
      </c>
      <c r="G27" s="2">
        <f>SUM(C27:F27)</f>
        <v>1.099677886785889</v>
      </c>
      <c r="I27" s="15"/>
      <c r="J27" s="2">
        <f>J$23+(K$23*($B27/2))</f>
        <v>1.1684999999999999</v>
      </c>
      <c r="K27" s="2">
        <f>(K$23)-(K$23*$B27)</f>
        <v>1.1479999999999999</v>
      </c>
      <c r="L27" s="2">
        <f>L$23+(K$23*($B27/2))</f>
        <v>1.1684999999999999</v>
      </c>
      <c r="M27" s="2">
        <f>0.15*$B$14</f>
        <v>0.61499999999999988</v>
      </c>
      <c r="N27" s="2">
        <f>SUM(J27:M27)</f>
        <v>4.0999999999999996</v>
      </c>
    </row>
    <row r="28" spans="1:24">
      <c r="A28" s="5" t="str">
        <f t="shared" ref="A28:A29" si="4">CONCATENATE("APK ",TEXT(B28,"0%"))</f>
        <v>APK 30%</v>
      </c>
      <c r="B28" s="76">
        <v>0.3</v>
      </c>
      <c r="C28" s="2">
        <f t="shared" ref="C28:C29" si="5">C$23+(D$23*($B28/2))</f>
        <v>0.33265256075273142</v>
      </c>
      <c r="D28" s="2">
        <f>(D$23)-(D$23*$B28)</f>
        <v>0.2694210822625428</v>
      </c>
      <c r="E28" s="2">
        <f t="shared" ref="E28:E29" si="6">E$23+(D$23*($B28/2))</f>
        <v>0.33265256075273142</v>
      </c>
      <c r="F28" s="6">
        <f>F$21*$B$12</f>
        <v>0.16495168301788335</v>
      </c>
      <c r="G28" s="2">
        <f>SUM(C28:F28)</f>
        <v>1.099677886785889</v>
      </c>
      <c r="I28" s="15"/>
      <c r="J28" s="2">
        <f>J$23+(K$23*($B28/2))</f>
        <v>1.2402499999999999</v>
      </c>
      <c r="K28" s="2">
        <f>(K$23)-(K$23*$B28)</f>
        <v>1.0044999999999999</v>
      </c>
      <c r="L28" s="2">
        <f t="shared" ref="L28:L29" si="7">L$23+(K$23*($B28/2))</f>
        <v>1.2402499999999999</v>
      </c>
      <c r="M28" s="2">
        <f>0.15*$B$14</f>
        <v>0.61499999999999988</v>
      </c>
      <c r="N28" s="2">
        <f>SUM(J28:M28)</f>
        <v>4.0999999999999996</v>
      </c>
      <c r="O28" s="7"/>
      <c r="P28" s="7"/>
    </row>
    <row r="29" spans="1:24">
      <c r="A29" s="5" t="str">
        <f t="shared" si="4"/>
        <v>APK 40%</v>
      </c>
      <c r="B29" s="76">
        <v>0.4</v>
      </c>
      <c r="C29" s="2">
        <f t="shared" si="5"/>
        <v>0.35189692377148446</v>
      </c>
      <c r="D29" s="2">
        <f>(D$23)-(D$23*$B29)</f>
        <v>0.23093235622503666</v>
      </c>
      <c r="E29" s="2">
        <f t="shared" si="6"/>
        <v>0.35189692377148446</v>
      </c>
      <c r="F29" s="6">
        <f>F$21*$B$12</f>
        <v>0.16495168301788335</v>
      </c>
      <c r="G29" s="2">
        <f>SUM(C29:F29)</f>
        <v>1.099677886785889</v>
      </c>
      <c r="I29" s="15"/>
      <c r="J29" s="2">
        <f>J$23+(K$23*($B29/2))</f>
        <v>1.3119999999999998</v>
      </c>
      <c r="K29" s="2">
        <f>(K$23)-(K$23*$B29)</f>
        <v>0.86099999999999988</v>
      </c>
      <c r="L29" s="2">
        <f t="shared" si="7"/>
        <v>1.3119999999999998</v>
      </c>
      <c r="M29" s="2">
        <f>0.15*$B$14</f>
        <v>0.61499999999999988</v>
      </c>
      <c r="N29" s="2">
        <f>SUM(J29:M29)</f>
        <v>4.0999999999999996</v>
      </c>
      <c r="O29" s="2"/>
      <c r="P29" s="2"/>
    </row>
    <row r="30" spans="1:24" s="12" customFormat="1" ht="13.8" thickBot="1">
      <c r="A30" s="77"/>
      <c r="B30" s="80"/>
      <c r="C30" s="81"/>
      <c r="D30" s="81"/>
      <c r="E30" s="81"/>
      <c r="F30" s="82"/>
      <c r="G30" s="81"/>
      <c r="I30" s="14"/>
      <c r="J30" s="81"/>
      <c r="K30" s="81"/>
      <c r="L30" s="81"/>
      <c r="M30" s="81"/>
      <c r="N30" s="81"/>
      <c r="O30" s="81"/>
      <c r="P30" s="81"/>
      <c r="W30" s="13"/>
      <c r="X30" s="13"/>
    </row>
    <row r="31" spans="1:24">
      <c r="A31" s="5"/>
      <c r="E31" s="1"/>
      <c r="O31" s="2"/>
      <c r="P31" s="2"/>
      <c r="R31" s="1"/>
    </row>
    <row r="32" spans="1:24">
      <c r="A32" s="5"/>
      <c r="B32" s="5" t="s">
        <v>7</v>
      </c>
      <c r="C32" s="5" t="s">
        <v>6</v>
      </c>
      <c r="D32" s="5" t="s">
        <v>5</v>
      </c>
      <c r="E32" s="7" t="s">
        <v>4</v>
      </c>
      <c r="O32" s="2"/>
      <c r="P32" s="2"/>
      <c r="R32" s="1"/>
    </row>
    <row r="33" spans="1:24">
      <c r="A33" s="39" t="str">
        <f>CONCATENATE("Anfall ",$B$3)</f>
        <v>Anfall Eget lag</v>
      </c>
      <c r="B33" s="17">
        <v>15</v>
      </c>
      <c r="C33" s="17">
        <v>9</v>
      </c>
      <c r="D33" s="17">
        <v>15</v>
      </c>
      <c r="E33" s="1"/>
      <c r="O33" s="23"/>
      <c r="P33" s="23"/>
    </row>
    <row r="34" spans="1:24">
      <c r="A34" s="39" t="str">
        <f>CONCATENATE("Försvar ",$B$4)</f>
        <v>Försvar Motståndare</v>
      </c>
      <c r="B34" s="17">
        <v>15</v>
      </c>
      <c r="C34" s="17">
        <v>15</v>
      </c>
      <c r="D34" s="17">
        <v>15</v>
      </c>
      <c r="E34" s="1"/>
      <c r="J34" s="7" t="s">
        <v>21</v>
      </c>
      <c r="K34" s="7" t="s">
        <v>20</v>
      </c>
      <c r="L34" s="7" t="s">
        <v>19</v>
      </c>
      <c r="O34" s="23"/>
      <c r="P34" s="23"/>
      <c r="Q34" s="18"/>
    </row>
    <row r="35" spans="1:24">
      <c r="A35" s="5" t="s">
        <v>18</v>
      </c>
      <c r="B35" s="16">
        <f>1/(1+(POWER(B34, $J35)/POWER(B33, $K35)))</f>
        <v>0.5</v>
      </c>
      <c r="C35" s="16">
        <f>1/(1+(POWER(C34, $J35)/POWER(C33, $K35)))</f>
        <v>0.14333164941728826</v>
      </c>
      <c r="D35" s="16">
        <f>1/(1+(POWER(D34, $J35)/POWER(D33, $K35)))</f>
        <v>0.5</v>
      </c>
      <c r="E35" s="75">
        <v>0</v>
      </c>
      <c r="F35" t="s">
        <v>17</v>
      </c>
      <c r="H35" t="s">
        <v>16</v>
      </c>
      <c r="J35" s="1">
        <v>3.5</v>
      </c>
      <c r="K35" s="1">
        <v>3.5</v>
      </c>
      <c r="L35" s="1" t="s">
        <v>12</v>
      </c>
      <c r="O35" s="2"/>
      <c r="P35" s="2"/>
      <c r="Q35" s="18"/>
    </row>
    <row r="36" spans="1:24" s="18" customFormat="1">
      <c r="A36" s="5" t="s">
        <v>15</v>
      </c>
      <c r="B36" s="22">
        <f>1/(1+POWER((B34/B33),$J36))</f>
        <v>0.5</v>
      </c>
      <c r="C36" s="22">
        <f>1/(1+POWER((C34/C33),$J36))</f>
        <v>0.14333164941728818</v>
      </c>
      <c r="D36" s="22">
        <f>1/(1+POWER((D34/D33),$J36))</f>
        <v>0.5</v>
      </c>
      <c r="E36" s="75">
        <v>0</v>
      </c>
      <c r="F36" s="18" t="s">
        <v>14</v>
      </c>
      <c r="H36" s="18" t="s">
        <v>13</v>
      </c>
      <c r="J36" s="20">
        <v>3.5</v>
      </c>
      <c r="K36" s="20" t="s">
        <v>12</v>
      </c>
      <c r="L36" s="20" t="s">
        <v>12</v>
      </c>
      <c r="N36"/>
      <c r="O36" s="2"/>
      <c r="P36" s="2"/>
      <c r="W36" s="20"/>
      <c r="X36" s="20"/>
    </row>
    <row r="37" spans="1:24" s="18" customFormat="1">
      <c r="A37" s="39" t="s">
        <v>11</v>
      </c>
      <c r="B37" s="40">
        <f>1/(1+(($L37*POWER(B34, $J37))/POWER(B33, $K37)))</f>
        <v>0.42553191489361702</v>
      </c>
      <c r="C37" s="40">
        <f>1/(1+(($L37*POWER(C34, $J37))/POWER(C33, $K37)))</f>
        <v>0.11026920202169056</v>
      </c>
      <c r="D37" s="40">
        <f>1/(1+(($L37*POWER(D34, $J37))/POWER(D33, $K37)))</f>
        <v>0.42553191489361702</v>
      </c>
      <c r="E37" s="75">
        <v>0</v>
      </c>
      <c r="F37" s="37" t="s">
        <v>10</v>
      </c>
      <c r="G37" s="37"/>
      <c r="H37" s="37"/>
      <c r="I37" s="37"/>
      <c r="J37" s="41">
        <v>3.5</v>
      </c>
      <c r="K37" s="41">
        <v>3.5</v>
      </c>
      <c r="L37" s="41">
        <v>1.35</v>
      </c>
      <c r="O37" s="21"/>
      <c r="P37" s="21"/>
      <c r="W37" s="20"/>
      <c r="X37" s="20"/>
    </row>
    <row r="38" spans="1:24" s="18" customFormat="1">
      <c r="A38" s="39" t="s">
        <v>43</v>
      </c>
      <c r="B38" s="83">
        <f>(POWER(B33,$J38)/(POWER(B33,$J38)+($L38*POWER(B34,$K38))))</f>
        <v>0.42553191489361702</v>
      </c>
      <c r="C38" s="83">
        <f>(POWER(C33,$J38)/(POWER(C33,$J38)+($L38*POWER(C34,$K38))))</f>
        <v>0.13793103448275862</v>
      </c>
      <c r="D38" s="83">
        <f>(POWER(D33,$J38)/(POWER(D33,$J38)+($L38*POWER(D$34,$K38))))</f>
        <v>0.42553191489361702</v>
      </c>
      <c r="E38" s="75">
        <v>0</v>
      </c>
      <c r="F38" s="37" t="s">
        <v>42</v>
      </c>
      <c r="G38" s="37"/>
      <c r="H38" s="37"/>
      <c r="I38" s="37"/>
      <c r="J38" s="41">
        <v>3</v>
      </c>
      <c r="K38" s="41">
        <v>3</v>
      </c>
      <c r="L38" s="41">
        <v>1.35</v>
      </c>
      <c r="O38" s="21"/>
      <c r="P38" s="21"/>
      <c r="W38" s="20"/>
      <c r="X38" s="20"/>
    </row>
    <row r="39" spans="1:24">
      <c r="A39" s="39"/>
      <c r="B39" s="8"/>
      <c r="C39" s="8"/>
      <c r="D39" s="8"/>
      <c r="E39" s="9"/>
      <c r="F39" s="8"/>
      <c r="G39" s="8"/>
      <c r="H39" s="8"/>
      <c r="I39" s="8"/>
      <c r="J39" s="8"/>
      <c r="K39" s="8"/>
      <c r="L39" s="8"/>
      <c r="N39" s="18"/>
      <c r="O39" s="19"/>
      <c r="P39" s="19"/>
    </row>
    <row r="40" spans="1:24">
      <c r="A40" s="39"/>
      <c r="B40" s="39" t="s">
        <v>7</v>
      </c>
      <c r="C40" s="39" t="s">
        <v>6</v>
      </c>
      <c r="D40" s="39" t="s">
        <v>5</v>
      </c>
      <c r="E40" s="43" t="s">
        <v>4</v>
      </c>
      <c r="F40" s="8"/>
      <c r="G40" s="8"/>
      <c r="H40" s="8"/>
      <c r="I40" s="8"/>
      <c r="J40" s="8"/>
      <c r="K40" s="8"/>
      <c r="L40" s="8"/>
      <c r="N40" s="18"/>
      <c r="O40" s="6"/>
      <c r="P40" s="6"/>
    </row>
    <row r="41" spans="1:24">
      <c r="A41" s="39" t="str">
        <f>CONCATENATE("Anfall ",$B$4)</f>
        <v>Anfall Motståndare</v>
      </c>
      <c r="B41" s="42">
        <v>15</v>
      </c>
      <c r="C41" s="42">
        <v>10</v>
      </c>
      <c r="D41" s="42">
        <v>15</v>
      </c>
      <c r="E41" s="9"/>
      <c r="F41" s="8"/>
      <c r="G41" s="8"/>
      <c r="H41" s="8"/>
      <c r="I41" s="8"/>
      <c r="J41" s="8"/>
      <c r="K41" s="8"/>
      <c r="L41" s="8"/>
      <c r="O41" s="15"/>
      <c r="P41" s="15"/>
    </row>
    <row r="42" spans="1:24">
      <c r="A42" s="39" t="str">
        <f>CONCATENATE("Försvar ",$B$3)</f>
        <v>Försvar Eget lag</v>
      </c>
      <c r="B42" s="42">
        <v>21</v>
      </c>
      <c r="C42" s="42">
        <v>21</v>
      </c>
      <c r="D42" s="42">
        <v>21</v>
      </c>
      <c r="E42" s="9"/>
      <c r="F42" s="8"/>
      <c r="G42" s="8"/>
      <c r="H42" s="8"/>
      <c r="I42" s="8"/>
      <c r="J42" s="43" t="s">
        <v>21</v>
      </c>
      <c r="K42" s="43" t="s">
        <v>20</v>
      </c>
      <c r="L42" s="43" t="s">
        <v>19</v>
      </c>
      <c r="O42" s="15"/>
      <c r="P42" s="15"/>
    </row>
    <row r="43" spans="1:24">
      <c r="A43" s="39" t="s">
        <v>18</v>
      </c>
      <c r="B43" s="44">
        <f>1/(1+(POWER(B42, $J43)/POWER(B41, $K43)))</f>
        <v>0.23547448639608379</v>
      </c>
      <c r="C43" s="44">
        <f>1/(1+(POWER(C42, $J43)/POWER(C41, $K43)))</f>
        <v>6.9345896198472978E-2</v>
      </c>
      <c r="D43" s="44">
        <f>1/(1+(POWER(D42, $J43)/POWER(D41, $K43)))</f>
        <v>0.23547448639608379</v>
      </c>
      <c r="E43" s="75">
        <v>0</v>
      </c>
      <c r="F43" s="8" t="s">
        <v>17</v>
      </c>
      <c r="G43" s="8"/>
      <c r="H43" s="8" t="s">
        <v>16</v>
      </c>
      <c r="I43" s="8"/>
      <c r="J43" s="9">
        <v>3.5</v>
      </c>
      <c r="K43" s="9">
        <v>3.5</v>
      </c>
      <c r="L43" s="9" t="s">
        <v>12</v>
      </c>
      <c r="O43" s="15"/>
      <c r="P43" s="15"/>
    </row>
    <row r="44" spans="1:24">
      <c r="A44" s="39" t="s">
        <v>15</v>
      </c>
      <c r="B44" s="40">
        <f>1/(1+POWER((B42/B41),$J44))</f>
        <v>0.23547448639608387</v>
      </c>
      <c r="C44" s="40">
        <f>1/(1+POWER((C42/C41),$J44))</f>
        <v>6.9345896198472964E-2</v>
      </c>
      <c r="D44" s="40">
        <f>1/(1+POWER((D42/D41),$J44))</f>
        <v>0.23547448639608387</v>
      </c>
      <c r="E44" s="75">
        <v>0</v>
      </c>
      <c r="F44" s="8" t="s">
        <v>14</v>
      </c>
      <c r="G44" s="8"/>
      <c r="H44" s="8" t="s">
        <v>13</v>
      </c>
      <c r="I44" s="8"/>
      <c r="J44" s="9">
        <v>3.5</v>
      </c>
      <c r="K44" s="9" t="s">
        <v>12</v>
      </c>
      <c r="L44" s="9" t="s">
        <v>12</v>
      </c>
      <c r="O44" s="15"/>
      <c r="P44" s="15"/>
    </row>
    <row r="45" spans="1:24">
      <c r="A45" s="39" t="s">
        <v>11</v>
      </c>
      <c r="B45" s="40">
        <f>1/(1+(($L45*POWER(B42, $J45))/POWER(B41, $K45)))</f>
        <v>0.18576638664109058</v>
      </c>
      <c r="C45" s="40">
        <f>1/(1+(($L45*POWER(C42, $J45))/POWER(C41, $K45)))</f>
        <v>5.2307748815089192E-2</v>
      </c>
      <c r="D45" s="40">
        <f>1/(1+(($L45*POWER(D42, $J45))/POWER(D41, $K45)))</f>
        <v>0.18576638664109058</v>
      </c>
      <c r="E45" s="75">
        <v>0</v>
      </c>
      <c r="F45" s="8" t="s">
        <v>10</v>
      </c>
      <c r="G45" s="8"/>
      <c r="H45" s="8"/>
      <c r="I45" s="8"/>
      <c r="J45" s="9">
        <v>3.5</v>
      </c>
      <c r="K45" s="9">
        <v>3.5</v>
      </c>
      <c r="L45" s="9">
        <v>1.35</v>
      </c>
      <c r="O45" s="15"/>
      <c r="P45" s="15"/>
    </row>
    <row r="46" spans="1:24" s="18" customFormat="1">
      <c r="A46" s="39" t="s">
        <v>43</v>
      </c>
      <c r="B46" s="83">
        <f>(POWER(B41,$J46)/(POWER(B41,$J46)+($L46*POWER(B42,$K46))))</f>
        <v>0.21256695859195646</v>
      </c>
      <c r="C46" s="83">
        <f>(POWER(C41,$J46)/(POWER(C41,$J46)+($L46*POWER(C42,$K46))))</f>
        <v>7.4061181942402618E-2</v>
      </c>
      <c r="D46" s="83">
        <f>(POWER(D41,$J46)/(POWER(D41,$J46)+($L46*POWER(D$34,$K46))))</f>
        <v>0.42553191489361702</v>
      </c>
      <c r="E46" s="75">
        <v>0</v>
      </c>
      <c r="F46" s="37" t="s">
        <v>42</v>
      </c>
      <c r="G46" s="37"/>
      <c r="H46" s="37"/>
      <c r="I46" s="37"/>
      <c r="J46" s="41">
        <v>3</v>
      </c>
      <c r="K46" s="41">
        <v>3</v>
      </c>
      <c r="L46" s="41">
        <v>1.35</v>
      </c>
      <c r="O46" s="21"/>
      <c r="P46" s="21"/>
      <c r="W46" s="20"/>
      <c r="X46" s="20"/>
    </row>
    <row r="47" spans="1:24" s="12" customFormat="1" ht="13.8" thickBot="1">
      <c r="B47" s="13"/>
      <c r="C47" s="13"/>
      <c r="D47" s="13"/>
      <c r="E47" s="13"/>
      <c r="O47" s="14"/>
      <c r="P47" s="14"/>
      <c r="W47" s="13"/>
      <c r="X47" s="13"/>
    </row>
    <row r="48" spans="1:24" s="8" customFormat="1">
      <c r="B48" s="9"/>
      <c r="C48" s="9"/>
      <c r="D48" s="9"/>
      <c r="E48" s="9"/>
      <c r="W48" s="9"/>
      <c r="X48" s="9"/>
    </row>
    <row r="49" spans="1:24" s="8" customFormat="1">
      <c r="A49" s="10" t="s">
        <v>9</v>
      </c>
      <c r="B49" s="11"/>
      <c r="C49" s="11"/>
      <c r="D49" s="11"/>
      <c r="E49" s="11"/>
      <c r="F49" s="10"/>
      <c r="I49" s="10" t="s">
        <v>8</v>
      </c>
      <c r="W49" s="9"/>
      <c r="X49" s="9"/>
    </row>
    <row r="50" spans="1:24" s="8" customFormat="1">
      <c r="A50" s="10"/>
      <c r="B50" s="11"/>
      <c r="C50" s="11"/>
      <c r="D50" s="11"/>
      <c r="E50" s="11"/>
      <c r="F50" s="10"/>
      <c r="G50" s="10"/>
      <c r="W50" s="9"/>
      <c r="X50" s="9"/>
    </row>
    <row r="51" spans="1:24">
      <c r="C51" s="5" t="s">
        <v>7</v>
      </c>
      <c r="D51" s="5" t="s">
        <v>6</v>
      </c>
      <c r="E51" s="5" t="s">
        <v>5</v>
      </c>
      <c r="F51" s="5" t="s">
        <v>4</v>
      </c>
      <c r="G51" s="5" t="s">
        <v>3</v>
      </c>
      <c r="J51" s="5" t="s">
        <v>7</v>
      </c>
      <c r="K51" s="5" t="s">
        <v>6</v>
      </c>
      <c r="L51" s="5" t="s">
        <v>5</v>
      </c>
      <c r="M51" s="5" t="s">
        <v>4</v>
      </c>
      <c r="N51" s="7" t="s">
        <v>3</v>
      </c>
    </row>
    <row r="52" spans="1:24" ht="13.8" thickBot="1">
      <c r="A52" s="5" t="str">
        <f>CONCATENATE("Distribution ",$B$3)</f>
        <v>Distribution Eget lag</v>
      </c>
      <c r="C52" s="20">
        <f>C23</f>
        <v>0.27491947169647224</v>
      </c>
      <c r="D52" s="20">
        <f t="shared" ref="D52:F52" si="8">D23</f>
        <v>0.3848872603750611</v>
      </c>
      <c r="E52" s="20">
        <f t="shared" si="8"/>
        <v>0.27491947169647224</v>
      </c>
      <c r="F52" s="20">
        <f t="shared" si="8"/>
        <v>0.16495168301788335</v>
      </c>
      <c r="G52" s="23">
        <f>G23</f>
        <v>1.099677886785889</v>
      </c>
      <c r="J52" s="20">
        <f>J23</f>
        <v>1.0249999999999999</v>
      </c>
      <c r="K52" s="20">
        <f t="shared" ref="K52:M52" si="9">K23</f>
        <v>1.4349999999999998</v>
      </c>
      <c r="L52" s="20">
        <f t="shared" si="9"/>
        <v>1.0249999999999999</v>
      </c>
      <c r="M52" s="20">
        <f t="shared" si="9"/>
        <v>0.61499999999999988</v>
      </c>
      <c r="N52" s="23">
        <f>N23</f>
        <v>4.0999999999999996</v>
      </c>
    </row>
    <row r="53" spans="1:24" ht="13.8" thickBot="1">
      <c r="A53" s="5" t="str">
        <f>CONCATENATE("Antal mål ",B3)</f>
        <v>Antal mål Eget lag</v>
      </c>
      <c r="B53" s="38"/>
      <c r="C53" s="2">
        <f>C23*B35</f>
        <v>0.13745973584823612</v>
      </c>
      <c r="D53" s="2">
        <f>D23*C35</f>
        <v>5.5166525869258805E-2</v>
      </c>
      <c r="E53" s="2">
        <f>E23*D35</f>
        <v>0.13745973584823612</v>
      </c>
      <c r="F53" s="89">
        <f>F$52*$E$38</f>
        <v>0</v>
      </c>
      <c r="G53" s="88">
        <f>SUM(C53:F53)</f>
        <v>0.33008599756573104</v>
      </c>
      <c r="I53" s="5" t="s">
        <v>2</v>
      </c>
      <c r="J53" s="2">
        <f>J23*B35</f>
        <v>0.51249999999999996</v>
      </c>
      <c r="K53" s="2">
        <f>K23*C35</f>
        <v>0.20568091691380863</v>
      </c>
      <c r="L53" s="2">
        <f>L23*D35</f>
        <v>0.51249999999999996</v>
      </c>
      <c r="M53" s="89">
        <f>M$52*$E$38</f>
        <v>0</v>
      </c>
      <c r="N53" s="88">
        <f>SUM(J53:M53)</f>
        <v>1.2306809169138084</v>
      </c>
      <c r="W53"/>
      <c r="X53"/>
    </row>
    <row r="54" spans="1:24">
      <c r="A54" s="5" t="s">
        <v>1</v>
      </c>
      <c r="B54" s="76">
        <v>0.3</v>
      </c>
      <c r="C54" s="2">
        <f>C25*B35</f>
        <v>0.1168407754710007</v>
      </c>
      <c r="D54" s="2">
        <f>D25*C35</f>
        <v>6.6987924269814272E-2</v>
      </c>
      <c r="E54" s="2">
        <f>E25*D35</f>
        <v>0.1168407754710007</v>
      </c>
      <c r="F54" s="89">
        <f>F$52*$E$38</f>
        <v>0</v>
      </c>
      <c r="G54" s="4">
        <f>SUM(C54:F54)</f>
        <v>0.3006694752118157</v>
      </c>
      <c r="I54" s="5" t="s">
        <v>1</v>
      </c>
      <c r="J54" s="2">
        <f>J25*B35</f>
        <v>0.43562499999999998</v>
      </c>
      <c r="K54" s="2">
        <f>K25*C35</f>
        <v>0.2497553991096248</v>
      </c>
      <c r="L54" s="2">
        <f>L25*D35</f>
        <v>0.43562499999999998</v>
      </c>
      <c r="M54" s="89">
        <f>M$52*$E$38</f>
        <v>0</v>
      </c>
      <c r="N54" s="4">
        <f>SUM(J54:M54)</f>
        <v>1.1210053991096247</v>
      </c>
      <c r="W54"/>
      <c r="X54"/>
    </row>
    <row r="55" spans="1:24">
      <c r="A55" s="5" t="s">
        <v>0</v>
      </c>
      <c r="B55" s="76">
        <v>0.3</v>
      </c>
      <c r="C55" s="2">
        <f>C28*B35</f>
        <v>0.16632628037636571</v>
      </c>
      <c r="D55" s="2">
        <f>D28*C35</f>
        <v>3.8616568108481165E-2</v>
      </c>
      <c r="E55" s="2">
        <f>E28*D35</f>
        <v>0.16632628037636571</v>
      </c>
      <c r="F55" s="89">
        <f>F$52*$E$38</f>
        <v>0</v>
      </c>
      <c r="G55" s="4">
        <f>SUM(C55:F55)</f>
        <v>0.37126912886121255</v>
      </c>
      <c r="I55" s="5" t="s">
        <v>0</v>
      </c>
      <c r="J55" s="2">
        <f>J28*B35</f>
        <v>0.62012499999999993</v>
      </c>
      <c r="K55" s="2">
        <f>K28*C35</f>
        <v>0.14397664183966605</v>
      </c>
      <c r="L55" s="2">
        <f>L28*D35</f>
        <v>0.62012499999999993</v>
      </c>
      <c r="M55" s="89">
        <f>M$52*$E$38</f>
        <v>0</v>
      </c>
      <c r="N55" s="4">
        <f>SUM(J55:M55)</f>
        <v>1.3842266418396658</v>
      </c>
      <c r="W55"/>
      <c r="X55"/>
    </row>
    <row r="56" spans="1:24">
      <c r="H56" s="2"/>
      <c r="I56" s="2"/>
      <c r="J56" s="2"/>
      <c r="K56" s="2"/>
      <c r="L56" s="2"/>
      <c r="W56"/>
      <c r="X56"/>
    </row>
    <row r="57" spans="1:24" ht="13.8" thickBot="1">
      <c r="A57" s="5" t="str">
        <f>CONCATENATE("Distribution ",$B$4)</f>
        <v>Distribution Motståndare</v>
      </c>
      <c r="C57" s="2">
        <f>0.26*(10-$B$12)</f>
        <v>2.3140837494356687</v>
      </c>
      <c r="D57" s="2">
        <f>0.38*(10-$B$12)</f>
        <v>3.3821224030213624</v>
      </c>
      <c r="E57" s="2">
        <f>0.26*(10-$B$12)</f>
        <v>2.3140837494356687</v>
      </c>
      <c r="F57" s="2">
        <f>F21*(10-$B$12)</f>
        <v>1.3350483169821166</v>
      </c>
      <c r="G57" s="2">
        <f>SUM(C57:F57)</f>
        <v>9.3453382188748151</v>
      </c>
      <c r="J57" s="2">
        <f>0.26*(10-$B$14)</f>
        <v>1.5340000000000003</v>
      </c>
      <c r="K57" s="2">
        <f>0.38*(10-$B$14)</f>
        <v>2.242</v>
      </c>
      <c r="L57" s="2">
        <f>0.26*(10-$B$14)</f>
        <v>1.5340000000000003</v>
      </c>
      <c r="M57" s="2">
        <f>0.1*(10-$B$14)</f>
        <v>0.59000000000000008</v>
      </c>
      <c r="N57" s="2">
        <f>SUM(J57:M57)</f>
        <v>5.9</v>
      </c>
    </row>
    <row r="58" spans="1:24" ht="13.8" thickBot="1">
      <c r="A58" s="5" t="str">
        <f>CONCATENATE("Antal mål ",B4)</f>
        <v>Antal mål Motståndare</v>
      </c>
      <c r="B58" s="38"/>
      <c r="C58" s="2">
        <f>C57*B46</f>
        <v>0.49189774454461116</v>
      </c>
      <c r="D58" s="2">
        <f>D57*C46</f>
        <v>0.25048398264164107</v>
      </c>
      <c r="E58" s="2">
        <f>E57*D46</f>
        <v>0.98471648912156118</v>
      </c>
      <c r="F58" s="89">
        <f>F$52*$E$46</f>
        <v>0</v>
      </c>
      <c r="G58" s="88">
        <f>SUM(C58:F58)</f>
        <v>1.7270982163078135</v>
      </c>
      <c r="J58" s="2">
        <f>J57*B46</f>
        <v>0.32607771448006123</v>
      </c>
      <c r="K58" s="2">
        <f>K57*C46</f>
        <v>0.16604516991486667</v>
      </c>
      <c r="L58" s="2">
        <f>L57*D46</f>
        <v>0.65276595744680865</v>
      </c>
      <c r="M58" s="89">
        <f>M$52*$E$46</f>
        <v>0</v>
      </c>
      <c r="N58" s="88">
        <f>SUM(J58:M58)</f>
        <v>1.1448888418417367</v>
      </c>
    </row>
    <row r="59" spans="1:24">
      <c r="A59" s="5" t="s">
        <v>1</v>
      </c>
      <c r="B59" s="76">
        <v>0.3</v>
      </c>
      <c r="C59" s="2">
        <f>B43*((0.26*(10-$B$12))-((0.26*(10-$B$12))*0.3))</f>
        <v>0.38143537766312152</v>
      </c>
      <c r="D59" s="2">
        <f>C43*((0.38*(10-$B$12))+((0.38*(10-$B$12))*0.3))</f>
        <v>0.30489720181758417</v>
      </c>
      <c r="E59" s="2">
        <f>D43*((0.26*(10-$B$12))-((0.26*(10-$B$12))*0.3))</f>
        <v>0.38143537766312152</v>
      </c>
      <c r="F59" s="89">
        <f>F$52*$E$46</f>
        <v>0</v>
      </c>
      <c r="G59" s="4">
        <f>SUM(C59:F59)</f>
        <v>1.0677679571438272</v>
      </c>
      <c r="J59" s="2">
        <f>B43*((0.26*(10-$B$14))-((0.26*(10-$B$14))*0.3))</f>
        <v>0.25285250349211486</v>
      </c>
      <c r="K59" s="2">
        <f>C43*((0.38*(10-$B$14))+((0.38*(10-$B$14))*0.3))</f>
        <v>0.20211554906006934</v>
      </c>
      <c r="L59" s="2">
        <f>D43*((0.26*(10-$B$14))-((0.26*(10-$B$14))*0.3))</f>
        <v>0.25285250349211486</v>
      </c>
      <c r="M59" s="89">
        <f>M$52*$E$46</f>
        <v>0</v>
      </c>
      <c r="N59" s="4">
        <f>SUM(J59:M59)</f>
        <v>0.70782055604429905</v>
      </c>
    </row>
    <row r="60" spans="1:24">
      <c r="A60" s="5" t="s">
        <v>0</v>
      </c>
      <c r="B60" s="76">
        <v>0.3</v>
      </c>
      <c r="C60" s="2">
        <f>B43*((0.26*(10-$B$12))+((0.26*(10-$B$12))*0.3))</f>
        <v>0.70837998708865435</v>
      </c>
      <c r="D60" s="2">
        <f>C43*((0.38*(10-$B$12))-((0.38*(10-$B$12))*0.3))</f>
        <v>0.16417541636331456</v>
      </c>
      <c r="E60" s="2">
        <f>D43*((0.26*(10-$B$12))+((0.26*(10-$B$12))*0.3))</f>
        <v>0.70837998708865435</v>
      </c>
      <c r="F60" s="89">
        <f>F$52*$E$46</f>
        <v>0</v>
      </c>
      <c r="G60" s="4">
        <f>SUM(C60:F60)</f>
        <v>1.5809353905406232</v>
      </c>
      <c r="J60" s="2">
        <f>B44*((0.26*(10-$B$14))+((0.26*(10-$B$14))*0.3))</f>
        <v>0.46958322077107051</v>
      </c>
      <c r="K60" s="2">
        <f>C44*((0.38*(10-$B$14))-((0.38*(10-$B$14))*0.3))</f>
        <v>0.10883144949388346</v>
      </c>
      <c r="L60" s="2">
        <f>D44*((0.26*(10-$B$14)+((0.26*(10-$B$14))*0.3)))</f>
        <v>0.46958322077107051</v>
      </c>
      <c r="M60" s="89">
        <f>M$52*$E$46</f>
        <v>0</v>
      </c>
      <c r="N60" s="4">
        <f>SUM(J60:M60)</f>
        <v>1.0479978910360246</v>
      </c>
      <c r="W60"/>
      <c r="X60"/>
    </row>
    <row r="61" spans="1:24">
      <c r="B61" s="38"/>
      <c r="F61" s="2"/>
      <c r="J61" s="2"/>
      <c r="K61" s="2"/>
      <c r="L61" s="2"/>
      <c r="M61" s="2"/>
      <c r="N61" s="2"/>
      <c r="W61"/>
      <c r="X61"/>
    </row>
    <row r="62" spans="1:24">
      <c r="B62" s="2"/>
      <c r="F62" s="2"/>
      <c r="H62" s="1"/>
      <c r="I62" s="1"/>
      <c r="J62" s="1"/>
      <c r="K62" s="1"/>
      <c r="L62" s="1"/>
      <c r="W62"/>
      <c r="X62"/>
    </row>
    <row r="66" spans="2:24">
      <c r="B66" s="2"/>
      <c r="W66"/>
      <c r="X66"/>
    </row>
  </sheetData>
  <dataValidations count="1">
    <dataValidation type="list" allowBlank="1" showInputMessage="1" showErrorMessage="1" sqref="O8:P14">
      <formula1>Förmågenivå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22"/>
  <sheetViews>
    <sheetView zoomScale="70" workbookViewId="0">
      <selection activeCell="D41" sqref="D41"/>
    </sheetView>
  </sheetViews>
  <sheetFormatPr defaultRowHeight="13.2"/>
  <cols>
    <col min="1" max="1" width="13.88671875" style="53" bestFit="1" customWidth="1"/>
    <col min="2" max="3" width="8.88671875" style="53"/>
    <col min="4" max="4" width="9.33203125" style="53" customWidth="1"/>
    <col min="5" max="11" width="8.88671875" style="53"/>
    <col min="12" max="12" width="9.109375" style="54" customWidth="1"/>
    <col min="13" max="13" width="9.109375" style="55" customWidth="1"/>
    <col min="14" max="14" width="10.33203125" style="54" customWidth="1"/>
    <col min="15" max="18" width="8.88671875" style="53"/>
    <col min="19" max="19" width="14.21875" style="53" bestFit="1" customWidth="1"/>
    <col min="20" max="20" width="8.88671875" style="53"/>
    <col min="21" max="21" width="6" style="53" bestFit="1" customWidth="1"/>
    <col min="22" max="22" width="22.44140625" style="53" bestFit="1" customWidth="1"/>
    <col min="23" max="16384" width="8.88671875" style="53"/>
  </cols>
  <sheetData>
    <row r="1" spans="1:22">
      <c r="A1" s="53" t="s">
        <v>45</v>
      </c>
      <c r="B1" s="53" t="s">
        <v>46</v>
      </c>
      <c r="D1" s="53" t="s">
        <v>47</v>
      </c>
      <c r="F1" s="53" t="s">
        <v>48</v>
      </c>
      <c r="G1" s="53" t="s">
        <v>46</v>
      </c>
      <c r="L1" s="54" t="s">
        <v>49</v>
      </c>
      <c r="M1" s="55" t="s">
        <v>50</v>
      </c>
      <c r="N1" s="56" t="s">
        <v>51</v>
      </c>
      <c r="P1" s="53" t="s">
        <v>52</v>
      </c>
      <c r="Q1" s="53" t="s">
        <v>53</v>
      </c>
      <c r="V1" s="57" t="s">
        <v>54</v>
      </c>
    </row>
    <row r="2" spans="1:22">
      <c r="A2" s="53" t="s">
        <v>55</v>
      </c>
      <c r="B2" s="53">
        <v>0</v>
      </c>
      <c r="C2" s="53" t="s">
        <v>55</v>
      </c>
      <c r="D2" s="53">
        <v>1</v>
      </c>
      <c r="E2" s="53" t="s">
        <v>56</v>
      </c>
      <c r="F2" s="53" t="s">
        <v>57</v>
      </c>
      <c r="G2" s="53">
        <v>1</v>
      </c>
      <c r="I2" s="53">
        <v>1</v>
      </c>
      <c r="J2" s="53" t="s">
        <v>56</v>
      </c>
      <c r="L2" s="54">
        <v>12</v>
      </c>
      <c r="M2" s="55">
        <f>1/N2</f>
        <v>-2</v>
      </c>
      <c r="N2" s="54">
        <v>-0.5</v>
      </c>
      <c r="P2" s="53">
        <v>17</v>
      </c>
      <c r="Q2" s="53">
        <v>1</v>
      </c>
      <c r="U2" s="53">
        <v>0</v>
      </c>
      <c r="V2" s="53" t="s">
        <v>55</v>
      </c>
    </row>
    <row r="3" spans="1:22">
      <c r="A3" s="53" t="s">
        <v>56</v>
      </c>
      <c r="B3" s="53">
        <v>1</v>
      </c>
      <c r="C3" s="53" t="s">
        <v>56</v>
      </c>
      <c r="D3" s="53">
        <v>2</v>
      </c>
      <c r="E3" s="53" t="s">
        <v>58</v>
      </c>
      <c r="F3" s="53" t="s">
        <v>59</v>
      </c>
      <c r="G3" s="53">
        <v>0.5</v>
      </c>
      <c r="I3" s="53">
        <v>2</v>
      </c>
      <c r="J3" s="53" t="s">
        <v>58</v>
      </c>
      <c r="L3" s="54">
        <v>11</v>
      </c>
      <c r="M3" s="55">
        <f>1/N3</f>
        <v>-1</v>
      </c>
      <c r="N3" s="54">
        <v>-1</v>
      </c>
      <c r="P3" s="53">
        <v>18</v>
      </c>
      <c r="Q3" s="53">
        <v>1</v>
      </c>
      <c r="S3" s="53" t="str">
        <f>A3</f>
        <v>katastrofal</v>
      </c>
      <c r="T3" s="53" t="s">
        <v>60</v>
      </c>
      <c r="U3" s="53">
        <v>1</v>
      </c>
      <c r="V3" s="53" t="str">
        <f>CONCATENATE(S3," (",T3,")")</f>
        <v>katastrofal (mkt låg)</v>
      </c>
    </row>
    <row r="4" spans="1:22">
      <c r="A4" s="53" t="s">
        <v>58</v>
      </c>
      <c r="B4" s="53">
        <v>2</v>
      </c>
      <c r="C4" s="53" t="s">
        <v>58</v>
      </c>
      <c r="D4" s="53">
        <v>3</v>
      </c>
      <c r="E4" s="53" t="s">
        <v>61</v>
      </c>
      <c r="F4" s="53" t="s">
        <v>62</v>
      </c>
      <c r="G4" s="53">
        <v>0</v>
      </c>
      <c r="I4" s="53">
        <v>3</v>
      </c>
      <c r="J4" s="53" t="s">
        <v>61</v>
      </c>
      <c r="L4" s="54">
        <v>10</v>
      </c>
      <c r="M4" s="55">
        <f>1/N4</f>
        <v>-0.33333333333333331</v>
      </c>
      <c r="N4" s="54">
        <v>-3</v>
      </c>
      <c r="P4" s="53">
        <v>19</v>
      </c>
      <c r="Q4" s="53">
        <v>1</v>
      </c>
      <c r="S4" s="53" t="str">
        <f>S3</f>
        <v>katastrofal</v>
      </c>
      <c r="T4" s="53" t="s">
        <v>62</v>
      </c>
      <c r="U4" s="53">
        <f t="shared" ref="U4:U67" si="0">U3+0.25</f>
        <v>1.25</v>
      </c>
      <c r="V4" s="53" t="str">
        <f t="shared" ref="V4:V67" si="1">CONCATENATE(S4," (",T4,")")</f>
        <v>katastrofal (låg)</v>
      </c>
    </row>
    <row r="5" spans="1:22">
      <c r="A5" s="53" t="s">
        <v>61</v>
      </c>
      <c r="B5" s="53">
        <v>3</v>
      </c>
      <c r="C5" s="53" t="s">
        <v>61</v>
      </c>
      <c r="D5" s="53">
        <v>4</v>
      </c>
      <c r="E5" s="53" t="s">
        <v>63</v>
      </c>
      <c r="I5" s="53">
        <v>4</v>
      </c>
      <c r="J5" s="53" t="s">
        <v>63</v>
      </c>
      <c r="L5" s="54">
        <v>9</v>
      </c>
      <c r="M5" s="55">
        <f>1/N5</f>
        <v>-0.2</v>
      </c>
      <c r="N5" s="54">
        <v>-5</v>
      </c>
      <c r="P5" s="53">
        <v>20</v>
      </c>
      <c r="Q5" s="53">
        <v>1</v>
      </c>
      <c r="S5" s="53" t="str">
        <f>S4</f>
        <v>katastrofal</v>
      </c>
      <c r="T5" s="53" t="s">
        <v>57</v>
      </c>
      <c r="U5" s="53">
        <f t="shared" si="0"/>
        <v>1.5</v>
      </c>
      <c r="V5" s="53" t="str">
        <f t="shared" si="1"/>
        <v>katastrofal (hög)</v>
      </c>
    </row>
    <row r="6" spans="1:22">
      <c r="A6" s="53" t="s">
        <v>63</v>
      </c>
      <c r="B6" s="53">
        <v>4</v>
      </c>
      <c r="C6" s="53" t="s">
        <v>63</v>
      </c>
      <c r="D6" s="53">
        <v>5</v>
      </c>
      <c r="E6" s="53" t="s">
        <v>64</v>
      </c>
      <c r="F6" s="53">
        <v>0</v>
      </c>
      <c r="G6" s="53" t="s">
        <v>60</v>
      </c>
      <c r="I6" s="53">
        <v>5</v>
      </c>
      <c r="J6" s="53" t="s">
        <v>64</v>
      </c>
      <c r="L6" s="54">
        <v>8</v>
      </c>
      <c r="M6" s="55">
        <f t="shared" ref="M6:M13" si="2">1/N6</f>
        <v>-0.14285714285714285</v>
      </c>
      <c r="N6" s="54">
        <v>-7</v>
      </c>
      <c r="P6" s="53">
        <v>21</v>
      </c>
      <c r="Q6" s="53">
        <v>1</v>
      </c>
      <c r="S6" s="53" t="str">
        <f>S5</f>
        <v>katastrofal</v>
      </c>
      <c r="T6" s="53" t="s">
        <v>65</v>
      </c>
      <c r="U6" s="53">
        <f t="shared" si="0"/>
        <v>1.75</v>
      </c>
      <c r="V6" s="53" t="str">
        <f t="shared" si="1"/>
        <v>katastrofal (mkt hög)</v>
      </c>
    </row>
    <row r="7" spans="1:22">
      <c r="A7" s="53" t="s">
        <v>64</v>
      </c>
      <c r="B7" s="53">
        <v>5</v>
      </c>
      <c r="C7" s="53" t="s">
        <v>64</v>
      </c>
      <c r="D7" s="53">
        <v>6</v>
      </c>
      <c r="E7" s="53" t="s">
        <v>66</v>
      </c>
      <c r="F7" s="53">
        <v>1</v>
      </c>
      <c r="G7" s="53" t="s">
        <v>62</v>
      </c>
      <c r="I7" s="53">
        <v>6</v>
      </c>
      <c r="J7" s="53" t="s">
        <v>66</v>
      </c>
      <c r="L7" s="54">
        <v>7</v>
      </c>
      <c r="M7" s="55">
        <f t="shared" si="2"/>
        <v>-7.6923076923076927E-2</v>
      </c>
      <c r="N7" s="54">
        <v>-13</v>
      </c>
      <c r="P7" s="53">
        <v>22</v>
      </c>
      <c r="Q7" s="53">
        <v>1</v>
      </c>
      <c r="S7" s="53" t="s">
        <v>58</v>
      </c>
      <c r="T7" s="53" t="s">
        <v>60</v>
      </c>
      <c r="U7" s="53">
        <f t="shared" si="0"/>
        <v>2</v>
      </c>
      <c r="V7" s="53" t="str">
        <f t="shared" si="1"/>
        <v>usel (mkt låg)</v>
      </c>
    </row>
    <row r="8" spans="1:22">
      <c r="A8" s="53" t="s">
        <v>66</v>
      </c>
      <c r="B8" s="53">
        <v>6</v>
      </c>
      <c r="C8" s="53" t="s">
        <v>66</v>
      </c>
      <c r="D8" s="53">
        <v>7</v>
      </c>
      <c r="E8" s="53" t="s">
        <v>67</v>
      </c>
      <c r="F8" s="53">
        <v>2</v>
      </c>
      <c r="G8" s="53" t="s">
        <v>57</v>
      </c>
      <c r="I8" s="53">
        <v>7</v>
      </c>
      <c r="J8" s="53" t="s">
        <v>67</v>
      </c>
      <c r="L8" s="54">
        <v>6</v>
      </c>
      <c r="M8" s="55">
        <f t="shared" si="2"/>
        <v>-3.0303030303030304E-2</v>
      </c>
      <c r="N8" s="54">
        <v>-33</v>
      </c>
      <c r="P8" s="53">
        <v>23</v>
      </c>
      <c r="Q8" s="53">
        <v>1</v>
      </c>
      <c r="S8" s="53" t="str">
        <f>S7</f>
        <v>usel</v>
      </c>
      <c r="T8" s="53" t="s">
        <v>62</v>
      </c>
      <c r="U8" s="53">
        <f t="shared" si="0"/>
        <v>2.25</v>
      </c>
      <c r="V8" s="53" t="str">
        <f t="shared" si="1"/>
        <v>usel (låg)</v>
      </c>
    </row>
    <row r="9" spans="1:22">
      <c r="A9" s="53" t="s">
        <v>67</v>
      </c>
      <c r="B9" s="53">
        <v>7</v>
      </c>
      <c r="C9" s="53" t="s">
        <v>67</v>
      </c>
      <c r="D9" s="53">
        <v>8</v>
      </c>
      <c r="E9" s="53" t="s">
        <v>68</v>
      </c>
      <c r="F9" s="53">
        <v>3</v>
      </c>
      <c r="G9" s="53" t="s">
        <v>65</v>
      </c>
      <c r="I9" s="53">
        <v>8</v>
      </c>
      <c r="J9" s="53" t="s">
        <v>68</v>
      </c>
      <c r="L9" s="54">
        <v>5</v>
      </c>
      <c r="M9" s="55">
        <f t="shared" si="2"/>
        <v>-1.5873015873015872E-2</v>
      </c>
      <c r="N9" s="54">
        <v>-63</v>
      </c>
      <c r="P9" s="53">
        <v>24</v>
      </c>
      <c r="Q9" s="53">
        <v>1</v>
      </c>
      <c r="S9" s="53" t="str">
        <f>S8</f>
        <v>usel</v>
      </c>
      <c r="T9" s="53" t="s">
        <v>57</v>
      </c>
      <c r="U9" s="53">
        <f t="shared" si="0"/>
        <v>2.5</v>
      </c>
      <c r="V9" s="53" t="str">
        <f t="shared" si="1"/>
        <v>usel (hög)</v>
      </c>
    </row>
    <row r="10" spans="1:22">
      <c r="A10" s="53" t="s">
        <v>68</v>
      </c>
      <c r="B10" s="53">
        <v>8</v>
      </c>
      <c r="C10" s="53" t="s">
        <v>68</v>
      </c>
      <c r="D10" s="53">
        <v>9</v>
      </c>
      <c r="E10" s="53" t="s">
        <v>69</v>
      </c>
      <c r="I10" s="53">
        <v>9</v>
      </c>
      <c r="J10" s="53" t="s">
        <v>69</v>
      </c>
      <c r="L10" s="54">
        <v>4</v>
      </c>
      <c r="M10" s="55">
        <f t="shared" si="2"/>
        <v>1.5873015873015872E-2</v>
      </c>
      <c r="N10" s="54">
        <f>-1*N9</f>
        <v>63</v>
      </c>
      <c r="P10" s="53">
        <v>25</v>
      </c>
      <c r="Q10" s="53">
        <v>1</v>
      </c>
      <c r="S10" s="53" t="str">
        <f>S9</f>
        <v>usel</v>
      </c>
      <c r="T10" s="53" t="s">
        <v>65</v>
      </c>
      <c r="U10" s="53">
        <f t="shared" si="0"/>
        <v>2.75</v>
      </c>
      <c r="V10" s="53" t="str">
        <f t="shared" si="1"/>
        <v>usel (mkt hög)</v>
      </c>
    </row>
    <row r="11" spans="1:22">
      <c r="A11" s="53" t="s">
        <v>69</v>
      </c>
      <c r="B11" s="53">
        <v>9</v>
      </c>
      <c r="C11" s="53" t="s">
        <v>69</v>
      </c>
      <c r="D11" s="53">
        <v>10</v>
      </c>
      <c r="E11" s="53" t="s">
        <v>70</v>
      </c>
      <c r="F11" s="53">
        <v>0</v>
      </c>
      <c r="G11" s="53" t="s">
        <v>60</v>
      </c>
      <c r="H11" s="53">
        <v>0</v>
      </c>
      <c r="I11" s="53">
        <v>10</v>
      </c>
      <c r="J11" s="53" t="s">
        <v>70</v>
      </c>
      <c r="L11" s="54">
        <v>3</v>
      </c>
      <c r="M11" s="55">
        <f t="shared" si="2"/>
        <v>3.0303030303030304E-2</v>
      </c>
      <c r="N11" s="54">
        <f>-1*N8</f>
        <v>33</v>
      </c>
      <c r="P11" s="53">
        <v>26</v>
      </c>
      <c r="Q11" s="53">
        <v>1</v>
      </c>
      <c r="S11" s="53" t="s">
        <v>61</v>
      </c>
      <c r="T11" s="53" t="s">
        <v>60</v>
      </c>
      <c r="U11" s="53">
        <f t="shared" si="0"/>
        <v>3</v>
      </c>
      <c r="V11" s="53" t="str">
        <f t="shared" si="1"/>
        <v>dålig (mkt låg)</v>
      </c>
    </row>
    <row r="12" spans="1:22">
      <c r="A12" s="53" t="s">
        <v>70</v>
      </c>
      <c r="B12" s="53">
        <v>10</v>
      </c>
      <c r="C12" s="53" t="s">
        <v>70</v>
      </c>
      <c r="D12" s="53">
        <v>11</v>
      </c>
      <c r="E12" s="53" t="s">
        <v>71</v>
      </c>
      <c r="F12" s="53">
        <v>0.25</v>
      </c>
      <c r="G12" s="53" t="s">
        <v>62</v>
      </c>
      <c r="H12" s="53">
        <v>0.25</v>
      </c>
      <c r="I12" s="53">
        <v>11</v>
      </c>
      <c r="J12" s="53" t="s">
        <v>71</v>
      </c>
      <c r="L12" s="54">
        <v>2</v>
      </c>
      <c r="M12" s="55">
        <f t="shared" si="2"/>
        <v>7.6923076923076927E-2</v>
      </c>
      <c r="N12" s="54">
        <f>-1*N7</f>
        <v>13</v>
      </c>
      <c r="P12" s="53">
        <v>27</v>
      </c>
      <c r="Q12" s="53">
        <v>1</v>
      </c>
      <c r="S12" s="53" t="str">
        <f>S11</f>
        <v>dålig</v>
      </c>
      <c r="T12" s="53" t="s">
        <v>62</v>
      </c>
      <c r="U12" s="53">
        <f t="shared" si="0"/>
        <v>3.25</v>
      </c>
      <c r="V12" s="53" t="str">
        <f t="shared" si="1"/>
        <v>dålig (låg)</v>
      </c>
    </row>
    <row r="13" spans="1:22">
      <c r="A13" s="53" t="s">
        <v>71</v>
      </c>
      <c r="B13" s="53">
        <v>11</v>
      </c>
      <c r="C13" s="53" t="s">
        <v>71</v>
      </c>
      <c r="D13" s="53">
        <v>12</v>
      </c>
      <c r="E13" s="53" t="s">
        <v>72</v>
      </c>
      <c r="F13" s="53">
        <v>0.5</v>
      </c>
      <c r="G13" s="53" t="s">
        <v>57</v>
      </c>
      <c r="H13" s="53">
        <v>0.5</v>
      </c>
      <c r="I13" s="53">
        <v>12</v>
      </c>
      <c r="J13" s="53" t="s">
        <v>72</v>
      </c>
      <c r="L13" s="54">
        <v>1</v>
      </c>
      <c r="M13" s="55">
        <f t="shared" si="2"/>
        <v>0.14285714285714285</v>
      </c>
      <c r="N13" s="54">
        <f>-1*N6</f>
        <v>7</v>
      </c>
      <c r="P13" s="53">
        <v>28</v>
      </c>
      <c r="Q13" s="53">
        <v>1</v>
      </c>
      <c r="S13" s="53" t="str">
        <f>S12</f>
        <v>dålig</v>
      </c>
      <c r="T13" s="53" t="s">
        <v>57</v>
      </c>
      <c r="U13" s="53">
        <f t="shared" si="0"/>
        <v>3.5</v>
      </c>
      <c r="V13" s="53" t="str">
        <f t="shared" si="1"/>
        <v>dålig (hög)</v>
      </c>
    </row>
    <row r="14" spans="1:22">
      <c r="A14" s="53" t="s">
        <v>72</v>
      </c>
      <c r="B14" s="53">
        <v>12</v>
      </c>
      <c r="C14" s="53" t="s">
        <v>72</v>
      </c>
      <c r="D14" s="53">
        <v>13</v>
      </c>
      <c r="E14" s="53" t="s">
        <v>73</v>
      </c>
      <c r="F14" s="53">
        <v>0.75</v>
      </c>
      <c r="G14" s="53" t="s">
        <v>65</v>
      </c>
      <c r="H14" s="53">
        <v>0.75</v>
      </c>
      <c r="I14" s="53">
        <v>13</v>
      </c>
      <c r="J14" s="53" t="s">
        <v>73</v>
      </c>
      <c r="L14" s="54">
        <v>0</v>
      </c>
      <c r="M14" s="55">
        <v>0.5</v>
      </c>
      <c r="N14" s="54">
        <f>-1*N5</f>
        <v>5</v>
      </c>
      <c r="P14" s="53">
        <v>29</v>
      </c>
      <c r="Q14" s="53">
        <v>1.1428571428571428</v>
      </c>
      <c r="S14" s="53" t="str">
        <f>S13</f>
        <v>dålig</v>
      </c>
      <c r="T14" s="53" t="s">
        <v>65</v>
      </c>
      <c r="U14" s="53">
        <f t="shared" si="0"/>
        <v>3.75</v>
      </c>
      <c r="V14" s="53" t="str">
        <f t="shared" si="1"/>
        <v>dålig (mkt hög)</v>
      </c>
    </row>
    <row r="15" spans="1:22">
      <c r="A15" s="53" t="s">
        <v>73</v>
      </c>
      <c r="B15" s="53">
        <v>13</v>
      </c>
      <c r="C15" s="53" t="s">
        <v>73</v>
      </c>
      <c r="D15" s="53">
        <v>14</v>
      </c>
      <c r="E15" s="53" t="s">
        <v>74</v>
      </c>
      <c r="I15" s="53">
        <v>14</v>
      </c>
      <c r="J15" s="53" t="s">
        <v>74</v>
      </c>
      <c r="P15" s="53">
        <v>30</v>
      </c>
      <c r="Q15" s="53">
        <v>1.3333333333333333</v>
      </c>
      <c r="S15" s="53" t="s">
        <v>63</v>
      </c>
      <c r="T15" s="53" t="s">
        <v>60</v>
      </c>
      <c r="U15" s="53">
        <f t="shared" si="0"/>
        <v>4</v>
      </c>
      <c r="V15" s="53" t="str">
        <f t="shared" si="1"/>
        <v>hyfsad (mkt låg)</v>
      </c>
    </row>
    <row r="16" spans="1:22">
      <c r="A16" s="53" t="s">
        <v>74</v>
      </c>
      <c r="B16" s="53">
        <v>14</v>
      </c>
      <c r="C16" s="53" t="s">
        <v>74</v>
      </c>
      <c r="D16" s="53">
        <v>15</v>
      </c>
      <c r="E16" s="53" t="s">
        <v>75</v>
      </c>
      <c r="G16" s="57" t="s">
        <v>2</v>
      </c>
      <c r="I16" s="53">
        <v>15</v>
      </c>
      <c r="J16" s="53" t="s">
        <v>75</v>
      </c>
      <c r="P16" s="53">
        <v>31</v>
      </c>
      <c r="Q16" s="53">
        <v>1.6</v>
      </c>
      <c r="S16" s="53" t="str">
        <f>S15</f>
        <v>hyfsad</v>
      </c>
      <c r="T16" s="53" t="s">
        <v>62</v>
      </c>
      <c r="U16" s="53">
        <f t="shared" si="0"/>
        <v>4.25</v>
      </c>
      <c r="V16" s="53" t="str">
        <f t="shared" si="1"/>
        <v>hyfsad (låg)</v>
      </c>
    </row>
    <row r="17" spans="1:22">
      <c r="A17" s="53" t="s">
        <v>75</v>
      </c>
      <c r="B17" s="53">
        <v>15</v>
      </c>
      <c r="C17" s="53" t="s">
        <v>75</v>
      </c>
      <c r="D17" s="53">
        <v>16</v>
      </c>
      <c r="E17" s="53" t="s">
        <v>76</v>
      </c>
      <c r="G17" s="53" t="s">
        <v>77</v>
      </c>
      <c r="I17" s="53">
        <v>16</v>
      </c>
      <c r="J17" s="53" t="s">
        <v>76</v>
      </c>
      <c r="P17" s="53">
        <v>32</v>
      </c>
      <c r="Q17" s="53">
        <v>2</v>
      </c>
      <c r="S17" s="53" t="str">
        <f>S16</f>
        <v>hyfsad</v>
      </c>
      <c r="T17" s="53" t="s">
        <v>57</v>
      </c>
      <c r="U17" s="53">
        <f t="shared" si="0"/>
        <v>4.5</v>
      </c>
      <c r="V17" s="53" t="str">
        <f t="shared" si="1"/>
        <v>hyfsad (hög)</v>
      </c>
    </row>
    <row r="18" spans="1:22">
      <c r="A18" s="53" t="s">
        <v>76</v>
      </c>
      <c r="B18" s="53">
        <v>16</v>
      </c>
      <c r="C18" s="53" t="s">
        <v>76</v>
      </c>
      <c r="D18" s="53">
        <v>17</v>
      </c>
      <c r="E18" s="53" t="s">
        <v>78</v>
      </c>
      <c r="G18" s="53" t="s">
        <v>37</v>
      </c>
      <c r="I18" s="53">
        <v>17</v>
      </c>
      <c r="J18" s="53" t="s">
        <v>78</v>
      </c>
      <c r="P18" s="53">
        <v>33</v>
      </c>
      <c r="Q18" s="53">
        <v>2.6666666666666665</v>
      </c>
      <c r="S18" s="53" t="str">
        <f>S17</f>
        <v>hyfsad</v>
      </c>
      <c r="T18" s="53" t="s">
        <v>65</v>
      </c>
      <c r="U18" s="53">
        <f t="shared" si="0"/>
        <v>4.75</v>
      </c>
      <c r="V18" s="53" t="str">
        <f t="shared" si="1"/>
        <v>hyfsad (mkt hög)</v>
      </c>
    </row>
    <row r="19" spans="1:22">
      <c r="A19" s="53" t="s">
        <v>78</v>
      </c>
      <c r="B19" s="53">
        <v>17</v>
      </c>
      <c r="C19" s="53" t="s">
        <v>78</v>
      </c>
      <c r="D19" s="53">
        <v>18</v>
      </c>
      <c r="E19" s="53" t="s">
        <v>22</v>
      </c>
      <c r="I19" s="53">
        <v>18</v>
      </c>
      <c r="J19" s="53" t="s">
        <v>22</v>
      </c>
      <c r="P19" s="53">
        <v>34</v>
      </c>
      <c r="Q19" s="53">
        <v>4</v>
      </c>
      <c r="S19" s="53" t="s">
        <v>64</v>
      </c>
      <c r="T19" s="53" t="s">
        <v>60</v>
      </c>
      <c r="U19" s="53">
        <f t="shared" si="0"/>
        <v>5</v>
      </c>
      <c r="V19" s="53" t="str">
        <f t="shared" si="1"/>
        <v>bra (mkt låg)</v>
      </c>
    </row>
    <row r="20" spans="1:22">
      <c r="A20" s="53" t="s">
        <v>22</v>
      </c>
      <c r="B20" s="53">
        <v>18</v>
      </c>
      <c r="C20" s="53" t="s">
        <v>22</v>
      </c>
      <c r="D20" s="53">
        <v>19</v>
      </c>
      <c r="E20" s="53" t="s">
        <v>79</v>
      </c>
      <c r="I20" s="53">
        <v>19</v>
      </c>
      <c r="J20" s="53" t="s">
        <v>79</v>
      </c>
      <c r="P20" s="53">
        <v>35</v>
      </c>
      <c r="Q20" s="53">
        <v>8</v>
      </c>
      <c r="S20" s="53" t="str">
        <f>S19</f>
        <v>bra</v>
      </c>
      <c r="T20" s="53" t="s">
        <v>62</v>
      </c>
      <c r="U20" s="53">
        <f t="shared" si="0"/>
        <v>5.25</v>
      </c>
      <c r="V20" s="53" t="str">
        <f t="shared" si="1"/>
        <v>bra (låg)</v>
      </c>
    </row>
    <row r="21" spans="1:22">
      <c r="A21" s="53" t="s">
        <v>79</v>
      </c>
      <c r="B21" s="53">
        <v>19</v>
      </c>
      <c r="C21" s="53" t="s">
        <v>79</v>
      </c>
      <c r="D21" s="53">
        <v>20</v>
      </c>
      <c r="E21" s="53" t="s">
        <v>80</v>
      </c>
      <c r="I21" s="53">
        <v>20</v>
      </c>
      <c r="J21" s="53" t="s">
        <v>80</v>
      </c>
      <c r="P21" s="53">
        <v>36</v>
      </c>
      <c r="Q21" s="53">
        <v>8</v>
      </c>
      <c r="S21" s="53" t="str">
        <f>S20</f>
        <v>bra</v>
      </c>
      <c r="T21" s="53" t="s">
        <v>57</v>
      </c>
      <c r="U21" s="53">
        <f t="shared" si="0"/>
        <v>5.5</v>
      </c>
      <c r="V21" s="53" t="str">
        <f t="shared" si="1"/>
        <v>bra (hög)</v>
      </c>
    </row>
    <row r="22" spans="1:22">
      <c r="A22" s="53" t="s">
        <v>80</v>
      </c>
      <c r="B22" s="53">
        <v>20</v>
      </c>
      <c r="C22" s="53" t="s">
        <v>80</v>
      </c>
      <c r="D22" s="53">
        <v>21</v>
      </c>
      <c r="E22" s="53" t="s">
        <v>81</v>
      </c>
      <c r="I22" s="53">
        <v>21</v>
      </c>
      <c r="J22" s="53" t="s">
        <v>81</v>
      </c>
      <c r="P22" s="53">
        <v>37</v>
      </c>
      <c r="Q22" s="53">
        <v>8</v>
      </c>
      <c r="S22" s="53" t="str">
        <f>S21</f>
        <v>bra</v>
      </c>
      <c r="T22" s="53" t="s">
        <v>65</v>
      </c>
      <c r="U22" s="53">
        <f t="shared" si="0"/>
        <v>5.75</v>
      </c>
      <c r="V22" s="53" t="str">
        <f t="shared" si="1"/>
        <v>bra (mkt hög)</v>
      </c>
    </row>
    <row r="23" spans="1:22">
      <c r="A23" s="53" t="s">
        <v>81</v>
      </c>
      <c r="B23" s="53">
        <v>21</v>
      </c>
      <c r="C23" s="53" t="s">
        <v>81</v>
      </c>
      <c r="D23" s="53">
        <v>22</v>
      </c>
      <c r="E23" s="53" t="s">
        <v>82</v>
      </c>
      <c r="I23" s="53">
        <v>22</v>
      </c>
      <c r="J23" s="53" t="s">
        <v>82</v>
      </c>
      <c r="P23" s="53">
        <v>38</v>
      </c>
      <c r="Q23" s="53">
        <v>8</v>
      </c>
      <c r="S23" s="53" t="s">
        <v>66</v>
      </c>
      <c r="T23" s="53" t="s">
        <v>60</v>
      </c>
      <c r="U23" s="53">
        <f t="shared" si="0"/>
        <v>6</v>
      </c>
      <c r="V23" s="53" t="str">
        <f t="shared" si="1"/>
        <v>ypperlig (mkt låg)</v>
      </c>
    </row>
    <row r="24" spans="1:22">
      <c r="A24" s="53" t="s">
        <v>82</v>
      </c>
      <c r="B24" s="53">
        <v>22</v>
      </c>
      <c r="C24" s="53" t="s">
        <v>82</v>
      </c>
      <c r="D24" s="53">
        <v>23</v>
      </c>
      <c r="E24" s="53" t="s">
        <v>83</v>
      </c>
      <c r="I24" s="53">
        <v>23</v>
      </c>
      <c r="J24" s="53" t="s">
        <v>83</v>
      </c>
      <c r="P24" s="53">
        <v>39</v>
      </c>
      <c r="Q24" s="53">
        <v>8</v>
      </c>
      <c r="S24" s="53" t="str">
        <f>S23</f>
        <v>ypperlig</v>
      </c>
      <c r="T24" s="53" t="s">
        <v>62</v>
      </c>
      <c r="U24" s="53">
        <f t="shared" si="0"/>
        <v>6.25</v>
      </c>
      <c r="V24" s="53" t="str">
        <f t="shared" si="1"/>
        <v>ypperlig (låg)</v>
      </c>
    </row>
    <row r="25" spans="1:22">
      <c r="A25" s="53" t="s">
        <v>83</v>
      </c>
      <c r="B25" s="53">
        <v>23</v>
      </c>
      <c r="C25" s="53" t="s">
        <v>83</v>
      </c>
      <c r="D25" s="53">
        <v>24</v>
      </c>
      <c r="E25" s="53" t="s">
        <v>84</v>
      </c>
      <c r="I25" s="53">
        <v>24</v>
      </c>
      <c r="J25" s="53" t="s">
        <v>84</v>
      </c>
      <c r="P25" s="53">
        <v>40</v>
      </c>
      <c r="Q25" s="53">
        <v>8</v>
      </c>
      <c r="S25" s="53" t="str">
        <f>S24</f>
        <v>ypperlig</v>
      </c>
      <c r="T25" s="53" t="s">
        <v>57</v>
      </c>
      <c r="U25" s="53">
        <f t="shared" si="0"/>
        <v>6.5</v>
      </c>
      <c r="V25" s="53" t="str">
        <f t="shared" si="1"/>
        <v>ypperlig (hög)</v>
      </c>
    </row>
    <row r="26" spans="1:22">
      <c r="A26" s="53" t="s">
        <v>84</v>
      </c>
      <c r="B26" s="53">
        <v>24</v>
      </c>
      <c r="C26" s="53" t="s">
        <v>84</v>
      </c>
      <c r="D26" s="53">
        <v>25</v>
      </c>
      <c r="E26" s="53" t="s">
        <v>85</v>
      </c>
      <c r="I26" s="53">
        <v>25</v>
      </c>
      <c r="J26" s="53" t="s">
        <v>85</v>
      </c>
      <c r="P26" s="53">
        <v>41</v>
      </c>
      <c r="Q26" s="53">
        <v>8</v>
      </c>
      <c r="S26" s="53" t="str">
        <f>S25</f>
        <v>ypperlig</v>
      </c>
      <c r="T26" s="53" t="s">
        <v>65</v>
      </c>
      <c r="U26" s="53">
        <f t="shared" si="0"/>
        <v>6.75</v>
      </c>
      <c r="V26" s="53" t="str">
        <f t="shared" si="1"/>
        <v>ypperlig (mkt hög)</v>
      </c>
    </row>
    <row r="27" spans="1:22">
      <c r="A27" s="53" t="s">
        <v>85</v>
      </c>
      <c r="B27" s="53">
        <v>25</v>
      </c>
      <c r="C27" s="53" t="s">
        <v>85</v>
      </c>
      <c r="D27" s="53">
        <v>26</v>
      </c>
      <c r="E27" s="53" t="s">
        <v>86</v>
      </c>
      <c r="I27" s="53">
        <v>26</v>
      </c>
      <c r="J27" s="53" t="s">
        <v>86</v>
      </c>
      <c r="P27" s="53">
        <v>42</v>
      </c>
      <c r="Q27" s="53">
        <v>8</v>
      </c>
      <c r="S27" s="53" t="s">
        <v>67</v>
      </c>
      <c r="T27" s="53" t="s">
        <v>60</v>
      </c>
      <c r="U27" s="53">
        <f t="shared" si="0"/>
        <v>7</v>
      </c>
      <c r="V27" s="53" t="str">
        <f t="shared" si="1"/>
        <v>enastående (mkt låg)</v>
      </c>
    </row>
    <row r="28" spans="1:22">
      <c r="A28" s="53" t="s">
        <v>86</v>
      </c>
      <c r="B28" s="53">
        <v>26</v>
      </c>
      <c r="C28" s="53" t="s">
        <v>86</v>
      </c>
      <c r="D28" s="53">
        <v>27</v>
      </c>
      <c r="E28" s="53" t="s">
        <v>87</v>
      </c>
      <c r="I28" s="53">
        <v>27</v>
      </c>
      <c r="J28" s="53" t="s">
        <v>87</v>
      </c>
      <c r="P28" s="53">
        <v>43</v>
      </c>
      <c r="Q28" s="53">
        <v>8</v>
      </c>
      <c r="S28" s="53" t="str">
        <f>S27</f>
        <v>enastående</v>
      </c>
      <c r="T28" s="53" t="s">
        <v>62</v>
      </c>
      <c r="U28" s="53">
        <f t="shared" si="0"/>
        <v>7.25</v>
      </c>
      <c r="V28" s="53" t="str">
        <f t="shared" si="1"/>
        <v>enastående (låg)</v>
      </c>
    </row>
    <row r="29" spans="1:22">
      <c r="A29" s="53" t="s">
        <v>87</v>
      </c>
      <c r="B29" s="53">
        <v>27</v>
      </c>
      <c r="C29" s="53" t="s">
        <v>87</v>
      </c>
      <c r="D29" s="53">
        <v>28</v>
      </c>
      <c r="E29" s="53" t="s">
        <v>88</v>
      </c>
      <c r="I29" s="53">
        <v>28</v>
      </c>
      <c r="J29" s="53" t="s">
        <v>88</v>
      </c>
      <c r="P29" s="53">
        <v>44</v>
      </c>
      <c r="Q29" s="53">
        <v>8</v>
      </c>
      <c r="S29" s="53" t="str">
        <f>S28</f>
        <v>enastående</v>
      </c>
      <c r="T29" s="53" t="s">
        <v>57</v>
      </c>
      <c r="U29" s="53">
        <f t="shared" si="0"/>
        <v>7.5</v>
      </c>
      <c r="V29" s="53" t="str">
        <f t="shared" si="1"/>
        <v>enastående (hög)</v>
      </c>
    </row>
    <row r="30" spans="1:22">
      <c r="A30" s="53" t="s">
        <v>88</v>
      </c>
      <c r="B30" s="53">
        <v>28</v>
      </c>
      <c r="C30" s="53" t="s">
        <v>88</v>
      </c>
      <c r="D30" s="53">
        <v>29</v>
      </c>
      <c r="E30" s="53" t="s">
        <v>89</v>
      </c>
      <c r="I30" s="53">
        <v>29</v>
      </c>
      <c r="J30" s="53" t="s">
        <v>89</v>
      </c>
      <c r="P30" s="53">
        <v>45</v>
      </c>
      <c r="Q30" s="53">
        <v>8</v>
      </c>
      <c r="S30" s="53" t="str">
        <f>S29</f>
        <v>enastående</v>
      </c>
      <c r="T30" s="53" t="s">
        <v>65</v>
      </c>
      <c r="U30" s="53">
        <f t="shared" si="0"/>
        <v>7.75</v>
      </c>
      <c r="V30" s="53" t="str">
        <f t="shared" si="1"/>
        <v>enastående (mkt hög)</v>
      </c>
    </row>
    <row r="31" spans="1:22">
      <c r="A31" s="53" t="s">
        <v>89</v>
      </c>
      <c r="B31" s="53">
        <v>29</v>
      </c>
      <c r="C31" s="53" t="s">
        <v>89</v>
      </c>
      <c r="D31" s="53">
        <v>30</v>
      </c>
      <c r="E31" s="53" t="s">
        <v>90</v>
      </c>
      <c r="I31" s="53">
        <v>30</v>
      </c>
      <c r="J31" s="53" t="s">
        <v>90</v>
      </c>
      <c r="S31" s="53" t="s">
        <v>68</v>
      </c>
      <c r="T31" s="53" t="s">
        <v>60</v>
      </c>
      <c r="U31" s="53">
        <f t="shared" si="0"/>
        <v>8</v>
      </c>
      <c r="V31" s="53" t="str">
        <f t="shared" si="1"/>
        <v>fenomenal (mkt låg)</v>
      </c>
    </row>
    <row r="32" spans="1:22">
      <c r="A32" s="53" t="s">
        <v>90</v>
      </c>
      <c r="B32" s="53">
        <v>30</v>
      </c>
      <c r="C32" s="53" t="s">
        <v>90</v>
      </c>
      <c r="D32" s="53">
        <v>31</v>
      </c>
      <c r="E32" s="53" t="s">
        <v>91</v>
      </c>
      <c r="I32" s="53">
        <v>31</v>
      </c>
      <c r="J32" s="53" t="s">
        <v>91</v>
      </c>
      <c r="S32" s="53" t="str">
        <f>S31</f>
        <v>fenomenal</v>
      </c>
      <c r="T32" s="53" t="s">
        <v>62</v>
      </c>
      <c r="U32" s="53">
        <f t="shared" si="0"/>
        <v>8.25</v>
      </c>
      <c r="V32" s="53" t="str">
        <f t="shared" si="1"/>
        <v>fenomenal (låg)</v>
      </c>
    </row>
    <row r="33" spans="1:22">
      <c r="A33" s="53" t="s">
        <v>91</v>
      </c>
      <c r="B33" s="53">
        <v>31</v>
      </c>
      <c r="C33" s="53" t="s">
        <v>91</v>
      </c>
      <c r="D33" s="53">
        <v>32</v>
      </c>
      <c r="E33" s="53" t="s">
        <v>92</v>
      </c>
      <c r="I33" s="53">
        <v>32</v>
      </c>
      <c r="J33" s="53" t="s">
        <v>92</v>
      </c>
      <c r="S33" s="53" t="str">
        <f>S32</f>
        <v>fenomenal</v>
      </c>
      <c r="T33" s="53" t="s">
        <v>57</v>
      </c>
      <c r="U33" s="53">
        <f t="shared" si="0"/>
        <v>8.5</v>
      </c>
      <c r="V33" s="53" t="str">
        <f t="shared" si="1"/>
        <v>fenomenal (hög)</v>
      </c>
    </row>
    <row r="34" spans="1:22">
      <c r="A34" s="53" t="s">
        <v>92</v>
      </c>
      <c r="B34" s="53">
        <v>32</v>
      </c>
      <c r="C34" s="53" t="s">
        <v>92</v>
      </c>
      <c r="D34" s="53">
        <v>33</v>
      </c>
      <c r="E34" s="53" t="s">
        <v>93</v>
      </c>
      <c r="I34" s="53">
        <v>33</v>
      </c>
      <c r="J34" s="53" t="s">
        <v>93</v>
      </c>
      <c r="S34" s="53" t="str">
        <f>S33</f>
        <v>fenomenal</v>
      </c>
      <c r="T34" s="53" t="s">
        <v>65</v>
      </c>
      <c r="U34" s="53">
        <f t="shared" si="0"/>
        <v>8.75</v>
      </c>
      <c r="V34" s="53" t="str">
        <f t="shared" si="1"/>
        <v>fenomenal (mkt hög)</v>
      </c>
    </row>
    <row r="35" spans="1:22">
      <c r="A35" s="53" t="s">
        <v>93</v>
      </c>
      <c r="B35" s="53">
        <v>33</v>
      </c>
      <c r="C35" s="53" t="s">
        <v>93</v>
      </c>
      <c r="D35" s="53">
        <v>34</v>
      </c>
      <c r="E35" s="53" t="s">
        <v>94</v>
      </c>
      <c r="I35" s="53">
        <v>34</v>
      </c>
      <c r="J35" s="53" t="s">
        <v>94</v>
      </c>
      <c r="S35" s="53" t="s">
        <v>69</v>
      </c>
      <c r="T35" s="53" t="s">
        <v>60</v>
      </c>
      <c r="U35" s="53">
        <f t="shared" si="0"/>
        <v>9</v>
      </c>
      <c r="V35" s="53" t="str">
        <f t="shared" si="1"/>
        <v>unik (mkt låg)</v>
      </c>
    </row>
    <row r="36" spans="1:22">
      <c r="A36" s="53" t="s">
        <v>94</v>
      </c>
      <c r="B36" s="53">
        <v>34</v>
      </c>
      <c r="C36" s="53" t="s">
        <v>94</v>
      </c>
      <c r="D36" s="53">
        <v>35</v>
      </c>
      <c r="E36" s="53" t="s">
        <v>95</v>
      </c>
      <c r="I36" s="53">
        <v>35</v>
      </c>
      <c r="J36" s="53" t="s">
        <v>95</v>
      </c>
      <c r="S36" s="53" t="str">
        <f>S35</f>
        <v>unik</v>
      </c>
      <c r="T36" s="53" t="s">
        <v>62</v>
      </c>
      <c r="U36" s="53">
        <f t="shared" si="0"/>
        <v>9.25</v>
      </c>
      <c r="V36" s="53" t="str">
        <f t="shared" si="1"/>
        <v>unik (låg)</v>
      </c>
    </row>
    <row r="37" spans="1:22">
      <c r="A37" s="53" t="s">
        <v>95</v>
      </c>
      <c r="B37" s="53">
        <v>35</v>
      </c>
      <c r="C37" s="53" t="s">
        <v>95</v>
      </c>
      <c r="D37" s="53">
        <v>36</v>
      </c>
      <c r="E37" s="53" t="s">
        <v>96</v>
      </c>
      <c r="I37" s="53">
        <v>36</v>
      </c>
      <c r="J37" s="53" t="s">
        <v>96</v>
      </c>
      <c r="S37" s="53" t="str">
        <f>S36</f>
        <v>unik</v>
      </c>
      <c r="T37" s="53" t="s">
        <v>57</v>
      </c>
      <c r="U37" s="53">
        <f t="shared" si="0"/>
        <v>9.5</v>
      </c>
      <c r="V37" s="53" t="str">
        <f t="shared" si="1"/>
        <v>unik (hög)</v>
      </c>
    </row>
    <row r="38" spans="1:22">
      <c r="A38" s="53" t="s">
        <v>96</v>
      </c>
      <c r="B38" s="53">
        <v>36</v>
      </c>
      <c r="C38" s="53" t="s">
        <v>96</v>
      </c>
      <c r="D38" s="53">
        <v>37</v>
      </c>
      <c r="E38" s="53" t="s">
        <v>97</v>
      </c>
      <c r="I38" s="53">
        <v>37</v>
      </c>
      <c r="J38" s="53" t="s">
        <v>97</v>
      </c>
      <c r="S38" s="53" t="str">
        <f>S37</f>
        <v>unik</v>
      </c>
      <c r="T38" s="53" t="s">
        <v>65</v>
      </c>
      <c r="U38" s="53">
        <f t="shared" si="0"/>
        <v>9.75</v>
      </c>
      <c r="V38" s="53" t="str">
        <f t="shared" si="1"/>
        <v>unik (mkt hög)</v>
      </c>
    </row>
    <row r="39" spans="1:22">
      <c r="A39" s="53" t="s">
        <v>97</v>
      </c>
      <c r="B39" s="53">
        <v>37</v>
      </c>
      <c r="C39" s="53" t="s">
        <v>97</v>
      </c>
      <c r="D39" s="53">
        <v>38</v>
      </c>
      <c r="E39" s="53" t="s">
        <v>98</v>
      </c>
      <c r="I39" s="53">
        <v>38</v>
      </c>
      <c r="J39" s="53" t="s">
        <v>98</v>
      </c>
      <c r="S39" s="53" t="s">
        <v>70</v>
      </c>
      <c r="T39" s="53" t="s">
        <v>60</v>
      </c>
      <c r="U39" s="53">
        <f t="shared" si="0"/>
        <v>10</v>
      </c>
      <c r="V39" s="53" t="str">
        <f t="shared" si="1"/>
        <v>legendarisk (mkt låg)</v>
      </c>
    </row>
    <row r="40" spans="1:22">
      <c r="A40" s="53" t="s">
        <v>98</v>
      </c>
      <c r="B40" s="53">
        <v>38</v>
      </c>
      <c r="C40" s="53" t="s">
        <v>98</v>
      </c>
      <c r="D40" s="53">
        <v>39</v>
      </c>
      <c r="E40" s="53" t="s">
        <v>99</v>
      </c>
      <c r="I40" s="53">
        <v>39</v>
      </c>
      <c r="J40" s="53" t="s">
        <v>99</v>
      </c>
      <c r="S40" s="53" t="str">
        <f>S39</f>
        <v>legendarisk</v>
      </c>
      <c r="T40" s="53" t="s">
        <v>62</v>
      </c>
      <c r="U40" s="53">
        <f t="shared" si="0"/>
        <v>10.25</v>
      </c>
      <c r="V40" s="53" t="str">
        <f t="shared" si="1"/>
        <v>legendarisk (låg)</v>
      </c>
    </row>
    <row r="41" spans="1:22">
      <c r="A41" s="53" t="s">
        <v>99</v>
      </c>
      <c r="B41" s="53">
        <v>39</v>
      </c>
      <c r="C41" s="53" t="s">
        <v>99</v>
      </c>
      <c r="D41" s="53">
        <v>40</v>
      </c>
      <c r="E41" s="53" t="s">
        <v>100</v>
      </c>
      <c r="I41" s="53">
        <v>40</v>
      </c>
      <c r="J41" s="53" t="s">
        <v>100</v>
      </c>
      <c r="S41" s="53" t="str">
        <f>S40</f>
        <v>legendarisk</v>
      </c>
      <c r="T41" s="53" t="s">
        <v>57</v>
      </c>
      <c r="U41" s="53">
        <f t="shared" si="0"/>
        <v>10.5</v>
      </c>
      <c r="V41" s="53" t="str">
        <f t="shared" si="1"/>
        <v>legendarisk (hög)</v>
      </c>
    </row>
    <row r="42" spans="1:22">
      <c r="A42" s="53" t="s">
        <v>100</v>
      </c>
      <c r="B42" s="53">
        <v>40</v>
      </c>
      <c r="C42" s="53" t="s">
        <v>100</v>
      </c>
      <c r="S42" s="53" t="str">
        <f>S41</f>
        <v>legendarisk</v>
      </c>
      <c r="T42" s="53" t="s">
        <v>65</v>
      </c>
      <c r="U42" s="53">
        <f t="shared" si="0"/>
        <v>10.75</v>
      </c>
      <c r="V42" s="53" t="str">
        <f t="shared" si="1"/>
        <v>legendarisk (mkt hög)</v>
      </c>
    </row>
    <row r="43" spans="1:22">
      <c r="S43" s="53" t="s">
        <v>71</v>
      </c>
      <c r="T43" s="53" t="s">
        <v>60</v>
      </c>
      <c r="U43" s="53">
        <f t="shared" si="0"/>
        <v>11</v>
      </c>
      <c r="V43" s="53" t="str">
        <f t="shared" si="1"/>
        <v>gudabenådad (mkt låg)</v>
      </c>
    </row>
    <row r="44" spans="1:22">
      <c r="S44" s="53" t="str">
        <f>S43</f>
        <v>gudabenådad</v>
      </c>
      <c r="T44" s="53" t="s">
        <v>62</v>
      </c>
      <c r="U44" s="53">
        <f t="shared" si="0"/>
        <v>11.25</v>
      </c>
      <c r="V44" s="53" t="str">
        <f t="shared" si="1"/>
        <v>gudabenådad (låg)</v>
      </c>
    </row>
    <row r="45" spans="1:22">
      <c r="S45" s="53" t="str">
        <f>S44</f>
        <v>gudabenådad</v>
      </c>
      <c r="T45" s="53" t="s">
        <v>57</v>
      </c>
      <c r="U45" s="53">
        <f t="shared" si="0"/>
        <v>11.5</v>
      </c>
      <c r="V45" s="53" t="str">
        <f t="shared" si="1"/>
        <v>gudabenådad (hög)</v>
      </c>
    </row>
    <row r="46" spans="1:22">
      <c r="S46" s="53" t="str">
        <f>S45</f>
        <v>gudabenådad</v>
      </c>
      <c r="T46" s="53" t="s">
        <v>65</v>
      </c>
      <c r="U46" s="53">
        <f t="shared" si="0"/>
        <v>11.75</v>
      </c>
      <c r="V46" s="53" t="str">
        <f t="shared" si="1"/>
        <v>gudabenådad (mkt hög)</v>
      </c>
    </row>
    <row r="47" spans="1:22">
      <c r="S47" s="53" t="s">
        <v>72</v>
      </c>
      <c r="T47" s="53" t="s">
        <v>60</v>
      </c>
      <c r="U47" s="53">
        <f t="shared" si="0"/>
        <v>12</v>
      </c>
      <c r="V47" s="53" t="str">
        <f t="shared" si="1"/>
        <v>övernaturlig (mkt låg)</v>
      </c>
    </row>
    <row r="48" spans="1:22">
      <c r="S48" s="53" t="str">
        <f>S47</f>
        <v>övernaturlig</v>
      </c>
      <c r="T48" s="53" t="s">
        <v>62</v>
      </c>
      <c r="U48" s="53">
        <f t="shared" si="0"/>
        <v>12.25</v>
      </c>
      <c r="V48" s="53" t="str">
        <f t="shared" si="1"/>
        <v>övernaturlig (låg)</v>
      </c>
    </row>
    <row r="49" spans="19:22">
      <c r="S49" s="53" t="str">
        <f>S48</f>
        <v>övernaturlig</v>
      </c>
      <c r="T49" s="53" t="s">
        <v>57</v>
      </c>
      <c r="U49" s="53">
        <f t="shared" si="0"/>
        <v>12.5</v>
      </c>
      <c r="V49" s="53" t="str">
        <f t="shared" si="1"/>
        <v>övernaturlig (hög)</v>
      </c>
    </row>
    <row r="50" spans="19:22">
      <c r="S50" s="53" t="str">
        <f>S49</f>
        <v>övernaturlig</v>
      </c>
      <c r="T50" s="53" t="s">
        <v>65</v>
      </c>
      <c r="U50" s="53">
        <f t="shared" si="0"/>
        <v>12.75</v>
      </c>
      <c r="V50" s="53" t="str">
        <f t="shared" si="1"/>
        <v>övernaturlig (mkt hög)</v>
      </c>
    </row>
    <row r="51" spans="19:22">
      <c r="S51" s="53" t="s">
        <v>73</v>
      </c>
      <c r="T51" s="53" t="s">
        <v>60</v>
      </c>
      <c r="U51" s="53">
        <f t="shared" si="0"/>
        <v>13</v>
      </c>
      <c r="V51" s="53" t="str">
        <f t="shared" si="1"/>
        <v>oförglömlig (mkt låg)</v>
      </c>
    </row>
    <row r="52" spans="19:22">
      <c r="S52" s="53" t="str">
        <f>S51</f>
        <v>oförglömlig</v>
      </c>
      <c r="T52" s="53" t="s">
        <v>62</v>
      </c>
      <c r="U52" s="53">
        <f t="shared" si="0"/>
        <v>13.25</v>
      </c>
      <c r="V52" s="53" t="str">
        <f t="shared" si="1"/>
        <v>oförglömlig (låg)</v>
      </c>
    </row>
    <row r="53" spans="19:22">
      <c r="S53" s="53" t="str">
        <f>S52</f>
        <v>oförglömlig</v>
      </c>
      <c r="T53" s="53" t="s">
        <v>57</v>
      </c>
      <c r="U53" s="53">
        <f t="shared" si="0"/>
        <v>13.5</v>
      </c>
      <c r="V53" s="53" t="str">
        <f t="shared" si="1"/>
        <v>oförglömlig (hög)</v>
      </c>
    </row>
    <row r="54" spans="19:22">
      <c r="S54" s="53" t="str">
        <f>S53</f>
        <v>oförglömlig</v>
      </c>
      <c r="T54" s="53" t="s">
        <v>65</v>
      </c>
      <c r="U54" s="53">
        <f t="shared" si="0"/>
        <v>13.75</v>
      </c>
      <c r="V54" s="53" t="str">
        <f t="shared" si="1"/>
        <v>oförglömlig (mkt hög)</v>
      </c>
    </row>
    <row r="55" spans="19:22">
      <c r="S55" s="53" t="s">
        <v>74</v>
      </c>
      <c r="T55" s="53" t="s">
        <v>60</v>
      </c>
      <c r="U55" s="53">
        <f t="shared" si="0"/>
        <v>14</v>
      </c>
      <c r="V55" s="53" t="str">
        <f t="shared" si="1"/>
        <v>himmelsk (mkt låg)</v>
      </c>
    </row>
    <row r="56" spans="19:22">
      <c r="S56" s="53" t="str">
        <f>S55</f>
        <v>himmelsk</v>
      </c>
      <c r="T56" s="53" t="s">
        <v>62</v>
      </c>
      <c r="U56" s="53">
        <f t="shared" si="0"/>
        <v>14.25</v>
      </c>
      <c r="V56" s="53" t="str">
        <f t="shared" si="1"/>
        <v>himmelsk (låg)</v>
      </c>
    </row>
    <row r="57" spans="19:22">
      <c r="S57" s="53" t="str">
        <f>S56</f>
        <v>himmelsk</v>
      </c>
      <c r="T57" s="53" t="s">
        <v>57</v>
      </c>
      <c r="U57" s="53">
        <f t="shared" si="0"/>
        <v>14.5</v>
      </c>
      <c r="V57" s="53" t="str">
        <f t="shared" si="1"/>
        <v>himmelsk (hög)</v>
      </c>
    </row>
    <row r="58" spans="19:22">
      <c r="S58" s="53" t="str">
        <f>S57</f>
        <v>himmelsk</v>
      </c>
      <c r="T58" s="53" t="s">
        <v>65</v>
      </c>
      <c r="U58" s="53">
        <f t="shared" si="0"/>
        <v>14.75</v>
      </c>
      <c r="V58" s="53" t="str">
        <f t="shared" si="1"/>
        <v>himmelsk (mkt hög)</v>
      </c>
    </row>
    <row r="59" spans="19:22">
      <c r="S59" s="53" t="s">
        <v>75</v>
      </c>
      <c r="T59" s="53" t="s">
        <v>60</v>
      </c>
      <c r="U59" s="53">
        <f t="shared" si="0"/>
        <v>15</v>
      </c>
      <c r="V59" s="53" t="str">
        <f t="shared" si="1"/>
        <v>titanisk (mkt låg)</v>
      </c>
    </row>
    <row r="60" spans="19:22">
      <c r="S60" s="53" t="str">
        <f>S59</f>
        <v>titanisk</v>
      </c>
      <c r="T60" s="53" t="s">
        <v>62</v>
      </c>
      <c r="U60" s="53">
        <f t="shared" si="0"/>
        <v>15.25</v>
      </c>
      <c r="V60" s="53" t="str">
        <f t="shared" si="1"/>
        <v>titanisk (låg)</v>
      </c>
    </row>
    <row r="61" spans="19:22">
      <c r="S61" s="53" t="str">
        <f>S60</f>
        <v>titanisk</v>
      </c>
      <c r="T61" s="53" t="s">
        <v>57</v>
      </c>
      <c r="U61" s="53">
        <f t="shared" si="0"/>
        <v>15.5</v>
      </c>
      <c r="V61" s="53" t="str">
        <f t="shared" si="1"/>
        <v>titanisk (hög)</v>
      </c>
    </row>
    <row r="62" spans="19:22">
      <c r="S62" s="53" t="str">
        <f>S61</f>
        <v>titanisk</v>
      </c>
      <c r="T62" s="53" t="s">
        <v>65</v>
      </c>
      <c r="U62" s="53">
        <f t="shared" si="0"/>
        <v>15.75</v>
      </c>
      <c r="V62" s="53" t="str">
        <f t="shared" si="1"/>
        <v>titanisk (mkt hög)</v>
      </c>
    </row>
    <row r="63" spans="19:22">
      <c r="S63" s="53" t="s">
        <v>76</v>
      </c>
      <c r="T63" s="53" t="s">
        <v>60</v>
      </c>
      <c r="U63" s="53">
        <f t="shared" si="0"/>
        <v>16</v>
      </c>
      <c r="V63" s="53" t="str">
        <f t="shared" si="1"/>
        <v>utomjordisk (mkt låg)</v>
      </c>
    </row>
    <row r="64" spans="19:22">
      <c r="S64" s="53" t="str">
        <f>S63</f>
        <v>utomjordisk</v>
      </c>
      <c r="T64" s="53" t="s">
        <v>62</v>
      </c>
      <c r="U64" s="53">
        <f t="shared" si="0"/>
        <v>16.25</v>
      </c>
      <c r="V64" s="53" t="str">
        <f t="shared" si="1"/>
        <v>utomjordisk (låg)</v>
      </c>
    </row>
    <row r="65" spans="19:22">
      <c r="S65" s="53" t="str">
        <f>S64</f>
        <v>utomjordisk</v>
      </c>
      <c r="T65" s="53" t="s">
        <v>57</v>
      </c>
      <c r="U65" s="53">
        <f t="shared" si="0"/>
        <v>16.5</v>
      </c>
      <c r="V65" s="53" t="str">
        <f t="shared" si="1"/>
        <v>utomjordisk (hög)</v>
      </c>
    </row>
    <row r="66" spans="19:22">
      <c r="S66" s="53" t="str">
        <f>S65</f>
        <v>utomjordisk</v>
      </c>
      <c r="T66" s="53" t="s">
        <v>65</v>
      </c>
      <c r="U66" s="53">
        <f t="shared" si="0"/>
        <v>16.75</v>
      </c>
      <c r="V66" s="53" t="str">
        <f t="shared" si="1"/>
        <v>utomjordisk (mkt hög)</v>
      </c>
    </row>
    <row r="67" spans="19:22">
      <c r="S67" s="53" t="s">
        <v>78</v>
      </c>
      <c r="T67" s="53" t="s">
        <v>60</v>
      </c>
      <c r="U67" s="53">
        <f t="shared" si="0"/>
        <v>17</v>
      </c>
      <c r="V67" s="53" t="str">
        <f t="shared" si="1"/>
        <v>mytomspunnen (mkt låg)</v>
      </c>
    </row>
    <row r="68" spans="19:22">
      <c r="S68" s="53" t="str">
        <f>S67</f>
        <v>mytomspunnen</v>
      </c>
      <c r="T68" s="53" t="s">
        <v>62</v>
      </c>
      <c r="U68" s="53">
        <f t="shared" ref="U68:U122" si="3">U67+0.25</f>
        <v>17.25</v>
      </c>
      <c r="V68" s="53" t="str">
        <f t="shared" ref="V68:V122" si="4">CONCATENATE(S68," (",T68,")")</f>
        <v>mytomspunnen (låg)</v>
      </c>
    </row>
    <row r="69" spans="19:22">
      <c r="S69" s="53" t="str">
        <f>S68</f>
        <v>mytomspunnen</v>
      </c>
      <c r="T69" s="53" t="s">
        <v>57</v>
      </c>
      <c r="U69" s="53">
        <f t="shared" si="3"/>
        <v>17.5</v>
      </c>
      <c r="V69" s="53" t="str">
        <f t="shared" si="4"/>
        <v>mytomspunnen (hög)</v>
      </c>
    </row>
    <row r="70" spans="19:22">
      <c r="S70" s="53" t="str">
        <f>S69</f>
        <v>mytomspunnen</v>
      </c>
      <c r="T70" s="53" t="s">
        <v>65</v>
      </c>
      <c r="U70" s="53">
        <f t="shared" si="3"/>
        <v>17.75</v>
      </c>
      <c r="V70" s="53" t="str">
        <f t="shared" si="4"/>
        <v>mytomspunnen (mkt hög)</v>
      </c>
    </row>
    <row r="71" spans="19:22">
      <c r="S71" s="53" t="s">
        <v>22</v>
      </c>
      <c r="T71" s="53" t="s">
        <v>60</v>
      </c>
      <c r="U71" s="53">
        <f t="shared" si="3"/>
        <v>18</v>
      </c>
      <c r="V71" s="53" t="str">
        <f t="shared" si="4"/>
        <v>magisk (mkt låg)</v>
      </c>
    </row>
    <row r="72" spans="19:22">
      <c r="S72" s="53" t="str">
        <f>S71</f>
        <v>magisk</v>
      </c>
      <c r="T72" s="53" t="s">
        <v>62</v>
      </c>
      <c r="U72" s="53">
        <f t="shared" si="3"/>
        <v>18.25</v>
      </c>
      <c r="V72" s="53" t="str">
        <f t="shared" si="4"/>
        <v>magisk (låg)</v>
      </c>
    </row>
    <row r="73" spans="19:22">
      <c r="S73" s="53" t="str">
        <f>S72</f>
        <v>magisk</v>
      </c>
      <c r="T73" s="53" t="s">
        <v>57</v>
      </c>
      <c r="U73" s="53">
        <f t="shared" si="3"/>
        <v>18.5</v>
      </c>
      <c r="V73" s="53" t="str">
        <f t="shared" si="4"/>
        <v>magisk (hög)</v>
      </c>
    </row>
    <row r="74" spans="19:22">
      <c r="S74" s="53" t="str">
        <f>S73</f>
        <v>magisk</v>
      </c>
      <c r="T74" s="53" t="s">
        <v>65</v>
      </c>
      <c r="U74" s="53">
        <f t="shared" si="3"/>
        <v>18.75</v>
      </c>
      <c r="V74" s="53" t="str">
        <f t="shared" si="4"/>
        <v>magisk (mkt hög)</v>
      </c>
    </row>
    <row r="75" spans="19:22">
      <c r="S75" s="53" t="s">
        <v>79</v>
      </c>
      <c r="T75" s="53" t="s">
        <v>60</v>
      </c>
      <c r="U75" s="53">
        <f t="shared" si="3"/>
        <v>19</v>
      </c>
      <c r="V75" s="53" t="str">
        <f t="shared" si="4"/>
        <v>utopisk (mkt låg)</v>
      </c>
    </row>
    <row r="76" spans="19:22">
      <c r="S76" s="53" t="str">
        <f>S75</f>
        <v>utopisk</v>
      </c>
      <c r="T76" s="53" t="s">
        <v>62</v>
      </c>
      <c r="U76" s="53">
        <f t="shared" si="3"/>
        <v>19.25</v>
      </c>
      <c r="V76" s="53" t="str">
        <f t="shared" si="4"/>
        <v>utopisk (låg)</v>
      </c>
    </row>
    <row r="77" spans="19:22">
      <c r="S77" s="53" t="str">
        <f>S76</f>
        <v>utopisk</v>
      </c>
      <c r="T77" s="53" t="s">
        <v>57</v>
      </c>
      <c r="U77" s="53">
        <f t="shared" si="3"/>
        <v>19.5</v>
      </c>
      <c r="V77" s="53" t="str">
        <f t="shared" si="4"/>
        <v>utopisk (hög)</v>
      </c>
    </row>
    <row r="78" spans="19:22">
      <c r="S78" s="53" t="str">
        <f>S77</f>
        <v>utopisk</v>
      </c>
      <c r="T78" s="53" t="s">
        <v>65</v>
      </c>
      <c r="U78" s="53">
        <f t="shared" si="3"/>
        <v>19.75</v>
      </c>
      <c r="V78" s="53" t="str">
        <f t="shared" si="4"/>
        <v>utopisk (mkt hög)</v>
      </c>
    </row>
    <row r="79" spans="19:22">
      <c r="S79" s="53" t="s">
        <v>80</v>
      </c>
      <c r="T79" s="53" t="s">
        <v>60</v>
      </c>
      <c r="U79" s="53">
        <f t="shared" si="3"/>
        <v>20</v>
      </c>
      <c r="V79" s="53" t="str">
        <f t="shared" si="4"/>
        <v>gudomlig (mkt låg)</v>
      </c>
    </row>
    <row r="80" spans="19:22">
      <c r="S80" s="53" t="str">
        <f>S79</f>
        <v>gudomlig</v>
      </c>
      <c r="T80" s="53" t="s">
        <v>62</v>
      </c>
      <c r="U80" s="53">
        <f t="shared" si="3"/>
        <v>20.25</v>
      </c>
      <c r="V80" s="53" t="str">
        <f t="shared" si="4"/>
        <v>gudomlig (låg)</v>
      </c>
    </row>
    <row r="81" spans="19:22">
      <c r="S81" s="53" t="str">
        <f>S80</f>
        <v>gudomlig</v>
      </c>
      <c r="T81" s="53" t="s">
        <v>57</v>
      </c>
      <c r="U81" s="53">
        <f t="shared" si="3"/>
        <v>20.5</v>
      </c>
      <c r="V81" s="53" t="str">
        <f t="shared" si="4"/>
        <v>gudomlig (hög)</v>
      </c>
    </row>
    <row r="82" spans="19:22">
      <c r="S82" s="53" t="str">
        <f>S81</f>
        <v>gudomlig</v>
      </c>
      <c r="T82" s="53" t="s">
        <v>65</v>
      </c>
      <c r="U82" s="53">
        <f t="shared" si="3"/>
        <v>20.75</v>
      </c>
      <c r="V82" s="53" t="str">
        <f t="shared" si="4"/>
        <v>gudomlig (mkt hög)</v>
      </c>
    </row>
    <row r="83" spans="19:22">
      <c r="S83" s="53" t="s">
        <v>81</v>
      </c>
      <c r="T83" s="53" t="s">
        <v>60</v>
      </c>
      <c r="U83" s="53">
        <f t="shared" si="3"/>
        <v>21</v>
      </c>
      <c r="V83" s="53" t="str">
        <f t="shared" si="4"/>
        <v>gudomlig+1 (mkt låg)</v>
      </c>
    </row>
    <row r="84" spans="19:22">
      <c r="S84" s="53" t="str">
        <f>S83</f>
        <v>gudomlig+1</v>
      </c>
      <c r="T84" s="53" t="s">
        <v>62</v>
      </c>
      <c r="U84" s="53">
        <f t="shared" si="3"/>
        <v>21.25</v>
      </c>
      <c r="V84" s="53" t="str">
        <f t="shared" si="4"/>
        <v>gudomlig+1 (låg)</v>
      </c>
    </row>
    <row r="85" spans="19:22">
      <c r="S85" s="53" t="str">
        <f>S84</f>
        <v>gudomlig+1</v>
      </c>
      <c r="T85" s="53" t="s">
        <v>57</v>
      </c>
      <c r="U85" s="53">
        <f t="shared" si="3"/>
        <v>21.5</v>
      </c>
      <c r="V85" s="53" t="str">
        <f t="shared" si="4"/>
        <v>gudomlig+1 (hög)</v>
      </c>
    </row>
    <row r="86" spans="19:22">
      <c r="S86" s="53" t="str">
        <f>S85</f>
        <v>gudomlig+1</v>
      </c>
      <c r="T86" s="53" t="s">
        <v>65</v>
      </c>
      <c r="U86" s="53">
        <f t="shared" si="3"/>
        <v>21.75</v>
      </c>
      <c r="V86" s="53" t="str">
        <f t="shared" si="4"/>
        <v>gudomlig+1 (mkt hög)</v>
      </c>
    </row>
    <row r="87" spans="19:22">
      <c r="S87" s="53" t="s">
        <v>82</v>
      </c>
      <c r="T87" s="53" t="s">
        <v>60</v>
      </c>
      <c r="U87" s="53">
        <f t="shared" si="3"/>
        <v>22</v>
      </c>
      <c r="V87" s="53" t="str">
        <f t="shared" si="4"/>
        <v>gudomlig+2 (mkt låg)</v>
      </c>
    </row>
    <row r="88" spans="19:22">
      <c r="S88" s="53" t="str">
        <f>S87</f>
        <v>gudomlig+2</v>
      </c>
      <c r="T88" s="53" t="s">
        <v>62</v>
      </c>
      <c r="U88" s="53">
        <f t="shared" si="3"/>
        <v>22.25</v>
      </c>
      <c r="V88" s="53" t="str">
        <f t="shared" si="4"/>
        <v>gudomlig+2 (låg)</v>
      </c>
    </row>
    <row r="89" spans="19:22">
      <c r="S89" s="53" t="str">
        <f>S88</f>
        <v>gudomlig+2</v>
      </c>
      <c r="T89" s="53" t="s">
        <v>57</v>
      </c>
      <c r="U89" s="53">
        <f t="shared" si="3"/>
        <v>22.5</v>
      </c>
      <c r="V89" s="53" t="str">
        <f t="shared" si="4"/>
        <v>gudomlig+2 (hög)</v>
      </c>
    </row>
    <row r="90" spans="19:22">
      <c r="S90" s="53" t="str">
        <f>S89</f>
        <v>gudomlig+2</v>
      </c>
      <c r="T90" s="53" t="s">
        <v>65</v>
      </c>
      <c r="U90" s="53">
        <f t="shared" si="3"/>
        <v>22.75</v>
      </c>
      <c r="V90" s="53" t="str">
        <f t="shared" si="4"/>
        <v>gudomlig+2 (mkt hög)</v>
      </c>
    </row>
    <row r="91" spans="19:22">
      <c r="S91" s="53" t="s">
        <v>83</v>
      </c>
      <c r="T91" s="53" t="s">
        <v>60</v>
      </c>
      <c r="U91" s="53">
        <f t="shared" si="3"/>
        <v>23</v>
      </c>
      <c r="V91" s="53" t="str">
        <f t="shared" si="4"/>
        <v>gudomlig+3 (mkt låg)</v>
      </c>
    </row>
    <row r="92" spans="19:22">
      <c r="S92" s="53" t="str">
        <f>S91</f>
        <v>gudomlig+3</v>
      </c>
      <c r="T92" s="53" t="s">
        <v>62</v>
      </c>
      <c r="U92" s="53">
        <f t="shared" si="3"/>
        <v>23.25</v>
      </c>
      <c r="V92" s="53" t="str">
        <f t="shared" si="4"/>
        <v>gudomlig+3 (låg)</v>
      </c>
    </row>
    <row r="93" spans="19:22">
      <c r="S93" s="53" t="str">
        <f>S92</f>
        <v>gudomlig+3</v>
      </c>
      <c r="T93" s="53" t="s">
        <v>57</v>
      </c>
      <c r="U93" s="53">
        <f t="shared" si="3"/>
        <v>23.5</v>
      </c>
      <c r="V93" s="53" t="str">
        <f t="shared" si="4"/>
        <v>gudomlig+3 (hög)</v>
      </c>
    </row>
    <row r="94" spans="19:22">
      <c r="S94" s="53" t="str">
        <f>S93</f>
        <v>gudomlig+3</v>
      </c>
      <c r="T94" s="53" t="s">
        <v>65</v>
      </c>
      <c r="U94" s="53">
        <f t="shared" si="3"/>
        <v>23.75</v>
      </c>
      <c r="V94" s="53" t="str">
        <f t="shared" si="4"/>
        <v>gudomlig+3 (mkt hög)</v>
      </c>
    </row>
    <row r="95" spans="19:22">
      <c r="S95" s="53" t="s">
        <v>84</v>
      </c>
      <c r="T95" s="53" t="s">
        <v>60</v>
      </c>
      <c r="U95" s="53">
        <f t="shared" si="3"/>
        <v>24</v>
      </c>
      <c r="V95" s="53" t="str">
        <f t="shared" si="4"/>
        <v>gudomlig+4 (mkt låg)</v>
      </c>
    </row>
    <row r="96" spans="19:22">
      <c r="S96" s="53" t="str">
        <f>S95</f>
        <v>gudomlig+4</v>
      </c>
      <c r="T96" s="53" t="s">
        <v>62</v>
      </c>
      <c r="U96" s="53">
        <f t="shared" si="3"/>
        <v>24.25</v>
      </c>
      <c r="V96" s="53" t="str">
        <f t="shared" si="4"/>
        <v>gudomlig+4 (låg)</v>
      </c>
    </row>
    <row r="97" spans="19:22">
      <c r="S97" s="53" t="str">
        <f>S96</f>
        <v>gudomlig+4</v>
      </c>
      <c r="T97" s="53" t="s">
        <v>57</v>
      </c>
      <c r="U97" s="53">
        <f t="shared" si="3"/>
        <v>24.5</v>
      </c>
      <c r="V97" s="53" t="str">
        <f t="shared" si="4"/>
        <v>gudomlig+4 (hög)</v>
      </c>
    </row>
    <row r="98" spans="19:22">
      <c r="S98" s="53" t="str">
        <f>S97</f>
        <v>gudomlig+4</v>
      </c>
      <c r="T98" s="53" t="s">
        <v>65</v>
      </c>
      <c r="U98" s="53">
        <f t="shared" si="3"/>
        <v>24.75</v>
      </c>
      <c r="V98" s="53" t="str">
        <f t="shared" si="4"/>
        <v>gudomlig+4 (mkt hög)</v>
      </c>
    </row>
    <row r="99" spans="19:22">
      <c r="S99" s="53" t="s">
        <v>85</v>
      </c>
      <c r="T99" s="53" t="s">
        <v>60</v>
      </c>
      <c r="U99" s="53">
        <f t="shared" si="3"/>
        <v>25</v>
      </c>
      <c r="V99" s="53" t="str">
        <f t="shared" si="4"/>
        <v>gudomlig+5 (mkt låg)</v>
      </c>
    </row>
    <row r="100" spans="19:22">
      <c r="S100" s="53" t="str">
        <f>S99</f>
        <v>gudomlig+5</v>
      </c>
      <c r="T100" s="53" t="s">
        <v>62</v>
      </c>
      <c r="U100" s="53">
        <f t="shared" si="3"/>
        <v>25.25</v>
      </c>
      <c r="V100" s="53" t="str">
        <f t="shared" si="4"/>
        <v>gudomlig+5 (låg)</v>
      </c>
    </row>
    <row r="101" spans="19:22">
      <c r="S101" s="53" t="str">
        <f>S100</f>
        <v>gudomlig+5</v>
      </c>
      <c r="T101" s="53" t="s">
        <v>57</v>
      </c>
      <c r="U101" s="53">
        <f t="shared" si="3"/>
        <v>25.5</v>
      </c>
      <c r="V101" s="53" t="str">
        <f t="shared" si="4"/>
        <v>gudomlig+5 (hög)</v>
      </c>
    </row>
    <row r="102" spans="19:22">
      <c r="S102" s="53" t="str">
        <f>S101</f>
        <v>gudomlig+5</v>
      </c>
      <c r="T102" s="53" t="s">
        <v>65</v>
      </c>
      <c r="U102" s="53">
        <f t="shared" si="3"/>
        <v>25.75</v>
      </c>
      <c r="V102" s="53" t="str">
        <f t="shared" si="4"/>
        <v>gudomlig+5 (mkt hög)</v>
      </c>
    </row>
    <row r="103" spans="19:22">
      <c r="S103" s="53" t="s">
        <v>86</v>
      </c>
      <c r="T103" s="53" t="s">
        <v>60</v>
      </c>
      <c r="U103" s="53">
        <f t="shared" si="3"/>
        <v>26</v>
      </c>
      <c r="V103" s="53" t="str">
        <f t="shared" si="4"/>
        <v>gudomlig+6 (mkt låg)</v>
      </c>
    </row>
    <row r="104" spans="19:22">
      <c r="S104" s="53" t="str">
        <f>S103</f>
        <v>gudomlig+6</v>
      </c>
      <c r="T104" s="53" t="s">
        <v>62</v>
      </c>
      <c r="U104" s="53">
        <f t="shared" si="3"/>
        <v>26.25</v>
      </c>
      <c r="V104" s="53" t="str">
        <f t="shared" si="4"/>
        <v>gudomlig+6 (låg)</v>
      </c>
    </row>
    <row r="105" spans="19:22">
      <c r="S105" s="53" t="str">
        <f>S104</f>
        <v>gudomlig+6</v>
      </c>
      <c r="T105" s="53" t="s">
        <v>57</v>
      </c>
      <c r="U105" s="53">
        <f t="shared" si="3"/>
        <v>26.5</v>
      </c>
      <c r="V105" s="53" t="str">
        <f t="shared" si="4"/>
        <v>gudomlig+6 (hög)</v>
      </c>
    </row>
    <row r="106" spans="19:22">
      <c r="S106" s="53" t="str">
        <f>S105</f>
        <v>gudomlig+6</v>
      </c>
      <c r="T106" s="53" t="s">
        <v>65</v>
      </c>
      <c r="U106" s="53">
        <f t="shared" si="3"/>
        <v>26.75</v>
      </c>
      <c r="V106" s="53" t="str">
        <f t="shared" si="4"/>
        <v>gudomlig+6 (mkt hög)</v>
      </c>
    </row>
    <row r="107" spans="19:22">
      <c r="S107" s="53" t="s">
        <v>87</v>
      </c>
      <c r="T107" s="53" t="s">
        <v>60</v>
      </c>
      <c r="U107" s="53">
        <f t="shared" si="3"/>
        <v>27</v>
      </c>
      <c r="V107" s="53" t="str">
        <f t="shared" si="4"/>
        <v>gudomlig+7 (mkt låg)</v>
      </c>
    </row>
    <row r="108" spans="19:22">
      <c r="S108" s="53" t="str">
        <f>S107</f>
        <v>gudomlig+7</v>
      </c>
      <c r="T108" s="53" t="s">
        <v>62</v>
      </c>
      <c r="U108" s="53">
        <f t="shared" si="3"/>
        <v>27.25</v>
      </c>
      <c r="V108" s="53" t="str">
        <f t="shared" si="4"/>
        <v>gudomlig+7 (låg)</v>
      </c>
    </row>
    <row r="109" spans="19:22">
      <c r="S109" s="53" t="str">
        <f>S108</f>
        <v>gudomlig+7</v>
      </c>
      <c r="T109" s="53" t="s">
        <v>57</v>
      </c>
      <c r="U109" s="53">
        <f t="shared" si="3"/>
        <v>27.5</v>
      </c>
      <c r="V109" s="53" t="str">
        <f t="shared" si="4"/>
        <v>gudomlig+7 (hög)</v>
      </c>
    </row>
    <row r="110" spans="19:22">
      <c r="S110" s="53" t="str">
        <f>S109</f>
        <v>gudomlig+7</v>
      </c>
      <c r="T110" s="53" t="s">
        <v>65</v>
      </c>
      <c r="U110" s="53">
        <f t="shared" si="3"/>
        <v>27.75</v>
      </c>
      <c r="V110" s="53" t="str">
        <f t="shared" si="4"/>
        <v>gudomlig+7 (mkt hög)</v>
      </c>
    </row>
    <row r="111" spans="19:22">
      <c r="S111" s="53" t="s">
        <v>88</v>
      </c>
      <c r="T111" s="53" t="s">
        <v>60</v>
      </c>
      <c r="U111" s="53">
        <f t="shared" si="3"/>
        <v>28</v>
      </c>
      <c r="V111" s="53" t="str">
        <f t="shared" si="4"/>
        <v>gudomlig+8 (mkt låg)</v>
      </c>
    </row>
    <row r="112" spans="19:22">
      <c r="S112" s="53" t="str">
        <f>S111</f>
        <v>gudomlig+8</v>
      </c>
      <c r="T112" s="53" t="s">
        <v>62</v>
      </c>
      <c r="U112" s="53">
        <f t="shared" si="3"/>
        <v>28.25</v>
      </c>
      <c r="V112" s="53" t="str">
        <f t="shared" si="4"/>
        <v>gudomlig+8 (låg)</v>
      </c>
    </row>
    <row r="113" spans="19:22">
      <c r="S113" s="53" t="str">
        <f>S112</f>
        <v>gudomlig+8</v>
      </c>
      <c r="T113" s="53" t="s">
        <v>57</v>
      </c>
      <c r="U113" s="53">
        <f t="shared" si="3"/>
        <v>28.5</v>
      </c>
      <c r="V113" s="53" t="str">
        <f t="shared" si="4"/>
        <v>gudomlig+8 (hög)</v>
      </c>
    </row>
    <row r="114" spans="19:22">
      <c r="S114" s="53" t="str">
        <f>S113</f>
        <v>gudomlig+8</v>
      </c>
      <c r="T114" s="53" t="s">
        <v>65</v>
      </c>
      <c r="U114" s="53">
        <f t="shared" si="3"/>
        <v>28.75</v>
      </c>
      <c r="V114" s="53" t="str">
        <f t="shared" si="4"/>
        <v>gudomlig+8 (mkt hög)</v>
      </c>
    </row>
    <row r="115" spans="19:22">
      <c r="S115" s="53" t="s">
        <v>89</v>
      </c>
      <c r="T115" s="53" t="s">
        <v>60</v>
      </c>
      <c r="U115" s="53">
        <f t="shared" si="3"/>
        <v>29</v>
      </c>
      <c r="V115" s="53" t="str">
        <f t="shared" si="4"/>
        <v>gudomlig+9 (mkt låg)</v>
      </c>
    </row>
    <row r="116" spans="19:22">
      <c r="S116" s="53" t="str">
        <f>S115</f>
        <v>gudomlig+9</v>
      </c>
      <c r="T116" s="53" t="s">
        <v>62</v>
      </c>
      <c r="U116" s="53">
        <f t="shared" si="3"/>
        <v>29.25</v>
      </c>
      <c r="V116" s="53" t="str">
        <f t="shared" si="4"/>
        <v>gudomlig+9 (låg)</v>
      </c>
    </row>
    <row r="117" spans="19:22">
      <c r="S117" s="53" t="str">
        <f>S116</f>
        <v>gudomlig+9</v>
      </c>
      <c r="T117" s="53" t="s">
        <v>57</v>
      </c>
      <c r="U117" s="53">
        <f t="shared" si="3"/>
        <v>29.5</v>
      </c>
      <c r="V117" s="53" t="str">
        <f t="shared" si="4"/>
        <v>gudomlig+9 (hög)</v>
      </c>
    </row>
    <row r="118" spans="19:22">
      <c r="S118" s="53" t="str">
        <f>S117</f>
        <v>gudomlig+9</v>
      </c>
      <c r="T118" s="53" t="s">
        <v>65</v>
      </c>
      <c r="U118" s="53">
        <f t="shared" si="3"/>
        <v>29.75</v>
      </c>
      <c r="V118" s="53" t="str">
        <f t="shared" si="4"/>
        <v>gudomlig+9 (mkt hög)</v>
      </c>
    </row>
    <row r="119" spans="19:22">
      <c r="S119" s="53" t="s">
        <v>90</v>
      </c>
      <c r="T119" s="53" t="s">
        <v>60</v>
      </c>
      <c r="U119" s="53">
        <f t="shared" si="3"/>
        <v>30</v>
      </c>
      <c r="V119" s="53" t="str">
        <f t="shared" si="4"/>
        <v>gudomlig+10 (mkt låg)</v>
      </c>
    </row>
    <row r="120" spans="19:22">
      <c r="S120" s="53" t="str">
        <f>S119</f>
        <v>gudomlig+10</v>
      </c>
      <c r="T120" s="53" t="s">
        <v>62</v>
      </c>
      <c r="U120" s="53">
        <f t="shared" si="3"/>
        <v>30.25</v>
      </c>
      <c r="V120" s="53" t="str">
        <f t="shared" si="4"/>
        <v>gudomlig+10 (låg)</v>
      </c>
    </row>
    <row r="121" spans="19:22">
      <c r="S121" s="53" t="str">
        <f>S120</f>
        <v>gudomlig+10</v>
      </c>
      <c r="T121" s="53" t="s">
        <v>57</v>
      </c>
      <c r="U121" s="53">
        <f t="shared" si="3"/>
        <v>30.5</v>
      </c>
      <c r="V121" s="53" t="str">
        <f t="shared" si="4"/>
        <v>gudomlig+10 (hög)</v>
      </c>
    </row>
    <row r="122" spans="19:22">
      <c r="S122" s="53" t="str">
        <f>S121</f>
        <v>gudomlig+10</v>
      </c>
      <c r="T122" s="53" t="s">
        <v>65</v>
      </c>
      <c r="U122" s="53">
        <f t="shared" si="3"/>
        <v>30.75</v>
      </c>
      <c r="V122" s="53" t="str">
        <f t="shared" si="4"/>
        <v>gudomlig+10 (mkt hög)</v>
      </c>
    </row>
  </sheetData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85"/>
  <sheetViews>
    <sheetView workbookViewId="0">
      <selection activeCell="D33" sqref="D33"/>
    </sheetView>
  </sheetViews>
  <sheetFormatPr defaultRowHeight="13.2"/>
  <cols>
    <col min="1" max="1" width="12" style="53" customWidth="1"/>
    <col min="2" max="2" width="10.6640625" style="53" customWidth="1"/>
    <col min="3" max="3" width="11.109375" style="53" customWidth="1"/>
    <col min="4" max="4" width="11.109375" style="58" customWidth="1"/>
    <col min="5" max="5" width="12" style="53" bestFit="1" customWidth="1"/>
    <col min="6" max="6" width="8.88671875" style="53"/>
    <col min="7" max="7" width="11" style="53" customWidth="1"/>
    <col min="8" max="8" width="12" style="53" customWidth="1"/>
    <col min="9" max="9" width="10.88671875" style="53" customWidth="1"/>
    <col min="10" max="10" width="12.33203125" style="53" customWidth="1"/>
    <col min="11" max="11" width="8.88671875" style="53"/>
    <col min="12" max="12" width="16.6640625" style="53" customWidth="1"/>
    <col min="13" max="14" width="11.33203125" style="53" customWidth="1"/>
    <col min="15" max="15" width="8.88671875" style="53"/>
    <col min="16" max="16" width="12.5546875" style="53" customWidth="1"/>
    <col min="17" max="17" width="11.88671875" style="53" bestFit="1" customWidth="1"/>
    <col min="18" max="22" width="8.88671875" style="53"/>
    <col min="23" max="23" width="17" style="53" bestFit="1" customWidth="1"/>
    <col min="24" max="24" width="12.88671875" style="53" customWidth="1"/>
    <col min="25" max="16384" width="8.88671875" style="53"/>
  </cols>
  <sheetData>
    <row r="1" spans="1:27">
      <c r="A1" s="57" t="s">
        <v>101</v>
      </c>
      <c r="B1" s="53" t="s">
        <v>102</v>
      </c>
      <c r="C1" s="54" t="s">
        <v>66</v>
      </c>
      <c r="D1" s="54" t="s">
        <v>62</v>
      </c>
    </row>
    <row r="2" spans="1:27">
      <c r="B2" s="53" t="s">
        <v>103</v>
      </c>
      <c r="C2" s="54" t="s">
        <v>64</v>
      </c>
      <c r="D2" s="54" t="s">
        <v>59</v>
      </c>
      <c r="L2" s="53" t="s">
        <v>104</v>
      </c>
    </row>
    <row r="3" spans="1:27">
      <c r="B3" s="53" t="s">
        <v>105</v>
      </c>
      <c r="C3" s="54">
        <v>0</v>
      </c>
    </row>
    <row r="4" spans="1:27">
      <c r="L4" s="53" t="s">
        <v>45</v>
      </c>
      <c r="M4" s="53" t="s">
        <v>46</v>
      </c>
      <c r="O4" s="53" t="s">
        <v>47</v>
      </c>
      <c r="Q4" s="53" t="s">
        <v>48</v>
      </c>
      <c r="R4" s="53" t="s">
        <v>46</v>
      </c>
      <c r="W4" s="53" t="s">
        <v>106</v>
      </c>
      <c r="Z4" s="53" t="s">
        <v>52</v>
      </c>
      <c r="AA4" s="53" t="s">
        <v>53</v>
      </c>
    </row>
    <row r="5" spans="1:27">
      <c r="A5" s="57" t="s">
        <v>39</v>
      </c>
      <c r="B5" s="59" t="s">
        <v>107</v>
      </c>
      <c r="C5" s="60" t="s">
        <v>68</v>
      </c>
      <c r="D5" s="59" t="s">
        <v>108</v>
      </c>
      <c r="E5" s="60" t="s">
        <v>56</v>
      </c>
      <c r="L5" s="53" t="s">
        <v>56</v>
      </c>
      <c r="M5" s="53">
        <v>1</v>
      </c>
      <c r="N5" s="53" t="s">
        <v>56</v>
      </c>
      <c r="O5" s="53">
        <v>1</v>
      </c>
      <c r="P5" s="53" t="s">
        <v>56</v>
      </c>
      <c r="Q5" s="53" t="s">
        <v>57</v>
      </c>
      <c r="R5" s="53">
        <v>1</v>
      </c>
      <c r="T5" s="53">
        <v>1</v>
      </c>
      <c r="U5" s="53" t="s">
        <v>56</v>
      </c>
      <c r="W5" s="53" t="s">
        <v>109</v>
      </c>
      <c r="X5" s="53">
        <v>0</v>
      </c>
      <c r="Z5" s="53">
        <v>17</v>
      </c>
      <c r="AA5" s="53">
        <v>1</v>
      </c>
    </row>
    <row r="6" spans="1:27">
      <c r="B6" s="59" t="s">
        <v>110</v>
      </c>
      <c r="C6" s="60" t="s">
        <v>64</v>
      </c>
      <c r="D6" s="59" t="s">
        <v>111</v>
      </c>
      <c r="E6" s="60" t="s">
        <v>64</v>
      </c>
      <c r="L6" s="53" t="s">
        <v>58</v>
      </c>
      <c r="M6" s="53">
        <v>2</v>
      </c>
      <c r="N6" s="53" t="s">
        <v>58</v>
      </c>
      <c r="O6" s="53">
        <v>2</v>
      </c>
      <c r="P6" s="53" t="s">
        <v>58</v>
      </c>
      <c r="Q6" s="53" t="s">
        <v>59</v>
      </c>
      <c r="R6" s="53">
        <v>0.5</v>
      </c>
      <c r="T6" s="53">
        <v>2</v>
      </c>
      <c r="U6" s="53" t="s">
        <v>58</v>
      </c>
      <c r="X6" s="53">
        <v>0.25</v>
      </c>
      <c r="Z6" s="53">
        <v>18</v>
      </c>
      <c r="AA6" s="53">
        <v>1</v>
      </c>
    </row>
    <row r="7" spans="1:27">
      <c r="B7" s="59" t="s">
        <v>112</v>
      </c>
      <c r="C7" s="60" t="s">
        <v>70</v>
      </c>
      <c r="D7" s="59" t="s">
        <v>113</v>
      </c>
      <c r="E7" s="60" t="s">
        <v>72</v>
      </c>
      <c r="L7" s="53" t="s">
        <v>61</v>
      </c>
      <c r="M7" s="53">
        <v>3</v>
      </c>
      <c r="N7" s="53" t="s">
        <v>61</v>
      </c>
      <c r="O7" s="53">
        <v>3</v>
      </c>
      <c r="P7" s="53" t="s">
        <v>61</v>
      </c>
      <c r="Q7" s="53" t="s">
        <v>62</v>
      </c>
      <c r="R7" s="53">
        <v>0</v>
      </c>
      <c r="T7" s="53">
        <v>3</v>
      </c>
      <c r="U7" s="53" t="s">
        <v>61</v>
      </c>
      <c r="X7" s="53">
        <v>0.5</v>
      </c>
      <c r="Z7" s="53">
        <v>19</v>
      </c>
      <c r="AA7" s="53">
        <v>1</v>
      </c>
    </row>
    <row r="8" spans="1:27">
      <c r="B8" s="59" t="s">
        <v>114</v>
      </c>
      <c r="C8" s="60" t="s">
        <v>64</v>
      </c>
      <c r="D8" s="59" t="s">
        <v>115</v>
      </c>
      <c r="E8" s="60" t="s">
        <v>66</v>
      </c>
      <c r="L8" s="53" t="s">
        <v>63</v>
      </c>
      <c r="M8" s="53">
        <v>4</v>
      </c>
      <c r="N8" s="53" t="s">
        <v>63</v>
      </c>
      <c r="O8" s="53">
        <v>4</v>
      </c>
      <c r="P8" s="53" t="s">
        <v>63</v>
      </c>
      <c r="T8" s="53">
        <v>4</v>
      </c>
      <c r="U8" s="53" t="s">
        <v>63</v>
      </c>
      <c r="X8" s="53">
        <v>0.75</v>
      </c>
      <c r="Z8" s="53">
        <v>20</v>
      </c>
      <c r="AA8" s="53">
        <v>1</v>
      </c>
    </row>
    <row r="9" spans="1:27">
      <c r="L9" s="53" t="s">
        <v>64</v>
      </c>
      <c r="M9" s="53">
        <v>5</v>
      </c>
      <c r="N9" s="53" t="s">
        <v>64</v>
      </c>
      <c r="O9" s="53">
        <v>5</v>
      </c>
      <c r="P9" s="53" t="s">
        <v>64</v>
      </c>
      <c r="Q9" s="53">
        <v>0</v>
      </c>
      <c r="R9" s="53" t="s">
        <v>60</v>
      </c>
      <c r="T9" s="53">
        <v>5</v>
      </c>
      <c r="U9" s="53" t="s">
        <v>64</v>
      </c>
      <c r="X9" s="53">
        <v>1</v>
      </c>
      <c r="Z9" s="53">
        <v>21</v>
      </c>
      <c r="AA9" s="53">
        <v>1</v>
      </c>
    </row>
    <row r="10" spans="1:27">
      <c r="L10" s="53" t="s">
        <v>66</v>
      </c>
      <c r="M10" s="53">
        <v>6</v>
      </c>
      <c r="N10" s="53" t="s">
        <v>66</v>
      </c>
      <c r="O10" s="53">
        <v>6</v>
      </c>
      <c r="P10" s="53" t="s">
        <v>66</v>
      </c>
      <c r="Q10" s="53">
        <v>1</v>
      </c>
      <c r="R10" s="53" t="s">
        <v>62</v>
      </c>
      <c r="T10" s="53">
        <v>6</v>
      </c>
      <c r="U10" s="53" t="s">
        <v>66</v>
      </c>
      <c r="X10" s="53">
        <v>1.25</v>
      </c>
      <c r="Z10" s="53">
        <v>22</v>
      </c>
      <c r="AA10" s="53">
        <v>1</v>
      </c>
    </row>
    <row r="11" spans="1:27">
      <c r="L11" s="53" t="s">
        <v>67</v>
      </c>
      <c r="M11" s="53">
        <v>7</v>
      </c>
      <c r="N11" s="53" t="s">
        <v>67</v>
      </c>
      <c r="O11" s="53">
        <v>7</v>
      </c>
      <c r="P11" s="53" t="s">
        <v>67</v>
      </c>
      <c r="Q11" s="53">
        <v>2</v>
      </c>
      <c r="R11" s="53" t="s">
        <v>57</v>
      </c>
      <c r="T11" s="53">
        <v>7</v>
      </c>
      <c r="U11" s="53" t="s">
        <v>67</v>
      </c>
      <c r="X11" s="53">
        <v>1.5</v>
      </c>
      <c r="Z11" s="53">
        <v>23</v>
      </c>
      <c r="AA11" s="53">
        <v>1</v>
      </c>
    </row>
    <row r="12" spans="1:27">
      <c r="L12" s="53" t="s">
        <v>68</v>
      </c>
      <c r="M12" s="53">
        <v>8</v>
      </c>
      <c r="N12" s="53" t="s">
        <v>68</v>
      </c>
      <c r="O12" s="53">
        <v>8</v>
      </c>
      <c r="P12" s="53" t="s">
        <v>68</v>
      </c>
      <c r="Q12" s="53">
        <v>3</v>
      </c>
      <c r="R12" s="53" t="s">
        <v>65</v>
      </c>
      <c r="T12" s="53">
        <v>8</v>
      </c>
      <c r="U12" s="53" t="s">
        <v>68</v>
      </c>
      <c r="X12" s="53">
        <v>1.75</v>
      </c>
      <c r="Z12" s="53">
        <v>24</v>
      </c>
      <c r="AA12" s="53">
        <v>1</v>
      </c>
    </row>
    <row r="13" spans="1:27">
      <c r="A13" s="57" t="s">
        <v>116</v>
      </c>
      <c r="F13" s="53" t="s">
        <v>117</v>
      </c>
      <c r="L13" s="53" t="s">
        <v>69</v>
      </c>
      <c r="M13" s="53">
        <v>9</v>
      </c>
      <c r="N13" s="53" t="s">
        <v>69</v>
      </c>
      <c r="O13" s="53">
        <v>9</v>
      </c>
      <c r="P13" s="53" t="s">
        <v>69</v>
      </c>
      <c r="T13" s="53">
        <v>9</v>
      </c>
      <c r="U13" s="53" t="s">
        <v>69</v>
      </c>
      <c r="X13" s="53">
        <v>2</v>
      </c>
      <c r="Z13" s="53">
        <v>25</v>
      </c>
      <c r="AA13" s="53">
        <v>1</v>
      </c>
    </row>
    <row r="14" spans="1:27">
      <c r="A14" s="57"/>
      <c r="B14" s="53" t="s">
        <v>102</v>
      </c>
      <c r="C14" s="54">
        <v>19</v>
      </c>
      <c r="D14" s="58" t="s">
        <v>118</v>
      </c>
      <c r="E14" s="54">
        <f>VLOOKUP(D1, $Q$5:$R$7, 2, FALSE)</f>
        <v>0</v>
      </c>
      <c r="F14" s="53">
        <f>1+SQRT(C14+E14)*7/100</f>
        <v>1.3051229260478472</v>
      </c>
      <c r="L14" s="53" t="s">
        <v>70</v>
      </c>
      <c r="M14" s="53">
        <v>10</v>
      </c>
      <c r="N14" s="53" t="s">
        <v>70</v>
      </c>
      <c r="O14" s="53">
        <v>10</v>
      </c>
      <c r="P14" s="53" t="s">
        <v>70</v>
      </c>
      <c r="Q14" s="53">
        <v>0</v>
      </c>
      <c r="R14" s="53" t="s">
        <v>60</v>
      </c>
      <c r="S14" s="53">
        <v>0</v>
      </c>
      <c r="T14" s="53">
        <v>10</v>
      </c>
      <c r="U14" s="53" t="s">
        <v>70</v>
      </c>
      <c r="X14" s="53">
        <v>2.25</v>
      </c>
      <c r="Z14" s="53">
        <v>26</v>
      </c>
      <c r="AA14" s="53">
        <v>1</v>
      </c>
    </row>
    <row r="15" spans="1:27">
      <c r="B15" s="53" t="s">
        <v>103</v>
      </c>
      <c r="C15" s="54">
        <f>VLOOKUP(C2, $N$5:$O$24, 2, FALSE)</f>
        <v>5</v>
      </c>
      <c r="D15" s="58" t="s">
        <v>119</v>
      </c>
      <c r="E15" s="54">
        <f>VLOOKUP(D2, $Q$5:$R$7, 2, FALSE)</f>
        <v>0.5</v>
      </c>
      <c r="F15" s="53">
        <f>SQRT(C15+E15)/SQRT(7)</f>
        <v>0.88640526042791834</v>
      </c>
      <c r="L15" s="53" t="s">
        <v>71</v>
      </c>
      <c r="M15" s="53">
        <v>11</v>
      </c>
      <c r="N15" s="53" t="s">
        <v>71</v>
      </c>
      <c r="O15" s="53">
        <v>11</v>
      </c>
      <c r="P15" s="53" t="s">
        <v>71</v>
      </c>
      <c r="Q15" s="53">
        <v>0.25</v>
      </c>
      <c r="R15" s="53" t="s">
        <v>62</v>
      </c>
      <c r="S15" s="53">
        <v>0.25</v>
      </c>
      <c r="T15" s="53">
        <v>11</v>
      </c>
      <c r="U15" s="53" t="s">
        <v>71</v>
      </c>
      <c r="X15" s="53">
        <v>2.5</v>
      </c>
      <c r="Z15" s="53">
        <v>27</v>
      </c>
      <c r="AA15" s="53">
        <v>1</v>
      </c>
    </row>
    <row r="16" spans="1:27">
      <c r="B16" s="53" t="s">
        <v>105</v>
      </c>
      <c r="C16" s="54">
        <f>C3</f>
        <v>0</v>
      </c>
      <c r="E16" s="54"/>
      <c r="F16" s="53">
        <f>SQRT(C18+C16)/SQRT(7)</f>
        <v>1.0690449676496976</v>
      </c>
      <c r="L16" s="53" t="s">
        <v>72</v>
      </c>
      <c r="M16" s="53">
        <v>12</v>
      </c>
      <c r="N16" s="53" t="s">
        <v>72</v>
      </c>
      <c r="O16" s="53">
        <v>12</v>
      </c>
      <c r="P16" s="53" t="s">
        <v>72</v>
      </c>
      <c r="Q16" s="53">
        <v>0.5</v>
      </c>
      <c r="R16" s="53" t="s">
        <v>57</v>
      </c>
      <c r="S16" s="53">
        <v>0.5</v>
      </c>
      <c r="T16" s="53">
        <v>12</v>
      </c>
      <c r="U16" s="53" t="s">
        <v>72</v>
      </c>
      <c r="X16" s="53">
        <v>2.75</v>
      </c>
      <c r="Z16" s="53">
        <v>28</v>
      </c>
      <c r="AA16" s="53">
        <v>1</v>
      </c>
    </row>
    <row r="17" spans="1:28">
      <c r="L17" s="53" t="s">
        <v>73</v>
      </c>
      <c r="M17" s="53">
        <v>13</v>
      </c>
      <c r="N17" s="53" t="s">
        <v>73</v>
      </c>
      <c r="O17" s="53">
        <v>13</v>
      </c>
      <c r="P17" s="53" t="s">
        <v>73</v>
      </c>
      <c r="Q17" s="53">
        <v>0.75</v>
      </c>
      <c r="R17" s="53" t="s">
        <v>65</v>
      </c>
      <c r="S17" s="53">
        <v>0.75</v>
      </c>
      <c r="T17" s="53">
        <v>13</v>
      </c>
      <c r="U17" s="53" t="s">
        <v>73</v>
      </c>
      <c r="X17" s="53">
        <v>3</v>
      </c>
      <c r="Z17" s="53">
        <v>29</v>
      </c>
      <c r="AA17" s="53">
        <f>8/7</f>
        <v>1.1428571428571428</v>
      </c>
    </row>
    <row r="18" spans="1:28">
      <c r="B18" s="53" t="s">
        <v>120</v>
      </c>
      <c r="C18" s="54">
        <f>VLOOKUP(C5, $N$5:$O$24, 2, FALSE)</f>
        <v>8</v>
      </c>
      <c r="D18" s="58" t="s">
        <v>121</v>
      </c>
      <c r="E18" s="54">
        <f>VLOOKUP(E5, $N$5:$O$24, 2, FALSE)</f>
        <v>1</v>
      </c>
      <c r="H18" s="54"/>
      <c r="L18" s="53" t="s">
        <v>74</v>
      </c>
      <c r="M18" s="53">
        <v>14</v>
      </c>
      <c r="N18" s="53" t="s">
        <v>74</v>
      </c>
      <c r="O18" s="53">
        <v>14</v>
      </c>
      <c r="P18" s="53" t="s">
        <v>74</v>
      </c>
      <c r="T18" s="53">
        <v>14</v>
      </c>
      <c r="U18" s="53" t="s">
        <v>74</v>
      </c>
      <c r="X18" s="53">
        <v>3.25</v>
      </c>
      <c r="Z18" s="53">
        <v>30</v>
      </c>
      <c r="AA18" s="53">
        <f>AA17*7/6</f>
        <v>1.3333333333333333</v>
      </c>
    </row>
    <row r="19" spans="1:28">
      <c r="B19" s="53" t="s">
        <v>122</v>
      </c>
      <c r="C19" s="54">
        <f>VLOOKUP(C6, $N$5:$O$24, 2, FALSE)</f>
        <v>5</v>
      </c>
      <c r="D19" s="58" t="s">
        <v>123</v>
      </c>
      <c r="E19" s="54">
        <f>VLOOKUP(E6, $N$5:$O$24, 2, FALSE)</f>
        <v>5</v>
      </c>
      <c r="L19" s="53" t="s">
        <v>75</v>
      </c>
      <c r="M19" s="53">
        <v>15</v>
      </c>
      <c r="N19" s="53" t="s">
        <v>75</v>
      </c>
      <c r="O19" s="53">
        <v>15</v>
      </c>
      <c r="P19" s="53" t="s">
        <v>75</v>
      </c>
      <c r="T19" s="53">
        <v>15</v>
      </c>
      <c r="U19" s="53" t="s">
        <v>75</v>
      </c>
      <c r="X19" s="53">
        <v>3.5</v>
      </c>
      <c r="Z19" s="53">
        <v>31</v>
      </c>
      <c r="AA19" s="53">
        <f>AA18*6/5</f>
        <v>1.6</v>
      </c>
      <c r="AB19" s="53" t="s">
        <v>124</v>
      </c>
    </row>
    <row r="20" spans="1:28">
      <c r="B20" s="53" t="s">
        <v>125</v>
      </c>
      <c r="C20" s="54">
        <f>VLOOKUP(C7, $N$5:$O$24, 2, FALSE)</f>
        <v>10</v>
      </c>
      <c r="D20" s="58" t="s">
        <v>26</v>
      </c>
      <c r="E20" s="54">
        <f>VLOOKUP(E7, $N$5:$O$24, 2, FALSE)</f>
        <v>12</v>
      </c>
      <c r="L20" s="53" t="s">
        <v>76</v>
      </c>
      <c r="M20" s="53">
        <v>16</v>
      </c>
      <c r="N20" s="53" t="s">
        <v>76</v>
      </c>
      <c r="O20" s="53">
        <v>16</v>
      </c>
      <c r="P20" s="53" t="s">
        <v>76</v>
      </c>
      <c r="T20" s="53">
        <v>16</v>
      </c>
      <c r="U20" s="53" t="s">
        <v>76</v>
      </c>
      <c r="X20" s="53">
        <v>3.75</v>
      </c>
      <c r="Z20" s="53">
        <v>32</v>
      </c>
      <c r="AA20" s="53">
        <f>AA19*5/4</f>
        <v>2</v>
      </c>
    </row>
    <row r="21" spans="1:28">
      <c r="B21" s="53" t="s">
        <v>126</v>
      </c>
      <c r="C21" s="54">
        <f>VLOOKUP(C8, $N$5:$O$24, 2, FALSE)</f>
        <v>5</v>
      </c>
      <c r="D21" s="58" t="s">
        <v>127</v>
      </c>
      <c r="E21" s="54">
        <f>VLOOKUP(E8, $N$5:$O$24, 2, FALSE)</f>
        <v>6</v>
      </c>
      <c r="L21" s="53" t="s">
        <v>78</v>
      </c>
      <c r="M21" s="53">
        <v>17</v>
      </c>
      <c r="N21" s="53" t="s">
        <v>78</v>
      </c>
      <c r="O21" s="53">
        <v>17</v>
      </c>
      <c r="P21" s="53" t="s">
        <v>78</v>
      </c>
      <c r="T21" s="53">
        <v>17</v>
      </c>
      <c r="U21" s="53" t="s">
        <v>78</v>
      </c>
      <c r="X21" s="53">
        <v>4</v>
      </c>
      <c r="Z21" s="53">
        <v>33</v>
      </c>
      <c r="AA21" s="53">
        <f>AA20*4/3</f>
        <v>2.6666666666666665</v>
      </c>
    </row>
    <row r="22" spans="1:28">
      <c r="L22" s="53" t="s">
        <v>22</v>
      </c>
      <c r="M22" s="53">
        <v>18</v>
      </c>
      <c r="N22" s="53" t="s">
        <v>22</v>
      </c>
      <c r="O22" s="53">
        <v>18</v>
      </c>
      <c r="P22" s="53" t="s">
        <v>22</v>
      </c>
      <c r="T22" s="53">
        <v>18</v>
      </c>
      <c r="U22" s="53" t="s">
        <v>22</v>
      </c>
      <c r="X22" s="53">
        <v>4.25</v>
      </c>
      <c r="Z22" s="53">
        <v>34</v>
      </c>
      <c r="AA22" s="53">
        <f>AA21*3/2</f>
        <v>4</v>
      </c>
    </row>
    <row r="23" spans="1:28" ht="13.8" thickBot="1">
      <c r="A23" s="57" t="s">
        <v>128</v>
      </c>
      <c r="L23" s="53" t="s">
        <v>79</v>
      </c>
      <c r="M23" s="53">
        <v>19</v>
      </c>
      <c r="N23" s="53" t="s">
        <v>79</v>
      </c>
      <c r="O23" s="53">
        <v>19</v>
      </c>
      <c r="P23" s="53" t="s">
        <v>79</v>
      </c>
      <c r="T23" s="53">
        <v>19</v>
      </c>
      <c r="U23" s="53" t="s">
        <v>79</v>
      </c>
      <c r="X23" s="53">
        <v>4.5</v>
      </c>
      <c r="Z23" s="53">
        <v>35</v>
      </c>
      <c r="AA23" s="53">
        <f>AA22*2/1</f>
        <v>8</v>
      </c>
    </row>
    <row r="24" spans="1:28">
      <c r="B24" s="53" t="s">
        <v>120</v>
      </c>
      <c r="C24" s="61">
        <f>C18</f>
        <v>8</v>
      </c>
      <c r="D24" s="58" t="s">
        <v>121</v>
      </c>
      <c r="E24" s="61">
        <f>E18*$F$14*$F$15*$F$16</f>
        <v>1.236743728854705</v>
      </c>
      <c r="G24" s="62" t="s">
        <v>120</v>
      </c>
      <c r="H24" s="63" t="str">
        <f>VLOOKUP(FLOOR(C24,1), $O$5:$P$24,2, FALSE)</f>
        <v>fenomenal</v>
      </c>
      <c r="I24" s="64" t="s">
        <v>121</v>
      </c>
      <c r="J24" s="65" t="str">
        <f>VLOOKUP(FLOOR(E24,1), $O$5:$P$24,2, FALSE)</f>
        <v>katastrofal</v>
      </c>
      <c r="L24" s="53" t="s">
        <v>80</v>
      </c>
      <c r="M24" s="53">
        <v>20</v>
      </c>
      <c r="N24" s="53" t="s">
        <v>80</v>
      </c>
      <c r="O24" s="53">
        <v>20</v>
      </c>
      <c r="P24" s="53" t="s">
        <v>80</v>
      </c>
      <c r="T24" s="53">
        <v>20</v>
      </c>
      <c r="U24" s="53" t="s">
        <v>80</v>
      </c>
      <c r="X24" s="53">
        <v>4.75</v>
      </c>
      <c r="Z24" s="53">
        <v>36</v>
      </c>
      <c r="AA24" s="53">
        <f>AA23</f>
        <v>8</v>
      </c>
    </row>
    <row r="25" spans="1:28">
      <c r="B25" s="53" t="s">
        <v>122</v>
      </c>
      <c r="C25" s="61">
        <f>C19*$F$14*$F$15*$F$16</f>
        <v>6.183718644273525</v>
      </c>
      <c r="D25" s="58" t="s">
        <v>123</v>
      </c>
      <c r="E25" s="61">
        <f>E19*$F$14*$F$15*$F$16</f>
        <v>6.183718644273525</v>
      </c>
      <c r="G25" s="66" t="s">
        <v>122</v>
      </c>
      <c r="H25" s="67" t="str">
        <f>VLOOKUP(FLOOR(C25,1), $O$5:$P$24,2, FALSE)</f>
        <v>ypperlig</v>
      </c>
      <c r="I25" s="68" t="s">
        <v>123</v>
      </c>
      <c r="J25" s="69" t="str">
        <f>VLOOKUP(FLOOR(E25,1), $O$5:$P$24,2, FALSE)</f>
        <v>ypperlig</v>
      </c>
      <c r="L25" s="53" t="s">
        <v>81</v>
      </c>
      <c r="M25" s="53">
        <v>21</v>
      </c>
      <c r="N25" s="53" t="s">
        <v>81</v>
      </c>
      <c r="O25" s="53">
        <v>21</v>
      </c>
      <c r="P25" s="53" t="s">
        <v>81</v>
      </c>
      <c r="T25" s="53">
        <v>21</v>
      </c>
      <c r="U25" s="53" t="s">
        <v>81</v>
      </c>
      <c r="X25" s="53">
        <v>5</v>
      </c>
      <c r="Z25" s="53">
        <v>37</v>
      </c>
      <c r="AA25" s="53">
        <f t="shared" ref="AA25:AA33" si="0">AA24</f>
        <v>8</v>
      </c>
    </row>
    <row r="26" spans="1:28">
      <c r="B26" s="53" t="s">
        <v>125</v>
      </c>
      <c r="C26" s="61">
        <f>C20*$F$14*$F$15*$F$16</f>
        <v>12.36743728854705</v>
      </c>
      <c r="D26" s="58" t="s">
        <v>26</v>
      </c>
      <c r="E26" s="61">
        <f>E20*$F$14*$F$15*$F$16</f>
        <v>14.840924746256459</v>
      </c>
      <c r="G26" s="66" t="s">
        <v>125</v>
      </c>
      <c r="H26" s="67" t="str">
        <f>VLOOKUP(FLOOR(C26,1), $O$5:$P$24,2, FALSE)</f>
        <v>övernaturlig</v>
      </c>
      <c r="I26" s="68" t="s">
        <v>26</v>
      </c>
      <c r="J26" s="69" t="str">
        <f>VLOOKUP(FLOOR(E26,1), $O$5:$P$24,2, FALSE)</f>
        <v>himmelsk</v>
      </c>
      <c r="L26" s="53" t="s">
        <v>82</v>
      </c>
      <c r="M26" s="53">
        <v>22</v>
      </c>
      <c r="N26" s="53" t="s">
        <v>82</v>
      </c>
      <c r="O26" s="53">
        <v>22</v>
      </c>
      <c r="P26" s="53" t="s">
        <v>82</v>
      </c>
      <c r="T26" s="53">
        <v>22</v>
      </c>
      <c r="U26" s="53" t="s">
        <v>82</v>
      </c>
      <c r="X26" s="53">
        <v>5.25</v>
      </c>
      <c r="Z26" s="53">
        <v>38</v>
      </c>
      <c r="AA26" s="53">
        <f t="shared" si="0"/>
        <v>8</v>
      </c>
    </row>
    <row r="27" spans="1:28" ht="13.8" thickBot="1">
      <c r="B27" s="53" t="s">
        <v>126</v>
      </c>
      <c r="C27" s="61">
        <f>C21*$F$14*$F$15*$F$16</f>
        <v>6.183718644273525</v>
      </c>
      <c r="D27" s="58" t="s">
        <v>127</v>
      </c>
      <c r="E27" s="61">
        <f>E21*$F$14*$F$15*$F$16</f>
        <v>7.4204623731282293</v>
      </c>
      <c r="G27" s="70" t="s">
        <v>126</v>
      </c>
      <c r="H27" s="71" t="str">
        <f>VLOOKUP(FLOOR(C27,1), $O$5:$P$24,2, FALSE)</f>
        <v>ypperlig</v>
      </c>
      <c r="I27" s="72" t="s">
        <v>127</v>
      </c>
      <c r="J27" s="73" t="str">
        <f>VLOOKUP(FLOOR(E27,1), $O$5:$P$24,2, FALSE)</f>
        <v>enastående</v>
      </c>
      <c r="L27" s="53" t="s">
        <v>83</v>
      </c>
      <c r="M27" s="53">
        <v>23</v>
      </c>
      <c r="N27" s="53" t="s">
        <v>83</v>
      </c>
      <c r="O27" s="53">
        <v>23</v>
      </c>
      <c r="P27" s="53" t="s">
        <v>83</v>
      </c>
      <c r="T27" s="53">
        <v>23</v>
      </c>
      <c r="U27" s="53" t="s">
        <v>83</v>
      </c>
      <c r="X27" s="53">
        <v>5.5</v>
      </c>
      <c r="Z27" s="53">
        <v>39</v>
      </c>
      <c r="AA27" s="53">
        <f t="shared" si="0"/>
        <v>8</v>
      </c>
    </row>
    <row r="28" spans="1:28">
      <c r="A28" s="57"/>
      <c r="L28" s="53" t="s">
        <v>84</v>
      </c>
      <c r="M28" s="53">
        <v>24</v>
      </c>
      <c r="N28" s="53" t="s">
        <v>84</v>
      </c>
      <c r="O28" s="53">
        <v>24</v>
      </c>
      <c r="P28" s="53" t="s">
        <v>84</v>
      </c>
      <c r="T28" s="53">
        <v>24</v>
      </c>
      <c r="U28" s="53" t="s">
        <v>84</v>
      </c>
      <c r="X28" s="53">
        <v>5.75</v>
      </c>
      <c r="Z28" s="53">
        <v>40</v>
      </c>
      <c r="AA28" s="53">
        <f t="shared" si="0"/>
        <v>8</v>
      </c>
    </row>
    <row r="29" spans="1:28">
      <c r="E29" s="74"/>
      <c r="L29" s="53" t="s">
        <v>85</v>
      </c>
      <c r="M29" s="53">
        <v>25</v>
      </c>
      <c r="N29" s="53" t="s">
        <v>85</v>
      </c>
      <c r="O29" s="53">
        <v>25</v>
      </c>
      <c r="P29" s="53" t="s">
        <v>85</v>
      </c>
      <c r="T29" s="53">
        <v>25</v>
      </c>
      <c r="U29" s="53" t="s">
        <v>85</v>
      </c>
      <c r="X29" s="53">
        <v>6</v>
      </c>
      <c r="Z29" s="53">
        <v>41</v>
      </c>
      <c r="AA29" s="53">
        <f t="shared" si="0"/>
        <v>8</v>
      </c>
    </row>
    <row r="30" spans="1:28">
      <c r="C30" s="74"/>
      <c r="E30" s="74"/>
      <c r="L30" s="53" t="s">
        <v>86</v>
      </c>
      <c r="M30" s="53">
        <v>26</v>
      </c>
      <c r="N30" s="53" t="s">
        <v>86</v>
      </c>
      <c r="O30" s="53">
        <v>26</v>
      </c>
      <c r="P30" s="53" t="s">
        <v>86</v>
      </c>
      <c r="T30" s="53">
        <v>26</v>
      </c>
      <c r="U30" s="53" t="s">
        <v>86</v>
      </c>
      <c r="X30" s="53">
        <v>6.25</v>
      </c>
      <c r="Z30" s="53">
        <v>42</v>
      </c>
      <c r="AA30" s="53">
        <f t="shared" si="0"/>
        <v>8</v>
      </c>
    </row>
    <row r="31" spans="1:28">
      <c r="L31" s="53" t="s">
        <v>87</v>
      </c>
      <c r="M31" s="53">
        <v>27</v>
      </c>
      <c r="N31" s="53" t="s">
        <v>87</v>
      </c>
      <c r="O31" s="53">
        <v>27</v>
      </c>
      <c r="P31" s="53" t="s">
        <v>87</v>
      </c>
      <c r="T31" s="53">
        <v>27</v>
      </c>
      <c r="U31" s="53" t="s">
        <v>87</v>
      </c>
      <c r="X31" s="53">
        <v>6.5</v>
      </c>
      <c r="Z31" s="53">
        <v>43</v>
      </c>
      <c r="AA31" s="53">
        <f t="shared" si="0"/>
        <v>8</v>
      </c>
    </row>
    <row r="32" spans="1:28">
      <c r="C32" s="54"/>
      <c r="E32" s="54"/>
      <c r="L32" s="53" t="s">
        <v>88</v>
      </c>
      <c r="M32" s="53">
        <v>28</v>
      </c>
      <c r="N32" s="53" t="s">
        <v>88</v>
      </c>
      <c r="O32" s="53">
        <v>28</v>
      </c>
      <c r="P32" s="53" t="s">
        <v>88</v>
      </c>
      <c r="T32" s="53">
        <v>28</v>
      </c>
      <c r="U32" s="53" t="s">
        <v>88</v>
      </c>
      <c r="X32" s="53">
        <v>6.75</v>
      </c>
      <c r="Z32" s="53">
        <v>44</v>
      </c>
      <c r="AA32" s="53">
        <f t="shared" si="0"/>
        <v>8</v>
      </c>
    </row>
    <row r="33" spans="12:27">
      <c r="L33" s="53" t="s">
        <v>89</v>
      </c>
      <c r="M33" s="53">
        <v>29</v>
      </c>
      <c r="N33" s="53" t="s">
        <v>89</v>
      </c>
      <c r="O33" s="53">
        <v>29</v>
      </c>
      <c r="P33" s="53" t="s">
        <v>89</v>
      </c>
      <c r="T33" s="53">
        <v>29</v>
      </c>
      <c r="U33" s="53" t="s">
        <v>89</v>
      </c>
      <c r="X33" s="53">
        <v>7</v>
      </c>
      <c r="Z33" s="53">
        <v>45</v>
      </c>
      <c r="AA33" s="53">
        <f t="shared" si="0"/>
        <v>8</v>
      </c>
    </row>
    <row r="34" spans="12:27">
      <c r="L34" s="53" t="s">
        <v>90</v>
      </c>
      <c r="M34" s="53">
        <v>30</v>
      </c>
      <c r="N34" s="53" t="s">
        <v>90</v>
      </c>
      <c r="O34" s="53">
        <v>30</v>
      </c>
      <c r="P34" s="53" t="s">
        <v>90</v>
      </c>
      <c r="T34" s="53">
        <v>30</v>
      </c>
      <c r="U34" s="53" t="s">
        <v>90</v>
      </c>
      <c r="X34" s="53">
        <v>7.25</v>
      </c>
    </row>
    <row r="35" spans="12:27">
      <c r="L35" s="53" t="s">
        <v>91</v>
      </c>
      <c r="M35" s="53">
        <v>31</v>
      </c>
      <c r="N35" s="53" t="s">
        <v>91</v>
      </c>
      <c r="O35" s="53">
        <v>31</v>
      </c>
      <c r="P35" s="53" t="s">
        <v>91</v>
      </c>
      <c r="T35" s="53">
        <v>31</v>
      </c>
      <c r="U35" s="53" t="s">
        <v>91</v>
      </c>
      <c r="X35" s="53">
        <v>7.5</v>
      </c>
    </row>
    <row r="36" spans="12:27">
      <c r="L36" s="53" t="s">
        <v>92</v>
      </c>
      <c r="M36" s="53">
        <v>32</v>
      </c>
      <c r="N36" s="53" t="s">
        <v>92</v>
      </c>
      <c r="O36" s="53">
        <v>32</v>
      </c>
      <c r="P36" s="53" t="s">
        <v>92</v>
      </c>
      <c r="T36" s="53">
        <v>32</v>
      </c>
      <c r="U36" s="53" t="s">
        <v>92</v>
      </c>
      <c r="X36" s="53">
        <v>7.75</v>
      </c>
    </row>
    <row r="37" spans="12:27">
      <c r="L37" s="53" t="s">
        <v>93</v>
      </c>
      <c r="M37" s="53">
        <v>33</v>
      </c>
      <c r="N37" s="53" t="s">
        <v>93</v>
      </c>
      <c r="O37" s="53">
        <v>33</v>
      </c>
      <c r="P37" s="53" t="s">
        <v>93</v>
      </c>
      <c r="T37" s="53">
        <v>33</v>
      </c>
      <c r="U37" s="53" t="s">
        <v>93</v>
      </c>
      <c r="X37" s="53">
        <v>8</v>
      </c>
    </row>
    <row r="38" spans="12:27">
      <c r="L38" s="53" t="s">
        <v>94</v>
      </c>
      <c r="M38" s="53">
        <v>34</v>
      </c>
      <c r="N38" s="53" t="s">
        <v>94</v>
      </c>
      <c r="O38" s="53">
        <v>34</v>
      </c>
      <c r="P38" s="53" t="s">
        <v>94</v>
      </c>
      <c r="T38" s="53">
        <v>34</v>
      </c>
      <c r="U38" s="53" t="s">
        <v>94</v>
      </c>
      <c r="X38" s="53">
        <v>8.25</v>
      </c>
    </row>
    <row r="39" spans="12:27">
      <c r="L39" s="53" t="s">
        <v>95</v>
      </c>
      <c r="M39" s="53">
        <v>35</v>
      </c>
      <c r="N39" s="53" t="s">
        <v>95</v>
      </c>
      <c r="O39" s="53">
        <v>35</v>
      </c>
      <c r="P39" s="53" t="s">
        <v>95</v>
      </c>
      <c r="T39" s="53">
        <v>35</v>
      </c>
      <c r="U39" s="53" t="s">
        <v>95</v>
      </c>
      <c r="X39" s="53">
        <v>8.5</v>
      </c>
    </row>
    <row r="40" spans="12:27">
      <c r="L40" s="53" t="s">
        <v>96</v>
      </c>
      <c r="M40" s="53">
        <v>36</v>
      </c>
      <c r="N40" s="53" t="s">
        <v>96</v>
      </c>
      <c r="O40" s="53">
        <v>36</v>
      </c>
      <c r="P40" s="53" t="s">
        <v>96</v>
      </c>
      <c r="T40" s="53">
        <v>36</v>
      </c>
      <c r="U40" s="53" t="s">
        <v>96</v>
      </c>
      <c r="X40" s="53">
        <v>8.75</v>
      </c>
    </row>
    <row r="41" spans="12:27">
      <c r="L41" s="53" t="s">
        <v>97</v>
      </c>
      <c r="M41" s="53">
        <v>37</v>
      </c>
      <c r="N41" s="53" t="s">
        <v>97</v>
      </c>
      <c r="O41" s="53">
        <v>37</v>
      </c>
      <c r="P41" s="53" t="s">
        <v>97</v>
      </c>
      <c r="T41" s="53">
        <v>37</v>
      </c>
      <c r="U41" s="53" t="s">
        <v>97</v>
      </c>
      <c r="X41" s="53">
        <v>9</v>
      </c>
    </row>
    <row r="42" spans="12:27">
      <c r="L42" s="53" t="s">
        <v>98</v>
      </c>
      <c r="M42" s="53">
        <v>38</v>
      </c>
      <c r="N42" s="53" t="s">
        <v>98</v>
      </c>
      <c r="O42" s="53">
        <v>38</v>
      </c>
      <c r="P42" s="53" t="s">
        <v>98</v>
      </c>
      <c r="T42" s="53">
        <v>38</v>
      </c>
      <c r="U42" s="53" t="s">
        <v>98</v>
      </c>
      <c r="X42" s="53">
        <v>9.25</v>
      </c>
    </row>
    <row r="43" spans="12:27">
      <c r="L43" s="53" t="s">
        <v>99</v>
      </c>
      <c r="M43" s="53">
        <v>39</v>
      </c>
      <c r="N43" s="53" t="s">
        <v>99</v>
      </c>
      <c r="O43" s="53">
        <v>39</v>
      </c>
      <c r="P43" s="53" t="s">
        <v>99</v>
      </c>
      <c r="T43" s="53">
        <v>39</v>
      </c>
      <c r="U43" s="53" t="s">
        <v>99</v>
      </c>
      <c r="X43" s="53">
        <v>9.5</v>
      </c>
    </row>
    <row r="44" spans="12:27">
      <c r="L44" s="53" t="s">
        <v>100</v>
      </c>
      <c r="M44" s="53">
        <v>40</v>
      </c>
      <c r="N44" s="53" t="s">
        <v>100</v>
      </c>
      <c r="O44" s="53">
        <v>40</v>
      </c>
      <c r="P44" s="53" t="s">
        <v>100</v>
      </c>
      <c r="T44" s="53">
        <v>40</v>
      </c>
      <c r="U44" s="53" t="s">
        <v>100</v>
      </c>
      <c r="X44" s="53">
        <v>9.75</v>
      </c>
    </row>
    <row r="45" spans="12:27">
      <c r="X45" s="53">
        <v>10</v>
      </c>
    </row>
    <row r="46" spans="12:27">
      <c r="X46" s="53">
        <v>10.25</v>
      </c>
    </row>
    <row r="47" spans="12:27">
      <c r="X47" s="53">
        <v>10.5</v>
      </c>
    </row>
    <row r="48" spans="12:27">
      <c r="X48" s="53">
        <v>10.75</v>
      </c>
    </row>
    <row r="49" spans="24:24">
      <c r="X49" s="53">
        <v>11</v>
      </c>
    </row>
    <row r="50" spans="24:24">
      <c r="X50" s="53">
        <v>11.25</v>
      </c>
    </row>
    <row r="51" spans="24:24">
      <c r="X51" s="53">
        <v>11.5</v>
      </c>
    </row>
    <row r="52" spans="24:24">
      <c r="X52" s="53">
        <v>11.75</v>
      </c>
    </row>
    <row r="53" spans="24:24">
      <c r="X53" s="53">
        <v>12</v>
      </c>
    </row>
    <row r="54" spans="24:24">
      <c r="X54" s="53">
        <v>12.25</v>
      </c>
    </row>
    <row r="55" spans="24:24">
      <c r="X55" s="53">
        <v>12.5</v>
      </c>
    </row>
    <row r="56" spans="24:24">
      <c r="X56" s="53">
        <v>12.75</v>
      </c>
    </row>
    <row r="57" spans="24:24">
      <c r="X57" s="53">
        <v>13</v>
      </c>
    </row>
    <row r="58" spans="24:24">
      <c r="X58" s="53">
        <v>13.25</v>
      </c>
    </row>
    <row r="59" spans="24:24">
      <c r="X59" s="53">
        <v>13.5</v>
      </c>
    </row>
    <row r="60" spans="24:24">
      <c r="X60" s="53">
        <v>13.75</v>
      </c>
    </row>
    <row r="61" spans="24:24">
      <c r="X61" s="53">
        <v>14</v>
      </c>
    </row>
    <row r="62" spans="24:24">
      <c r="X62" s="53">
        <v>14.25</v>
      </c>
    </row>
    <row r="63" spans="24:24">
      <c r="X63" s="53">
        <v>14.5</v>
      </c>
    </row>
    <row r="64" spans="24:24">
      <c r="X64" s="53">
        <v>14.75</v>
      </c>
    </row>
    <row r="65" spans="24:24">
      <c r="X65" s="53">
        <v>15</v>
      </c>
    </row>
    <row r="66" spans="24:24">
      <c r="X66" s="53">
        <v>15.25</v>
      </c>
    </row>
    <row r="67" spans="24:24">
      <c r="X67" s="53">
        <v>15.5</v>
      </c>
    </row>
    <row r="68" spans="24:24">
      <c r="X68" s="53">
        <v>15.75</v>
      </c>
    </row>
    <row r="69" spans="24:24">
      <c r="X69" s="53">
        <v>16</v>
      </c>
    </row>
    <row r="70" spans="24:24">
      <c r="X70" s="53">
        <v>16.25</v>
      </c>
    </row>
    <row r="71" spans="24:24">
      <c r="X71" s="53">
        <v>16.5</v>
      </c>
    </row>
    <row r="72" spans="24:24">
      <c r="X72" s="53">
        <v>16.75</v>
      </c>
    </row>
    <row r="73" spans="24:24">
      <c r="X73" s="53">
        <v>17</v>
      </c>
    </row>
    <row r="74" spans="24:24">
      <c r="X74" s="53">
        <v>17.25</v>
      </c>
    </row>
    <row r="75" spans="24:24">
      <c r="X75" s="53">
        <v>17.5</v>
      </c>
    </row>
    <row r="76" spans="24:24">
      <c r="X76" s="53">
        <v>17.75</v>
      </c>
    </row>
    <row r="77" spans="24:24">
      <c r="X77" s="53">
        <v>18</v>
      </c>
    </row>
    <row r="78" spans="24:24">
      <c r="X78" s="53">
        <v>18.25</v>
      </c>
    </row>
    <row r="79" spans="24:24">
      <c r="X79" s="53">
        <v>18.5</v>
      </c>
    </row>
    <row r="80" spans="24:24">
      <c r="X80" s="53">
        <v>18.75</v>
      </c>
    </row>
    <row r="81" spans="24:24">
      <c r="X81" s="53">
        <v>19</v>
      </c>
    </row>
    <row r="82" spans="24:24">
      <c r="X82" s="53">
        <v>19.25</v>
      </c>
    </row>
    <row r="83" spans="24:24">
      <c r="X83" s="53">
        <v>19.5</v>
      </c>
    </row>
    <row r="84" spans="24:24">
      <c r="X84" s="53">
        <v>19.75</v>
      </c>
    </row>
    <row r="85" spans="24:24">
      <c r="X85" s="53">
        <v>20</v>
      </c>
    </row>
  </sheetData>
  <hyperlinks>
    <hyperlink ref="C5" r:id="rId1" location="skill" display="http://www99.hattrick.org/Help/Rules/AppDenominations.aspx?lt=skill&amp;ll=8 - skill"/>
    <hyperlink ref="E5" r:id="rId2" location="skill" display="http://www99.hattrick.org/Help/Rules/AppDenominations.aspx?lt=skill&amp;ll=1 - skill"/>
    <hyperlink ref="C6" r:id="rId3" location="skill" display="http://www99.hattrick.org/Help/Rules/AppDenominations.aspx?lt=skill&amp;ll=5 - skill"/>
    <hyperlink ref="E6" r:id="rId4" location="skill" display="http://www99.hattrick.org/Help/Rules/AppDenominations.aspx?lt=skill&amp;ll=5 - skill"/>
    <hyperlink ref="C7" r:id="rId5" location="skill" display="http://www99.hattrick.org/Help/Rules/AppDenominations.aspx?lt=skill&amp;ll=10 - skill"/>
    <hyperlink ref="E7" r:id="rId6" location="skill" display="http://www99.hattrick.org/Help/Rules/AppDenominations.aspx?lt=skill&amp;ll=12 - skill"/>
    <hyperlink ref="C8" r:id="rId7" location="skill" display="http://www99.hattrick.org/Help/Rules/AppDenominations.aspx?lt=skill&amp;ll=5 - skill"/>
    <hyperlink ref="E8" r:id="rId8" location="skill" display="http://www99.hattrick.org/Help/Rules/AppDenominations.aspx?lt=skill&amp;ll=6 - skill"/>
  </hyperlinks>
  <pageMargins left="0.75" right="0.75" top="1" bottom="1" header="0.5" footer="0.5"/>
  <pageSetup paperSize="9" orientation="portrait" r:id="rId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tool (SWE)</vt:lpstr>
      <vt:lpstr>Tables</vt:lpstr>
      <vt:lpstr>Parser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 Skoglund</cp:lastModifiedBy>
  <dcterms:created xsi:type="dcterms:W3CDTF">2012-04-27T12:24:04Z</dcterms:created>
  <dcterms:modified xsi:type="dcterms:W3CDTF">2012-04-27T14:58:10Z</dcterms:modified>
</cp:coreProperties>
</file>