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necesarios" sheetId="1" r:id="rId4"/>
    <sheet state="visible" name="Plantas de Concreto" sheetId="2" r:id="rId5"/>
    <sheet state="visible" name="Capacidad_Cascarilla" sheetId="3" r:id="rId6"/>
    <sheet state="visible" name="Arroceras_Consolidacion" sheetId="4" r:id="rId7"/>
    <sheet state="visible" name="Capacidad_Cementeras" sheetId="5" r:id="rId8"/>
    <sheet state="visible" name="Consolidacion_Concreteras" sheetId="6" r:id="rId9"/>
    <sheet state="visible" name="Cementera_Concretera" sheetId="7" r:id="rId10"/>
    <sheet state="visible" name="Capacidad_Ceniza" sheetId="8" r:id="rId11"/>
    <sheet state="visible" name="Arroceras_Concreteras" sheetId="9" r:id="rId12"/>
    <sheet state="visible" name="Demanda_Concreteras" sheetId="10" r:id="rId13"/>
  </sheets>
  <definedNames/>
  <calcPr/>
  <extLst>
    <ext uri="GoogleSheetsCustomDataVersion1">
      <go:sheetsCustomData xmlns:go="http://customooxmlschemas.google.com/" r:id="rId14" roundtripDataSignature="AMtx7mi/1S8Y49h3iNVA9ub/0VCQ5QqTyQ=="/>
    </ext>
  </extLst>
</workbook>
</file>

<file path=xl/sharedStrings.xml><?xml version="1.0" encoding="utf-8"?>
<sst xmlns="http://schemas.openxmlformats.org/spreadsheetml/2006/main" count="450" uniqueCount="125">
  <si>
    <t>Ubicacion plantas de concreto</t>
  </si>
  <si>
    <t>Daniel</t>
  </si>
  <si>
    <t>Ubicacion de la minas de cemento</t>
  </si>
  <si>
    <t>Johan</t>
  </si>
  <si>
    <t>Candidatos de punto de consolidación</t>
  </si>
  <si>
    <t>Emisiones de CO2 cementeras y concreteras</t>
  </si>
  <si>
    <t>Emisiones de CO2 arroceras y candidatos de consolidacion</t>
  </si>
  <si>
    <t>Emisiones CO2 Candidatos de consolidación y concreteras</t>
  </si>
  <si>
    <t>Emisiones CO2 arroceras y concreteras</t>
  </si>
  <si>
    <t>CO2 por tonelada de cemento</t>
  </si>
  <si>
    <t>Kg CO2/ton</t>
  </si>
  <si>
    <t>CO2 por tonelada de ceniza</t>
  </si>
  <si>
    <t>CO2 por galon de diesel</t>
  </si>
  <si>
    <t>Kg CO2/gal</t>
  </si>
  <si>
    <t>Factor CO2</t>
  </si>
  <si>
    <t>Kg CO2</t>
  </si>
  <si>
    <t>Lista coordenadas</t>
  </si>
  <si>
    <t>Arroceras</t>
  </si>
  <si>
    <t>Referencias</t>
  </si>
  <si>
    <t>Arrocera</t>
  </si>
  <si>
    <t>Coordenadas</t>
  </si>
  <si>
    <t>Cascarilla ton/mes</t>
  </si>
  <si>
    <t>Ceniza ton/mes</t>
  </si>
  <si>
    <t>Ubicación</t>
  </si>
  <si>
    <t>Plantas archivos | Cementos Argos Colombia</t>
  </si>
  <si>
    <t>Valledupar</t>
  </si>
  <si>
    <t>10.342810997499400</t>
  </si>
  <si>
    <t>-73.3521269905242</t>
  </si>
  <si>
    <t>km/gl</t>
  </si>
  <si>
    <t>empresa (mintransporte.gov.co)</t>
  </si>
  <si>
    <t>Yopal</t>
  </si>
  <si>
    <t>5.53758754610531</t>
  </si>
  <si>
    <t>-72.20012689684010</t>
  </si>
  <si>
    <t>CO2 cemento</t>
  </si>
  <si>
    <t>León Vélez, A. E. Determinación de la energía contenida y emisiones de C02 en el proceso de fabricación del cemento.</t>
  </si>
  <si>
    <t>CO2 ceniza</t>
  </si>
  <si>
    <t>Rodríguez Sánchez, A. M., &amp; Tibabuzo Jiménez, M. P. Evaluación de la ceniza de cascarilla de arroz como suplemento al cemento en mezclas de concreto hidráulico.  (https://repository.usta.edu.co/bitstream/handle/11634/15589/2019anyirodr%C3%ADguez,2019mar%C3%ADapaulatibabuzo.pdf?sequence=1)</t>
  </si>
  <si>
    <t>Consolidacion</t>
  </si>
  <si>
    <t>Fusagasuga</t>
  </si>
  <si>
    <t>4.35402</t>
  </si>
  <si>
    <t>-74.356007</t>
  </si>
  <si>
    <t>Horas de trabajo al día</t>
  </si>
  <si>
    <t>Ibague</t>
  </si>
  <si>
    <t>4.443578</t>
  </si>
  <si>
    <t>-75.13064</t>
  </si>
  <si>
    <t>Días de trabajo al mes</t>
  </si>
  <si>
    <t>Tunja</t>
  </si>
  <si>
    <t>5.489153</t>
  </si>
  <si>
    <t>-73.385993</t>
  </si>
  <si>
    <t>Rendimiento Cascarilla</t>
  </si>
  <si>
    <t>5.320096</t>
  </si>
  <si>
    <t>-72.416656</t>
  </si>
  <si>
    <t>Rendimiento Ceniza</t>
  </si>
  <si>
    <t>Concreteras</t>
  </si>
  <si>
    <t>Material</t>
  </si>
  <si>
    <t>Densidad (kg/m3)</t>
  </si>
  <si>
    <t>Ton viaje</t>
  </si>
  <si>
    <t>Referencia</t>
  </si>
  <si>
    <t>Concretera</t>
  </si>
  <si>
    <t>Cemento portland</t>
  </si>
  <si>
    <t>Prada, A., &amp; Cortés, C. E. (2010). La descomposición térmica de la cascarilla de arroz: una alternativa de aprovechamiento integral. Orinoquia, 14(1), 155-170.</t>
  </si>
  <si>
    <t>Barranquilla</t>
  </si>
  <si>
    <t>11.034167</t>
  </si>
  <si>
    <t>-74.815729</t>
  </si>
  <si>
    <t>Cascarilla de arroz</t>
  </si>
  <si>
    <t>Flandes</t>
  </si>
  <si>
    <t>4.256781</t>
  </si>
  <si>
    <t>-74.828503</t>
  </si>
  <si>
    <t>CCA</t>
  </si>
  <si>
    <t>Mattey, P. E., Robayo, R. A., Díaz, J. E., Delvasto, S., &amp; Monzó, J. (2015). Aplicación de ceniza de cascarilla de arroz obtenida de un proceso agro-industrial para la fabricación de bloques en concreto no estructurales. Revista latinoamericana de metalurgia y materiales, 35(2), 285-294.</t>
  </si>
  <si>
    <t>4.345146</t>
  </si>
  <si>
    <t>-74.378888</t>
  </si>
  <si>
    <t>Pto_Tejada</t>
  </si>
  <si>
    <t>3.277581</t>
  </si>
  <si>
    <t>-76.468715</t>
  </si>
  <si>
    <t>Plantas cemento</t>
  </si>
  <si>
    <t>C3S3 con carga</t>
  </si>
  <si>
    <t>Tipos de Vehículos - En TCC somos expertos en logística</t>
  </si>
  <si>
    <t>Cementera</t>
  </si>
  <si>
    <t>Carga</t>
  </si>
  <si>
    <t>Rioclaro</t>
  </si>
  <si>
    <t>Yumbo</t>
  </si>
  <si>
    <t>Tolú viejo</t>
  </si>
  <si>
    <t>Cartagena</t>
  </si>
  <si>
    <t>Sogamoso</t>
  </si>
  <si>
    <t>Montebello</t>
  </si>
  <si>
    <t>Nare</t>
  </si>
  <si>
    <t>arrocera-consolidacion</t>
  </si>
  <si>
    <t>ondulada</t>
  </si>
  <si>
    <t>coordenadas</t>
  </si>
  <si>
    <t>Punto_consolidacion</t>
  </si>
  <si>
    <t>KM</t>
  </si>
  <si>
    <t>km/gln</t>
  </si>
  <si>
    <t>FC(gln)</t>
  </si>
  <si>
    <t>Emisiones</t>
  </si>
  <si>
    <t>consolidacion-concretera</t>
  </si>
  <si>
    <t>cementera -concretera</t>
  </si>
  <si>
    <t>Arrocera - Concretera</t>
  </si>
  <si>
    <t>planta</t>
  </si>
  <si>
    <t>municipio</t>
  </si>
  <si>
    <t>departamento</t>
  </si>
  <si>
    <t>Capacidad m3</t>
  </si>
  <si>
    <t>Direccion</t>
  </si>
  <si>
    <t>Longitud</t>
  </si>
  <si>
    <t>Latidud</t>
  </si>
  <si>
    <t>Atlántico</t>
  </si>
  <si>
    <t>Bello</t>
  </si>
  <si>
    <t>Antioquia</t>
  </si>
  <si>
    <t>Tolima</t>
  </si>
  <si>
    <t>Fusagasugá</t>
  </si>
  <si>
    <t>Cundinamarca</t>
  </si>
  <si>
    <t>Guayabal</t>
  </si>
  <si>
    <t>Medellín</t>
  </si>
  <si>
    <r>
      <rPr>
        <rFont val="Arial"/>
        <b/>
        <color rgb="FF202124"/>
        <sz val="11.0"/>
      </rPr>
      <t> </t>
    </r>
    <r>
      <rPr>
        <rFont val="Arial"/>
        <b val="0"/>
        <color rgb="FF202124"/>
        <sz val="11.0"/>
      </rPr>
      <t>Cra. 50 #285</t>
    </r>
  </si>
  <si>
    <t>Neiva</t>
  </si>
  <si>
    <t>Huila</t>
  </si>
  <si>
    <t>Pto Tejada</t>
  </si>
  <si>
    <t>Cauca</t>
  </si>
  <si>
    <t>Puente Aranda</t>
  </si>
  <si>
    <t>Bogotá</t>
  </si>
  <si>
    <t>Boyacá</t>
  </si>
  <si>
    <t>Cascarilla</t>
  </si>
  <si>
    <t>Capacidad</t>
  </si>
  <si>
    <t>Ceniza</t>
  </si>
  <si>
    <t>Demanda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</si>
</sst>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0.0"/>
      <color rgb="FF333333"/>
      <name val="Open Sans"/>
    </font>
    <font>
      <sz val="11.0"/>
      <color rgb="FF444444"/>
      <name val="Calibri"/>
    </font>
    <font>
      <b/>
      <sz val="11.0"/>
      <color theme="1"/>
      <name val="Calibri"/>
    </font>
    <font/>
    <font>
      <u/>
      <sz val="11.0"/>
      <color theme="10"/>
    </font>
    <font>
      <sz val="11.0"/>
      <color rgb="FF000000"/>
      <name val="Calibri"/>
    </font>
    <font>
      <sz val="10.0"/>
      <color rgb="FF222222"/>
      <name val="Arial"/>
    </font>
    <font>
      <b/>
    </font>
    <font>
      <color rgb="FF222222"/>
      <name val="Arial"/>
    </font>
    <font>
      <u/>
      <color rgb="FF0000FF"/>
    </font>
    <font>
      <b/>
      <sz val="11.0"/>
      <color rgb="FF202124"/>
      <name val="Arial"/>
    </font>
    <font>
      <b/>
      <sz val="11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left" vertical="center"/>
    </xf>
    <xf borderId="2" fillId="2" fontId="5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0" fillId="0" fontId="5" numFmtId="0" xfId="0" applyFont="1"/>
    <xf borderId="0" fillId="0" fontId="7" numFmtId="0" xfId="0" applyAlignment="1" applyFont="1">
      <alignment horizontal="left" shrinkToFit="0" wrapText="1"/>
    </xf>
    <xf borderId="0" fillId="0" fontId="1" numFmtId="49" xfId="0" applyFont="1" applyNumberFormat="1"/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center" shrinkToFit="0" wrapText="1"/>
    </xf>
    <xf borderId="0" fillId="0" fontId="1" numFmtId="9" xfId="0" applyFont="1" applyNumberFormat="1"/>
    <xf borderId="0" fillId="0" fontId="10" numFmtId="0" xfId="0" applyAlignment="1" applyFont="1">
      <alignment readingOrder="0"/>
    </xf>
    <xf borderId="0" fillId="0" fontId="5" numFmtId="49" xfId="0" applyFont="1" applyNumberFormat="1"/>
    <xf borderId="0" fillId="0" fontId="2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0" fontId="1" numFmtId="0" xfId="0" applyFont="1"/>
    <xf borderId="0" fillId="0" fontId="8" numFmtId="49" xfId="0" applyFont="1" applyNumberFormat="1"/>
    <xf borderId="0" fillId="0" fontId="8" numFmtId="49" xfId="0" applyAlignment="1" applyFont="1" applyNumberFormat="1">
      <alignment shrinkToFit="0" wrapText="1"/>
    </xf>
    <xf borderId="0" fillId="0" fontId="6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4" numFmtId="3" xfId="0" applyAlignment="1" applyFont="1" applyNumberFormat="1">
      <alignment shrinkToFit="0" wrapText="1"/>
    </xf>
    <xf borderId="0" fillId="0" fontId="1" numFmtId="3" xfId="0" applyFont="1" applyNumberFormat="1"/>
    <xf borderId="1" fillId="4" fontId="1" numFmtId="0" xfId="0" applyBorder="1" applyFill="1" applyFont="1"/>
    <xf borderId="0" fillId="0" fontId="2" numFmtId="49" xfId="0" applyFont="1" applyNumberFormat="1"/>
    <xf borderId="0" fillId="0" fontId="4" numFmtId="4" xfId="0" applyAlignment="1" applyFont="1" applyNumberFormat="1">
      <alignment shrinkToFit="0" wrapText="1"/>
    </xf>
    <xf borderId="1" fillId="4" fontId="8" numFmtId="49" xfId="0" applyBorder="1" applyFont="1" applyNumberFormat="1"/>
    <xf borderId="1" fillId="4" fontId="8" numFmtId="49" xfId="0" applyAlignment="1" applyBorder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lombia.argos.co/categoria/plantas/" TargetMode="External"/><Relationship Id="rId2" Type="http://schemas.openxmlformats.org/officeDocument/2006/relationships/hyperlink" Target="https://plc.mintransporte.gov.co/Runtime/empresa/ctl/SiceTAC/mid/417" TargetMode="External"/><Relationship Id="rId3" Type="http://schemas.openxmlformats.org/officeDocument/2006/relationships/hyperlink" Target="https://www.tcc.com.co/transporte/carga-masiva-tipos-de-vehiculos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0.38"/>
    <col customWidth="1" min="3" max="3" width="18.38"/>
    <col customWidth="1" min="4" max="4" width="21.0"/>
    <col customWidth="1" min="5" max="5" width="16.88"/>
    <col customWidth="1" min="6" max="6" width="17.75"/>
    <col customWidth="1" min="7" max="7" width="12.13"/>
    <col customWidth="1" min="8" max="26" width="7.75"/>
  </cols>
  <sheetData>
    <row r="1" ht="14.25" customHeight="1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2</v>
      </c>
      <c r="G2" s="2" t="s">
        <v>3</v>
      </c>
    </row>
    <row r="3" ht="14.25" customHeight="1">
      <c r="A3" s="1" t="s">
        <v>4</v>
      </c>
      <c r="B3" s="1"/>
      <c r="C3" s="1"/>
      <c r="D3" s="1"/>
      <c r="E3" s="1"/>
      <c r="F3" s="1"/>
      <c r="G3" s="1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 t="s">
        <v>5</v>
      </c>
      <c r="G4" s="2" t="s">
        <v>3</v>
      </c>
    </row>
    <row r="5" ht="14.25" customHeight="1">
      <c r="A5" s="1" t="s">
        <v>6</v>
      </c>
      <c r="B5" s="1"/>
      <c r="C5" s="1"/>
      <c r="D5" s="1"/>
      <c r="E5" s="1"/>
      <c r="F5" s="1"/>
      <c r="G5" s="1" t="s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7</v>
      </c>
      <c r="B6" s="1"/>
      <c r="C6" s="1"/>
      <c r="D6" s="1"/>
      <c r="E6" s="1"/>
      <c r="F6" s="1"/>
      <c r="G6" s="1" t="s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" t="s">
        <v>8</v>
      </c>
      <c r="G7" s="2" t="s">
        <v>3</v>
      </c>
    </row>
    <row r="8" ht="14.25" customHeight="1">
      <c r="A8" s="2" t="s">
        <v>9</v>
      </c>
      <c r="C8" s="3">
        <v>510.54</v>
      </c>
      <c r="D8" s="4" t="s">
        <v>10</v>
      </c>
      <c r="G8" s="5" t="s">
        <v>3</v>
      </c>
    </row>
    <row r="9" ht="14.25" customHeight="1">
      <c r="A9" s="2" t="s">
        <v>11</v>
      </c>
    </row>
    <row r="10" ht="14.25" customHeight="1">
      <c r="A10" s="2" t="s">
        <v>12</v>
      </c>
      <c r="C10" s="2">
        <v>2.61</v>
      </c>
      <c r="D10" s="4" t="s">
        <v>13</v>
      </c>
    </row>
    <row r="11" ht="14.25" customHeight="1">
      <c r="A11" s="2" t="s">
        <v>14</v>
      </c>
      <c r="B11" s="2">
        <v>10.149</v>
      </c>
      <c r="C11" s="2" t="s">
        <v>15</v>
      </c>
    </row>
    <row r="12" ht="14.25" customHeight="1">
      <c r="A12" s="6" t="s">
        <v>16</v>
      </c>
      <c r="B12" s="7"/>
      <c r="C12" s="7"/>
      <c r="D12" s="8"/>
    </row>
    <row r="13" ht="14.25" customHeight="1">
      <c r="A13" s="2" t="s">
        <v>17</v>
      </c>
      <c r="G13" s="9" t="s">
        <v>18</v>
      </c>
    </row>
    <row r="14" ht="16.5" customHeight="1">
      <c r="A14" s="9" t="s">
        <v>19</v>
      </c>
      <c r="B14" s="9" t="s">
        <v>20</v>
      </c>
      <c r="D14" s="9" t="s">
        <v>21</v>
      </c>
      <c r="E14" s="9" t="s">
        <v>22</v>
      </c>
      <c r="F14" s="2" t="s">
        <v>23</v>
      </c>
      <c r="G14" s="10" t="s">
        <v>24</v>
      </c>
    </row>
    <row r="15" ht="14.25" customHeight="1">
      <c r="A15" s="2" t="s">
        <v>25</v>
      </c>
      <c r="B15" s="11" t="s">
        <v>26</v>
      </c>
      <c r="C15" s="11" t="s">
        <v>27</v>
      </c>
      <c r="D15" s="2">
        <f>$G$20*$G$21*10*$G$22</f>
        <v>960</v>
      </c>
      <c r="E15" s="2">
        <f t="shared" ref="E15:E16" si="1">D15*$G$23</f>
        <v>192</v>
      </c>
      <c r="F15" s="2" t="s">
        <v>28</v>
      </c>
      <c r="G15" s="10" t="s">
        <v>29</v>
      </c>
    </row>
    <row r="16" ht="14.25" customHeight="1">
      <c r="A16" s="2" t="s">
        <v>30</v>
      </c>
      <c r="B16" s="11" t="s">
        <v>31</v>
      </c>
      <c r="C16" s="11" t="s">
        <v>32</v>
      </c>
      <c r="D16" s="2">
        <f>$G$20*$G$21*12*$G$22</f>
        <v>1152</v>
      </c>
      <c r="E16" s="2">
        <f t="shared" si="1"/>
        <v>230.4</v>
      </c>
      <c r="F16" s="2" t="s">
        <v>33</v>
      </c>
      <c r="G16" s="12" t="s">
        <v>34</v>
      </c>
    </row>
    <row r="17" ht="40.5" customHeight="1">
      <c r="F17" s="2" t="s">
        <v>35</v>
      </c>
      <c r="G17" s="13" t="s">
        <v>36</v>
      </c>
    </row>
    <row r="18" ht="14.25" customHeight="1">
      <c r="A18" s="2" t="s">
        <v>4</v>
      </c>
    </row>
    <row r="19" ht="14.25" customHeight="1">
      <c r="A19" s="9" t="s">
        <v>37</v>
      </c>
      <c r="B19" s="9" t="s">
        <v>20</v>
      </c>
    </row>
    <row r="20" ht="14.25" customHeight="1">
      <c r="A20" s="2" t="s">
        <v>38</v>
      </c>
      <c r="B20" s="11" t="s">
        <v>39</v>
      </c>
      <c r="C20" s="11" t="s">
        <v>40</v>
      </c>
      <c r="F20" s="9" t="s">
        <v>41</v>
      </c>
      <c r="G20" s="2">
        <v>16.0</v>
      </c>
    </row>
    <row r="21" ht="14.25" customHeight="1">
      <c r="A21" s="2" t="s">
        <v>42</v>
      </c>
      <c r="B21" s="11" t="s">
        <v>43</v>
      </c>
      <c r="C21" s="11" t="s">
        <v>44</v>
      </c>
      <c r="F21" s="9" t="s">
        <v>45</v>
      </c>
      <c r="G21" s="2">
        <v>30.0</v>
      </c>
    </row>
    <row r="22" ht="14.25" customHeight="1">
      <c r="A22" s="2" t="s">
        <v>46</v>
      </c>
      <c r="B22" s="11" t="s">
        <v>47</v>
      </c>
      <c r="C22" s="11" t="s">
        <v>48</v>
      </c>
      <c r="F22" s="9" t="s">
        <v>49</v>
      </c>
      <c r="G22" s="14">
        <v>0.2</v>
      </c>
    </row>
    <row r="23" ht="14.25" customHeight="1">
      <c r="A23" s="2" t="s">
        <v>30</v>
      </c>
      <c r="B23" s="11" t="s">
        <v>50</v>
      </c>
      <c r="C23" s="11" t="s">
        <v>51</v>
      </c>
      <c r="F23" s="9" t="s">
        <v>52</v>
      </c>
      <c r="G23" s="14">
        <v>0.2</v>
      </c>
    </row>
    <row r="24" ht="14.25" customHeight="1"/>
    <row r="25" ht="14.25" customHeight="1">
      <c r="A25" s="2" t="s">
        <v>53</v>
      </c>
      <c r="B25" s="11"/>
      <c r="C25" s="11"/>
      <c r="F25" s="15" t="s">
        <v>54</v>
      </c>
      <c r="G25" s="15" t="s">
        <v>55</v>
      </c>
      <c r="H25" s="15" t="s">
        <v>56</v>
      </c>
      <c r="I25" s="15" t="s">
        <v>57</v>
      </c>
    </row>
    <row r="26" ht="14.25" customHeight="1">
      <c r="A26" s="9" t="s">
        <v>58</v>
      </c>
      <c r="B26" s="16" t="s">
        <v>20</v>
      </c>
      <c r="C26" s="11"/>
      <c r="F26" s="17" t="s">
        <v>59</v>
      </c>
      <c r="G26" s="17">
        <v>2800.0</v>
      </c>
      <c r="H26" s="17">
        <f t="shared" ref="H26:H28" si="2">MIN(35,110*G26/1000)</f>
        <v>35</v>
      </c>
      <c r="I26" s="18" t="s">
        <v>60</v>
      </c>
    </row>
    <row r="27" ht="14.25" customHeight="1">
      <c r="A27" s="19" t="s">
        <v>61</v>
      </c>
      <c r="B27" s="20" t="s">
        <v>62</v>
      </c>
      <c r="C27" s="20" t="s">
        <v>63</v>
      </c>
      <c r="F27" s="17" t="s">
        <v>64</v>
      </c>
      <c r="G27" s="17">
        <v>125.0</v>
      </c>
      <c r="H27" s="17">
        <f t="shared" si="2"/>
        <v>13.75</v>
      </c>
      <c r="I27" s="18" t="s">
        <v>60</v>
      </c>
    </row>
    <row r="28" ht="14.25" customHeight="1">
      <c r="A28" s="19" t="s">
        <v>65</v>
      </c>
      <c r="B28" s="21" t="s">
        <v>66</v>
      </c>
      <c r="C28" s="21" t="s">
        <v>67</v>
      </c>
      <c r="F28" s="17" t="s">
        <v>68</v>
      </c>
      <c r="G28" s="17">
        <v>2150.0</v>
      </c>
      <c r="H28" s="17">
        <f t="shared" si="2"/>
        <v>35</v>
      </c>
      <c r="I28" s="18" t="s">
        <v>69</v>
      </c>
    </row>
    <row r="29" ht="14.25" customHeight="1">
      <c r="A29" s="19" t="s">
        <v>38</v>
      </c>
      <c r="B29" s="21" t="s">
        <v>70</v>
      </c>
      <c r="C29" s="21" t="s">
        <v>71</v>
      </c>
    </row>
    <row r="30" ht="14.25" customHeight="1">
      <c r="A30" s="19" t="s">
        <v>72</v>
      </c>
      <c r="B30" s="21" t="s">
        <v>73</v>
      </c>
      <c r="C30" s="21" t="s">
        <v>74</v>
      </c>
    </row>
    <row r="31" ht="14.25" customHeight="1">
      <c r="F31" s="15"/>
      <c r="G31" s="15" t="s">
        <v>57</v>
      </c>
    </row>
    <row r="32" ht="14.25" customHeight="1">
      <c r="A32" s="2" t="s">
        <v>75</v>
      </c>
      <c r="E32" s="15" t="s">
        <v>76</v>
      </c>
      <c r="F32" s="22">
        <v>52.0</v>
      </c>
      <c r="G32" s="23" t="s">
        <v>77</v>
      </c>
    </row>
    <row r="33" ht="14.25" customHeight="1">
      <c r="A33" s="9" t="s">
        <v>78</v>
      </c>
      <c r="B33" s="9" t="s">
        <v>20</v>
      </c>
      <c r="D33" s="9"/>
      <c r="E33" s="15" t="s">
        <v>79</v>
      </c>
      <c r="F33" s="22">
        <v>35.0</v>
      </c>
    </row>
    <row r="34" ht="14.25" customHeight="1">
      <c r="A34" s="2" t="s">
        <v>80</v>
      </c>
      <c r="B34" s="24">
        <v>5857933.0</v>
      </c>
      <c r="C34" s="24">
        <v>-7.4850415E7</v>
      </c>
    </row>
    <row r="35" ht="14.25" customHeight="1">
      <c r="A35" s="2" t="s">
        <v>81</v>
      </c>
      <c r="B35" s="25">
        <v>3833995.0</v>
      </c>
      <c r="C35" s="24">
        <v>-7.6785016E7</v>
      </c>
    </row>
    <row r="36" ht="14.25" customHeight="1">
      <c r="A36" s="2" t="s">
        <v>82</v>
      </c>
      <c r="B36" s="25">
        <v>9471790.0</v>
      </c>
      <c r="C36" s="24">
        <v>-7.5467855E7</v>
      </c>
    </row>
    <row r="37" ht="14.25" customHeight="1">
      <c r="A37" s="2" t="s">
        <v>83</v>
      </c>
      <c r="B37" s="25">
        <v>1.03454E7</v>
      </c>
      <c r="C37" s="24">
        <v>-7.5497621E7</v>
      </c>
    </row>
    <row r="38" ht="14.25" customHeight="1">
      <c r="A38" s="2" t="s">
        <v>84</v>
      </c>
      <c r="B38" s="25">
        <v>5758146.0</v>
      </c>
      <c r="C38" s="24">
        <v>-7.2891331E7</v>
      </c>
    </row>
    <row r="39" ht="14.25" customHeight="1">
      <c r="A39" s="2" t="s">
        <v>85</v>
      </c>
      <c r="B39" s="25">
        <v>5917507.0</v>
      </c>
      <c r="C39" s="24">
        <v>-7.5541335E7</v>
      </c>
    </row>
    <row r="40" ht="14.25" customHeight="1">
      <c r="A40" s="2" t="s">
        <v>86</v>
      </c>
      <c r="B40" s="25">
        <v>6220503.0</v>
      </c>
      <c r="C40" s="24">
        <v>-7.4573242E7</v>
      </c>
    </row>
    <row r="41" ht="14.25" customHeight="1"/>
    <row r="42" ht="14.25" customHeight="1">
      <c r="A42" s="2" t="s">
        <v>87</v>
      </c>
      <c r="H42" s="26" t="s">
        <v>88</v>
      </c>
    </row>
    <row r="43" ht="14.25" customHeight="1">
      <c r="A43" s="9" t="s">
        <v>19</v>
      </c>
      <c r="B43" s="9" t="s">
        <v>89</v>
      </c>
      <c r="D43" s="9" t="s">
        <v>90</v>
      </c>
      <c r="G43" s="9" t="s">
        <v>91</v>
      </c>
      <c r="H43" s="9" t="s">
        <v>92</v>
      </c>
      <c r="I43" s="9" t="s">
        <v>93</v>
      </c>
      <c r="J43" s="9"/>
      <c r="K43" s="9" t="s">
        <v>94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2" t="s">
        <v>25</v>
      </c>
      <c r="B44" s="27" t="str">
        <f t="shared" ref="B44:B51" si="3">VLOOKUP(A44,$A$15:$C$16,2,1)</f>
        <v>10.342810997499400</v>
      </c>
      <c r="C44" s="27" t="str">
        <f t="shared" ref="C44:C51" si="4">VLOOKUP(A44,$A$15:$C$16,3,1)</f>
        <v>-73.3521269905242</v>
      </c>
      <c r="D44" s="2" t="s">
        <v>38</v>
      </c>
      <c r="E44" s="27" t="str">
        <f t="shared" ref="E44:E51" si="5">VLOOKUP(D44,$A$20:$C$23,2,1)</f>
        <v>4.35402</v>
      </c>
      <c r="F44" s="27" t="str">
        <f t="shared" ref="F44:F51" si="6">VLOOKUP(D44,$A$20:$C$23,3,1)</f>
        <v>-74.356007</v>
      </c>
      <c r="G44" s="2">
        <v>935.0</v>
      </c>
      <c r="H44" s="2">
        <v>5.04</v>
      </c>
      <c r="I44" s="2">
        <f t="shared" ref="I44:I51" si="7">G44/H44</f>
        <v>185.515873</v>
      </c>
      <c r="J44" s="2">
        <f t="shared" ref="J44:J51" si="8">I44/$H$27*($H$27+$F$32-$F$33)/$F$32</f>
        <v>7.978479853</v>
      </c>
      <c r="K44" s="2">
        <f t="shared" ref="K44:K51" si="9">J44*$B$11</f>
        <v>80.97359203</v>
      </c>
    </row>
    <row r="45" ht="14.25" customHeight="1">
      <c r="A45" s="2" t="s">
        <v>25</v>
      </c>
      <c r="B45" s="27" t="str">
        <f t="shared" si="3"/>
        <v>10.342810997499400</v>
      </c>
      <c r="C45" s="27" t="str">
        <f t="shared" si="4"/>
        <v>-73.3521269905242</v>
      </c>
      <c r="D45" s="2" t="s">
        <v>42</v>
      </c>
      <c r="E45" s="27" t="str">
        <f t="shared" si="5"/>
        <v>4.443578</v>
      </c>
      <c r="F45" s="27" t="str">
        <f t="shared" si="6"/>
        <v>-75.13064</v>
      </c>
      <c r="G45" s="2">
        <v>853.0</v>
      </c>
      <c r="H45" s="2">
        <f t="shared" ref="H45:H51" si="10">H44</f>
        <v>5.04</v>
      </c>
      <c r="I45" s="2">
        <f t="shared" si="7"/>
        <v>169.2460317</v>
      </c>
      <c r="J45" s="2">
        <f t="shared" si="8"/>
        <v>7.278762904</v>
      </c>
      <c r="K45" s="2">
        <f t="shared" si="9"/>
        <v>73.87216471</v>
      </c>
    </row>
    <row r="46" ht="14.25" customHeight="1">
      <c r="A46" s="2" t="s">
        <v>25</v>
      </c>
      <c r="B46" s="27" t="str">
        <f t="shared" si="3"/>
        <v>10.342810997499400</v>
      </c>
      <c r="C46" s="27" t="str">
        <f t="shared" si="4"/>
        <v>-73.3521269905242</v>
      </c>
      <c r="D46" s="2" t="s">
        <v>46</v>
      </c>
      <c r="E46" s="27" t="str">
        <f t="shared" si="5"/>
        <v>5.489153</v>
      </c>
      <c r="F46" s="27" t="str">
        <f t="shared" si="6"/>
        <v>-73.385993</v>
      </c>
      <c r="G46" s="2">
        <v>737.0</v>
      </c>
      <c r="H46" s="2">
        <f t="shared" si="10"/>
        <v>5.04</v>
      </c>
      <c r="I46" s="2">
        <f t="shared" si="7"/>
        <v>146.2301587</v>
      </c>
      <c r="J46" s="2">
        <f t="shared" si="8"/>
        <v>6.288919414</v>
      </c>
      <c r="K46" s="2">
        <f t="shared" si="9"/>
        <v>63.82624313</v>
      </c>
    </row>
    <row r="47" ht="14.25" customHeight="1">
      <c r="A47" s="2" t="s">
        <v>25</v>
      </c>
      <c r="B47" s="27" t="str">
        <f t="shared" si="3"/>
        <v>10.342810997499400</v>
      </c>
      <c r="C47" s="27" t="str">
        <f t="shared" si="4"/>
        <v>-73.3521269905242</v>
      </c>
      <c r="D47" s="2" t="s">
        <v>30</v>
      </c>
      <c r="E47" s="27" t="str">
        <f t="shared" si="5"/>
        <v>5.320096</v>
      </c>
      <c r="F47" s="27" t="str">
        <f t="shared" si="6"/>
        <v>-72.416656</v>
      </c>
      <c r="G47" s="2">
        <v>930.0</v>
      </c>
      <c r="H47" s="2">
        <f t="shared" si="10"/>
        <v>5.04</v>
      </c>
      <c r="I47" s="2">
        <f t="shared" si="7"/>
        <v>184.5238095</v>
      </c>
      <c r="J47" s="2">
        <f t="shared" si="8"/>
        <v>7.935814186</v>
      </c>
      <c r="K47" s="2">
        <f t="shared" si="9"/>
        <v>80.54057817</v>
      </c>
    </row>
    <row r="48" ht="14.25" customHeight="1">
      <c r="A48" s="2" t="s">
        <v>30</v>
      </c>
      <c r="B48" s="27" t="str">
        <f t="shared" si="3"/>
        <v>5.53758754610531</v>
      </c>
      <c r="C48" s="27" t="str">
        <f t="shared" si="4"/>
        <v>-72.20012689684010</v>
      </c>
      <c r="D48" s="2" t="s">
        <v>38</v>
      </c>
      <c r="E48" s="27" t="str">
        <f t="shared" si="5"/>
        <v>4.35402</v>
      </c>
      <c r="F48" s="27" t="str">
        <f t="shared" si="6"/>
        <v>-74.356007</v>
      </c>
      <c r="G48" s="2">
        <v>446.0</v>
      </c>
      <c r="H48" s="2">
        <f t="shared" si="10"/>
        <v>5.04</v>
      </c>
      <c r="I48" s="2">
        <f t="shared" si="7"/>
        <v>88.49206349</v>
      </c>
      <c r="J48" s="2">
        <f t="shared" si="8"/>
        <v>3.805777556</v>
      </c>
      <c r="K48" s="2">
        <f t="shared" si="9"/>
        <v>38.62483641</v>
      </c>
    </row>
    <row r="49" ht="14.25" customHeight="1">
      <c r="A49" s="2" t="s">
        <v>30</v>
      </c>
      <c r="B49" s="27" t="str">
        <f t="shared" si="3"/>
        <v>5.53758754610531</v>
      </c>
      <c r="C49" s="27" t="str">
        <f t="shared" si="4"/>
        <v>-72.20012689684010</v>
      </c>
      <c r="D49" s="2" t="s">
        <v>42</v>
      </c>
      <c r="E49" s="27" t="str">
        <f t="shared" si="5"/>
        <v>4.443578</v>
      </c>
      <c r="F49" s="27" t="str">
        <f t="shared" si="6"/>
        <v>-75.13064</v>
      </c>
      <c r="G49" s="2">
        <v>592.0</v>
      </c>
      <c r="H49" s="2">
        <f t="shared" si="10"/>
        <v>5.04</v>
      </c>
      <c r="I49" s="2">
        <f t="shared" si="7"/>
        <v>117.4603175</v>
      </c>
      <c r="J49" s="2">
        <f t="shared" si="8"/>
        <v>5.051615052</v>
      </c>
      <c r="K49" s="2">
        <f t="shared" si="9"/>
        <v>51.26884116</v>
      </c>
    </row>
    <row r="50" ht="14.25" customHeight="1">
      <c r="A50" s="2" t="s">
        <v>30</v>
      </c>
      <c r="B50" s="27" t="str">
        <f t="shared" si="3"/>
        <v>5.53758754610531</v>
      </c>
      <c r="C50" s="27" t="str">
        <f t="shared" si="4"/>
        <v>-72.20012689684010</v>
      </c>
      <c r="D50" s="2" t="s">
        <v>46</v>
      </c>
      <c r="E50" s="27" t="str">
        <f t="shared" si="5"/>
        <v>5.489153</v>
      </c>
      <c r="F50" s="27" t="str">
        <f t="shared" si="6"/>
        <v>-73.385993</v>
      </c>
      <c r="G50" s="2">
        <v>247.0</v>
      </c>
      <c r="H50" s="2">
        <f t="shared" si="10"/>
        <v>5.04</v>
      </c>
      <c r="I50" s="2">
        <f t="shared" si="7"/>
        <v>49.00793651</v>
      </c>
      <c r="J50" s="2">
        <f t="shared" si="8"/>
        <v>2.107683983</v>
      </c>
      <c r="K50" s="2">
        <f t="shared" si="9"/>
        <v>21.39088474</v>
      </c>
    </row>
    <row r="51" ht="14.25" customHeight="1">
      <c r="A51" s="2" t="s">
        <v>30</v>
      </c>
      <c r="B51" s="27" t="str">
        <f t="shared" si="3"/>
        <v>5.53758754610531</v>
      </c>
      <c r="C51" s="27" t="str">
        <f t="shared" si="4"/>
        <v>-72.20012689684010</v>
      </c>
      <c r="D51" s="2" t="s">
        <v>30</v>
      </c>
      <c r="E51" s="27" t="str">
        <f t="shared" si="5"/>
        <v>5.320096</v>
      </c>
      <c r="F51" s="27" t="str">
        <f t="shared" si="6"/>
        <v>-72.416656</v>
      </c>
      <c r="G51" s="2">
        <v>40.0</v>
      </c>
      <c r="H51" s="2">
        <f t="shared" si="10"/>
        <v>5.04</v>
      </c>
      <c r="I51" s="2">
        <f t="shared" si="7"/>
        <v>7.936507937</v>
      </c>
      <c r="J51" s="2">
        <f t="shared" si="8"/>
        <v>0.3413253413</v>
      </c>
      <c r="K51" s="2">
        <f t="shared" si="9"/>
        <v>3.464110889</v>
      </c>
    </row>
    <row r="52" ht="14.25" customHeight="1"/>
    <row r="53" ht="14.25" customHeight="1"/>
    <row r="54" ht="14.25" customHeight="1">
      <c r="A54" s="2" t="s">
        <v>95</v>
      </c>
      <c r="H54" s="26" t="s">
        <v>88</v>
      </c>
    </row>
    <row r="55" ht="14.25" customHeight="1">
      <c r="A55" s="9" t="s">
        <v>37</v>
      </c>
      <c r="B55" s="9"/>
      <c r="C55" s="9"/>
      <c r="D55" s="9" t="s">
        <v>58</v>
      </c>
      <c r="E55" s="9"/>
      <c r="F55" s="9"/>
      <c r="G55" s="9" t="s">
        <v>91</v>
      </c>
      <c r="H55" s="9" t="s">
        <v>92</v>
      </c>
      <c r="I55" s="9" t="s">
        <v>93</v>
      </c>
      <c r="J55" s="9"/>
      <c r="K55" s="9" t="s">
        <v>94</v>
      </c>
    </row>
    <row r="56" ht="14.25" customHeight="1">
      <c r="A56" s="2" t="s">
        <v>38</v>
      </c>
      <c r="B56" s="27" t="str">
        <f t="shared" ref="B56:B71" si="11">VLOOKUP(A56,$A$20:$C$23,2,1)</f>
        <v>4.35402</v>
      </c>
      <c r="C56" s="27" t="str">
        <f t="shared" ref="C56:C71" si="12">VLOOKUP(A56,$A$20:$C$23,3,1)</f>
        <v>-74.356007</v>
      </c>
      <c r="D56" s="2" t="s">
        <v>61</v>
      </c>
      <c r="E56" s="27" t="str">
        <f t="shared" ref="E56:E71" si="13">VLOOKUP(D56,$A$27:$C$30,2,1)</f>
        <v>11.034167</v>
      </c>
      <c r="F56" s="27" t="str">
        <f t="shared" ref="F56:F71" si="14">VLOOKUP(D56,$A$27:$C$30,3,1)</f>
        <v>-74.815729</v>
      </c>
      <c r="G56" s="2">
        <v>1068.0</v>
      </c>
      <c r="H56" s="2">
        <f>H44</f>
        <v>5.04</v>
      </c>
      <c r="I56" s="2">
        <f t="shared" ref="I56:I71" si="15">G56/H56</f>
        <v>211.9047619</v>
      </c>
      <c r="J56" s="2">
        <f t="shared" ref="J56:J71" si="16">I56/$H$28</f>
        <v>6.054421769</v>
      </c>
      <c r="K56" s="2">
        <f t="shared" ref="K56:K71" si="17">J56*$B$11</f>
        <v>61.44632653</v>
      </c>
    </row>
    <row r="57" ht="14.25" customHeight="1">
      <c r="A57" s="2" t="s">
        <v>38</v>
      </c>
      <c r="B57" s="27" t="str">
        <f t="shared" si="11"/>
        <v>4.35402</v>
      </c>
      <c r="C57" s="27" t="str">
        <f t="shared" si="12"/>
        <v>-74.356007</v>
      </c>
      <c r="D57" s="2" t="s">
        <v>65</v>
      </c>
      <c r="E57" s="27" t="str">
        <f t="shared" si="13"/>
        <v>4.256781</v>
      </c>
      <c r="F57" s="27" t="str">
        <f t="shared" si="14"/>
        <v>-74.828503</v>
      </c>
      <c r="G57" s="2">
        <v>74.0</v>
      </c>
      <c r="H57" s="2">
        <f t="shared" ref="H57:H71" si="18">H56</f>
        <v>5.04</v>
      </c>
      <c r="I57" s="2">
        <f t="shared" si="15"/>
        <v>14.68253968</v>
      </c>
      <c r="J57" s="2">
        <f t="shared" si="16"/>
        <v>0.4195011338</v>
      </c>
      <c r="K57" s="2">
        <f t="shared" si="17"/>
        <v>4.257517007</v>
      </c>
    </row>
    <row r="58" ht="14.25" customHeight="1">
      <c r="A58" s="2" t="s">
        <v>38</v>
      </c>
      <c r="B58" s="27" t="str">
        <f t="shared" si="11"/>
        <v>4.35402</v>
      </c>
      <c r="C58" s="27" t="str">
        <f t="shared" si="12"/>
        <v>-74.356007</v>
      </c>
      <c r="D58" s="2" t="s">
        <v>38</v>
      </c>
      <c r="E58" s="27" t="str">
        <f t="shared" si="13"/>
        <v>4.345146</v>
      </c>
      <c r="F58" s="27" t="str">
        <f t="shared" si="14"/>
        <v>-74.378888</v>
      </c>
      <c r="G58" s="2">
        <v>4.0</v>
      </c>
      <c r="H58" s="2">
        <f t="shared" si="18"/>
        <v>5.04</v>
      </c>
      <c r="I58" s="2">
        <f t="shared" si="15"/>
        <v>0.7936507937</v>
      </c>
      <c r="J58" s="2">
        <f t="shared" si="16"/>
        <v>0.02267573696</v>
      </c>
      <c r="K58" s="2">
        <f t="shared" si="17"/>
        <v>0.2301360544</v>
      </c>
    </row>
    <row r="59" ht="14.25" customHeight="1">
      <c r="A59" s="2" t="s">
        <v>38</v>
      </c>
      <c r="B59" s="27" t="str">
        <f t="shared" si="11"/>
        <v>4.35402</v>
      </c>
      <c r="C59" s="27" t="str">
        <f t="shared" si="12"/>
        <v>-74.356007</v>
      </c>
      <c r="D59" s="2" t="s">
        <v>72</v>
      </c>
      <c r="E59" s="27" t="str">
        <f t="shared" si="13"/>
        <v>3.277581</v>
      </c>
      <c r="F59" s="27" t="str">
        <f t="shared" si="14"/>
        <v>-76.468715</v>
      </c>
      <c r="G59" s="2">
        <v>425.0</v>
      </c>
      <c r="H59" s="2">
        <f t="shared" si="18"/>
        <v>5.04</v>
      </c>
      <c r="I59" s="2">
        <f t="shared" si="15"/>
        <v>84.32539683</v>
      </c>
      <c r="J59" s="2">
        <f t="shared" si="16"/>
        <v>2.409297052</v>
      </c>
      <c r="K59" s="2">
        <f t="shared" si="17"/>
        <v>24.45195578</v>
      </c>
    </row>
    <row r="60" ht="14.25" customHeight="1">
      <c r="A60" s="2" t="s">
        <v>42</v>
      </c>
      <c r="B60" s="27" t="str">
        <f t="shared" si="11"/>
        <v>4.443578</v>
      </c>
      <c r="C60" s="27" t="str">
        <f t="shared" si="12"/>
        <v>-75.13064</v>
      </c>
      <c r="D60" s="2" t="s">
        <v>61</v>
      </c>
      <c r="E60" s="27" t="str">
        <f t="shared" si="13"/>
        <v>11.034167</v>
      </c>
      <c r="F60" s="27" t="str">
        <f t="shared" si="14"/>
        <v>-74.815729</v>
      </c>
      <c r="G60" s="2">
        <v>988.0</v>
      </c>
      <c r="H60" s="2">
        <f t="shared" si="18"/>
        <v>5.04</v>
      </c>
      <c r="I60" s="2">
        <f t="shared" si="15"/>
        <v>196.031746</v>
      </c>
      <c r="J60" s="2">
        <f t="shared" si="16"/>
        <v>5.600907029</v>
      </c>
      <c r="K60" s="2">
        <f t="shared" si="17"/>
        <v>56.84360544</v>
      </c>
    </row>
    <row r="61" ht="14.25" customHeight="1">
      <c r="A61" s="2" t="s">
        <v>42</v>
      </c>
      <c r="B61" s="27" t="str">
        <f t="shared" si="11"/>
        <v>4.443578</v>
      </c>
      <c r="C61" s="27" t="str">
        <f t="shared" si="12"/>
        <v>-75.13064</v>
      </c>
      <c r="D61" s="2" t="s">
        <v>65</v>
      </c>
      <c r="E61" s="27" t="str">
        <f t="shared" si="13"/>
        <v>4.256781</v>
      </c>
      <c r="F61" s="27" t="str">
        <f t="shared" si="14"/>
        <v>-74.828503</v>
      </c>
      <c r="G61" s="2">
        <v>58.0</v>
      </c>
      <c r="H61" s="2">
        <f t="shared" si="18"/>
        <v>5.04</v>
      </c>
      <c r="I61" s="2">
        <f t="shared" si="15"/>
        <v>11.50793651</v>
      </c>
      <c r="J61" s="2">
        <f t="shared" si="16"/>
        <v>0.3287981859</v>
      </c>
      <c r="K61" s="2">
        <f t="shared" si="17"/>
        <v>3.336972789</v>
      </c>
    </row>
    <row r="62" ht="14.25" customHeight="1">
      <c r="A62" s="2" t="s">
        <v>42</v>
      </c>
      <c r="B62" s="27" t="str">
        <f t="shared" si="11"/>
        <v>4.443578</v>
      </c>
      <c r="C62" s="27" t="str">
        <f t="shared" si="12"/>
        <v>-75.13064</v>
      </c>
      <c r="D62" s="2" t="s">
        <v>38</v>
      </c>
      <c r="E62" s="27" t="str">
        <f t="shared" si="13"/>
        <v>4.345146</v>
      </c>
      <c r="F62" s="27" t="str">
        <f t="shared" si="14"/>
        <v>-74.378888</v>
      </c>
      <c r="G62" s="2">
        <v>123.0</v>
      </c>
      <c r="H62" s="2">
        <f t="shared" si="18"/>
        <v>5.04</v>
      </c>
      <c r="I62" s="2">
        <f t="shared" si="15"/>
        <v>24.4047619</v>
      </c>
      <c r="J62" s="2">
        <f t="shared" si="16"/>
        <v>0.6972789116</v>
      </c>
      <c r="K62" s="2">
        <f t="shared" si="17"/>
        <v>7.076683673</v>
      </c>
    </row>
    <row r="63" ht="14.25" customHeight="1">
      <c r="A63" s="2" t="s">
        <v>42</v>
      </c>
      <c r="B63" s="27" t="str">
        <f t="shared" si="11"/>
        <v>4.443578</v>
      </c>
      <c r="C63" s="27" t="str">
        <f t="shared" si="12"/>
        <v>-75.13064</v>
      </c>
      <c r="D63" s="2" t="s">
        <v>72</v>
      </c>
      <c r="E63" s="27" t="str">
        <f t="shared" si="13"/>
        <v>3.277581</v>
      </c>
      <c r="F63" s="27" t="str">
        <f t="shared" si="14"/>
        <v>-76.468715</v>
      </c>
      <c r="G63" s="2">
        <v>313.0</v>
      </c>
      <c r="H63" s="2">
        <f t="shared" si="18"/>
        <v>5.04</v>
      </c>
      <c r="I63" s="2">
        <f t="shared" si="15"/>
        <v>62.1031746</v>
      </c>
      <c r="J63" s="2">
        <f t="shared" si="16"/>
        <v>1.774376417</v>
      </c>
      <c r="K63" s="2">
        <f t="shared" si="17"/>
        <v>18.00814626</v>
      </c>
    </row>
    <row r="64" ht="14.25" customHeight="1">
      <c r="A64" s="2" t="s">
        <v>46</v>
      </c>
      <c r="B64" s="27" t="str">
        <f t="shared" si="11"/>
        <v>5.489153</v>
      </c>
      <c r="C64" s="27" t="str">
        <f t="shared" si="12"/>
        <v>-73.385993</v>
      </c>
      <c r="D64" s="2" t="s">
        <v>61</v>
      </c>
      <c r="E64" s="27" t="str">
        <f t="shared" si="13"/>
        <v>11.034167</v>
      </c>
      <c r="F64" s="27" t="str">
        <f t="shared" si="14"/>
        <v>-74.815729</v>
      </c>
      <c r="G64" s="2">
        <v>872.0</v>
      </c>
      <c r="H64" s="2">
        <f t="shared" si="18"/>
        <v>5.04</v>
      </c>
      <c r="I64" s="2">
        <f t="shared" si="15"/>
        <v>173.015873</v>
      </c>
      <c r="J64" s="2">
        <f t="shared" si="16"/>
        <v>4.943310658</v>
      </c>
      <c r="K64" s="2">
        <f t="shared" si="17"/>
        <v>50.16965986</v>
      </c>
    </row>
    <row r="65" ht="14.25" customHeight="1">
      <c r="A65" s="2" t="s">
        <v>46</v>
      </c>
      <c r="B65" s="27" t="str">
        <f t="shared" si="11"/>
        <v>5.489153</v>
      </c>
      <c r="C65" s="27" t="str">
        <f t="shared" si="12"/>
        <v>-73.385993</v>
      </c>
      <c r="D65" s="2" t="s">
        <v>65</v>
      </c>
      <c r="E65" s="27" t="str">
        <f t="shared" si="13"/>
        <v>4.256781</v>
      </c>
      <c r="F65" s="27" t="str">
        <f t="shared" si="14"/>
        <v>-74.828503</v>
      </c>
      <c r="G65" s="2">
        <v>274.0</v>
      </c>
      <c r="H65" s="2">
        <f t="shared" si="18"/>
        <v>5.04</v>
      </c>
      <c r="I65" s="2">
        <f t="shared" si="15"/>
        <v>54.36507937</v>
      </c>
      <c r="J65" s="2">
        <f t="shared" si="16"/>
        <v>1.553287982</v>
      </c>
      <c r="K65" s="2">
        <f t="shared" si="17"/>
        <v>15.76431973</v>
      </c>
    </row>
    <row r="66" ht="14.25" customHeight="1">
      <c r="A66" s="2" t="s">
        <v>46</v>
      </c>
      <c r="B66" s="27" t="str">
        <f t="shared" si="11"/>
        <v>5.489153</v>
      </c>
      <c r="C66" s="27" t="str">
        <f t="shared" si="12"/>
        <v>-73.385993</v>
      </c>
      <c r="D66" s="2" t="s">
        <v>38</v>
      </c>
      <c r="E66" s="27" t="str">
        <f t="shared" si="13"/>
        <v>4.345146</v>
      </c>
      <c r="F66" s="27" t="str">
        <f t="shared" si="14"/>
        <v>-74.378888</v>
      </c>
      <c r="G66" s="2">
        <v>206.0</v>
      </c>
      <c r="H66" s="2">
        <f t="shared" si="18"/>
        <v>5.04</v>
      </c>
      <c r="I66" s="2">
        <f t="shared" si="15"/>
        <v>40.87301587</v>
      </c>
      <c r="J66" s="2">
        <f t="shared" si="16"/>
        <v>1.167800454</v>
      </c>
      <c r="K66" s="2">
        <f t="shared" si="17"/>
        <v>11.8520068</v>
      </c>
    </row>
    <row r="67" ht="14.25" customHeight="1">
      <c r="A67" s="2" t="s">
        <v>46</v>
      </c>
      <c r="B67" s="27" t="str">
        <f t="shared" si="11"/>
        <v>5.489153</v>
      </c>
      <c r="C67" s="27" t="str">
        <f t="shared" si="12"/>
        <v>-73.385993</v>
      </c>
      <c r="D67" s="2" t="s">
        <v>72</v>
      </c>
      <c r="E67" s="27" t="str">
        <f t="shared" si="13"/>
        <v>3.277581</v>
      </c>
      <c r="F67" s="27" t="str">
        <f t="shared" si="14"/>
        <v>-76.468715</v>
      </c>
      <c r="G67" s="2">
        <v>699.0</v>
      </c>
      <c r="H67" s="2">
        <f t="shared" si="18"/>
        <v>5.04</v>
      </c>
      <c r="I67" s="2">
        <f t="shared" si="15"/>
        <v>138.6904762</v>
      </c>
      <c r="J67" s="2">
        <f t="shared" si="16"/>
        <v>3.962585034</v>
      </c>
      <c r="K67" s="2">
        <f t="shared" si="17"/>
        <v>40.21627551</v>
      </c>
    </row>
    <row r="68" ht="14.25" customHeight="1">
      <c r="A68" s="2" t="s">
        <v>30</v>
      </c>
      <c r="B68" s="27" t="str">
        <f t="shared" si="11"/>
        <v>5.320096</v>
      </c>
      <c r="C68" s="27" t="str">
        <f t="shared" si="12"/>
        <v>-72.416656</v>
      </c>
      <c r="D68" s="2" t="s">
        <v>61</v>
      </c>
      <c r="E68" s="27" t="str">
        <f t="shared" si="13"/>
        <v>11.034167</v>
      </c>
      <c r="F68" s="27" t="str">
        <f t="shared" si="14"/>
        <v>-74.815729</v>
      </c>
      <c r="G68" s="2">
        <v>1045.0</v>
      </c>
      <c r="H68" s="2">
        <f t="shared" si="18"/>
        <v>5.04</v>
      </c>
      <c r="I68" s="2">
        <f t="shared" si="15"/>
        <v>207.3412698</v>
      </c>
      <c r="J68" s="2">
        <f t="shared" si="16"/>
        <v>5.924036281</v>
      </c>
      <c r="K68" s="2">
        <f t="shared" si="17"/>
        <v>60.12304422</v>
      </c>
    </row>
    <row r="69" ht="14.25" customHeight="1">
      <c r="A69" s="2" t="s">
        <v>30</v>
      </c>
      <c r="B69" s="27" t="str">
        <f t="shared" si="11"/>
        <v>5.320096</v>
      </c>
      <c r="C69" s="27" t="str">
        <f t="shared" si="12"/>
        <v>-72.416656</v>
      </c>
      <c r="D69" s="2" t="s">
        <v>65</v>
      </c>
      <c r="E69" s="27" t="str">
        <f t="shared" si="13"/>
        <v>4.256781</v>
      </c>
      <c r="F69" s="27" t="str">
        <f t="shared" si="14"/>
        <v>-74.828503</v>
      </c>
      <c r="G69" s="2">
        <v>480.0</v>
      </c>
      <c r="H69" s="2">
        <f t="shared" si="18"/>
        <v>5.04</v>
      </c>
      <c r="I69" s="2">
        <f t="shared" si="15"/>
        <v>95.23809524</v>
      </c>
      <c r="J69" s="2">
        <f t="shared" si="16"/>
        <v>2.721088435</v>
      </c>
      <c r="K69" s="2">
        <f t="shared" si="17"/>
        <v>27.61632653</v>
      </c>
    </row>
    <row r="70" ht="14.25" customHeight="1">
      <c r="A70" s="2" t="s">
        <v>30</v>
      </c>
      <c r="B70" s="27" t="str">
        <f t="shared" si="11"/>
        <v>5.320096</v>
      </c>
      <c r="C70" s="27" t="str">
        <f t="shared" si="12"/>
        <v>-72.416656</v>
      </c>
      <c r="D70" s="2" t="s">
        <v>38</v>
      </c>
      <c r="E70" s="27" t="str">
        <f t="shared" si="13"/>
        <v>4.345146</v>
      </c>
      <c r="F70" s="27" t="str">
        <f t="shared" si="14"/>
        <v>-74.378888</v>
      </c>
      <c r="G70" s="2">
        <v>412.0</v>
      </c>
      <c r="H70" s="2">
        <f t="shared" si="18"/>
        <v>5.04</v>
      </c>
      <c r="I70" s="2">
        <f t="shared" si="15"/>
        <v>81.74603175</v>
      </c>
      <c r="J70" s="2">
        <f t="shared" si="16"/>
        <v>2.335600907</v>
      </c>
      <c r="K70" s="2">
        <f t="shared" si="17"/>
        <v>23.70401361</v>
      </c>
    </row>
    <row r="71" ht="14.25" customHeight="1">
      <c r="A71" s="2" t="s">
        <v>30</v>
      </c>
      <c r="B71" s="27" t="str">
        <f t="shared" si="11"/>
        <v>5.320096</v>
      </c>
      <c r="C71" s="27" t="str">
        <f t="shared" si="12"/>
        <v>-72.416656</v>
      </c>
      <c r="D71" s="2" t="s">
        <v>72</v>
      </c>
      <c r="E71" s="27" t="str">
        <f t="shared" si="13"/>
        <v>3.277581</v>
      </c>
      <c r="F71" s="27" t="str">
        <f t="shared" si="14"/>
        <v>-76.468715</v>
      </c>
      <c r="G71" s="2">
        <v>905.0</v>
      </c>
      <c r="H71" s="2">
        <f t="shared" si="18"/>
        <v>5.04</v>
      </c>
      <c r="I71" s="2">
        <f t="shared" si="15"/>
        <v>179.5634921</v>
      </c>
      <c r="J71" s="2">
        <f t="shared" si="16"/>
        <v>5.130385488</v>
      </c>
      <c r="K71" s="2">
        <f t="shared" si="17"/>
        <v>52.06828231</v>
      </c>
    </row>
    <row r="72" ht="14.25" customHeight="1"/>
    <row r="73" ht="14.25" customHeight="1">
      <c r="A73" s="2" t="s">
        <v>96</v>
      </c>
    </row>
    <row r="74" ht="14.25" customHeight="1">
      <c r="A74" s="9" t="s">
        <v>78</v>
      </c>
      <c r="B74" s="9" t="s">
        <v>20</v>
      </c>
      <c r="D74" s="9" t="s">
        <v>58</v>
      </c>
      <c r="E74" s="16" t="s">
        <v>20</v>
      </c>
      <c r="F74" s="11"/>
      <c r="G74" s="9" t="s">
        <v>91</v>
      </c>
      <c r="H74" s="9" t="s">
        <v>92</v>
      </c>
      <c r="I74" s="9" t="s">
        <v>93</v>
      </c>
      <c r="J74" s="9"/>
      <c r="K74" s="9" t="s">
        <v>94</v>
      </c>
    </row>
    <row r="75" ht="14.25" customHeight="1">
      <c r="A75" s="2" t="s">
        <v>80</v>
      </c>
      <c r="B75" s="24">
        <v>5857933.0</v>
      </c>
      <c r="C75" s="24">
        <v>-7.4850415E7</v>
      </c>
      <c r="D75" s="19" t="s">
        <v>61</v>
      </c>
      <c r="E75" s="20" t="s">
        <v>62</v>
      </c>
      <c r="F75" s="20" t="s">
        <v>63</v>
      </c>
      <c r="G75" s="24">
        <v>828.0</v>
      </c>
      <c r="H75" s="28">
        <f>(6.48*227.29+4.8*308.08+3.26*137.13+3.26*84.5)/(227.29+308.08+137.13+84.5)</f>
        <v>4.853549538</v>
      </c>
      <c r="I75" s="2">
        <f t="shared" ref="I75:I102" si="19">G75/H75</f>
        <v>170.5967959</v>
      </c>
      <c r="J75" s="2">
        <f t="shared" ref="J75:J102" si="20">I75/$H$26</f>
        <v>4.874194169</v>
      </c>
      <c r="K75" s="2">
        <f t="shared" ref="K75:K102" si="21">J75*$B$11</f>
        <v>49.46819662</v>
      </c>
    </row>
    <row r="76" ht="14.25" customHeight="1">
      <c r="A76" s="2" t="s">
        <v>80</v>
      </c>
      <c r="B76" s="24">
        <v>5857933.0</v>
      </c>
      <c r="C76" s="24">
        <v>-7.4850415E7</v>
      </c>
      <c r="D76" s="19" t="s">
        <v>65</v>
      </c>
      <c r="E76" s="21" t="s">
        <v>66</v>
      </c>
      <c r="F76" s="21" t="s">
        <v>67</v>
      </c>
      <c r="G76" s="2">
        <v>263.0</v>
      </c>
      <c r="H76" s="2">
        <f>(6.48*48.49+4.8*33.52+3.26*267.98)/(48.49+33.52+267.98)</f>
        <v>3.85361296</v>
      </c>
      <c r="I76" s="2">
        <f t="shared" si="19"/>
        <v>68.24764259</v>
      </c>
      <c r="J76" s="2">
        <f t="shared" si="20"/>
        <v>1.949932645</v>
      </c>
      <c r="K76" s="2">
        <f t="shared" si="21"/>
        <v>19.78986642</v>
      </c>
    </row>
    <row r="77" ht="14.25" customHeight="1">
      <c r="A77" s="2" t="s">
        <v>80</v>
      </c>
      <c r="B77" s="24">
        <v>5857933.0</v>
      </c>
      <c r="C77" s="24">
        <v>-7.4850415E7</v>
      </c>
      <c r="D77" s="19" t="s">
        <v>38</v>
      </c>
      <c r="E77" s="21" t="s">
        <v>70</v>
      </c>
      <c r="F77" s="21" t="s">
        <v>71</v>
      </c>
      <c r="G77" s="2">
        <v>330.0</v>
      </c>
      <c r="H77" s="2">
        <f>(6.48*160+4.8*101+3.26*155+3.26*84.5)/(160+101+155+84.5)</f>
        <v>4.60013986</v>
      </c>
      <c r="I77" s="2">
        <f t="shared" si="19"/>
        <v>71.73694932</v>
      </c>
      <c r="J77" s="2">
        <f t="shared" si="20"/>
        <v>2.049627123</v>
      </c>
      <c r="K77" s="2">
        <f t="shared" si="21"/>
        <v>20.80166567</v>
      </c>
    </row>
    <row r="78" ht="14.25" customHeight="1">
      <c r="A78" s="2" t="s">
        <v>80</v>
      </c>
      <c r="B78" s="24">
        <v>5857933.0</v>
      </c>
      <c r="C78" s="24">
        <v>-7.4850415E7</v>
      </c>
      <c r="D78" s="19" t="s">
        <v>72</v>
      </c>
      <c r="E78" s="21" t="s">
        <v>73</v>
      </c>
      <c r="F78" s="21" t="s">
        <v>74</v>
      </c>
      <c r="G78" s="2">
        <v>557.0</v>
      </c>
      <c r="H78" s="2">
        <f>(6.48*190.52+4.8*32.03+3.26*198.24+3.26*84.5)/(190.52+32.03+198.24+84.5)</f>
        <v>4.571723169</v>
      </c>
      <c r="I78" s="2">
        <f t="shared" si="19"/>
        <v>121.8358985</v>
      </c>
      <c r="J78" s="2">
        <f t="shared" si="20"/>
        <v>3.481025672</v>
      </c>
      <c r="K78" s="2">
        <f t="shared" si="21"/>
        <v>35.32892954</v>
      </c>
    </row>
    <row r="79" ht="14.25" customHeight="1">
      <c r="A79" s="2" t="s">
        <v>81</v>
      </c>
      <c r="B79" s="25">
        <v>3833995.0</v>
      </c>
      <c r="C79" s="24">
        <v>-7.6785016E7</v>
      </c>
      <c r="D79" s="19" t="s">
        <v>61</v>
      </c>
      <c r="E79" s="20" t="s">
        <v>62</v>
      </c>
      <c r="F79" s="20" t="s">
        <v>63</v>
      </c>
      <c r="G79" s="2">
        <v>1248.0</v>
      </c>
      <c r="H79" s="2">
        <f>(6.48*423.32+4.8*523.54+3.24*159.45)/(423.32+523.54+159.45)</f>
        <v>5.21799821</v>
      </c>
      <c r="I79" s="2">
        <f t="shared" si="19"/>
        <v>239.1721786</v>
      </c>
      <c r="J79" s="2">
        <f t="shared" si="20"/>
        <v>6.833490818</v>
      </c>
      <c r="K79" s="2">
        <f t="shared" si="21"/>
        <v>69.35309831</v>
      </c>
    </row>
    <row r="80" ht="14.25" customHeight="1">
      <c r="A80" s="2" t="s">
        <v>81</v>
      </c>
      <c r="B80" s="25">
        <v>3833995.0</v>
      </c>
      <c r="C80" s="24">
        <v>-7.6785016E7</v>
      </c>
      <c r="D80" s="19" t="s">
        <v>65</v>
      </c>
      <c r="E80" s="21" t="s">
        <v>66</v>
      </c>
      <c r="F80" s="21" t="s">
        <v>67</v>
      </c>
      <c r="G80" s="2">
        <v>315.0</v>
      </c>
      <c r="H80" s="2">
        <f>(6.48*56+4.8*33.13+3.26*23.57)/(56+33.13+23.57)</f>
        <v>5.312708075</v>
      </c>
      <c r="I80" s="2">
        <f t="shared" si="19"/>
        <v>59.29179537</v>
      </c>
      <c r="J80" s="2">
        <f t="shared" si="20"/>
        <v>1.694051296</v>
      </c>
      <c r="K80" s="2">
        <f t="shared" si="21"/>
        <v>17.19292661</v>
      </c>
    </row>
    <row r="81" ht="14.25" customHeight="1">
      <c r="A81" s="2" t="s">
        <v>81</v>
      </c>
      <c r="B81" s="25">
        <v>3833995.0</v>
      </c>
      <c r="C81" s="24">
        <v>-7.6785016E7</v>
      </c>
      <c r="D81" s="19" t="s">
        <v>38</v>
      </c>
      <c r="E81" s="21" t="s">
        <v>70</v>
      </c>
      <c r="F81" s="21" t="s">
        <v>71</v>
      </c>
      <c r="G81" s="2">
        <v>381.0</v>
      </c>
      <c r="H81" s="2">
        <f>(6.48*244+4.8*63.58+3.26*160.06)/(244+63.58+160.06)</f>
        <v>5.149473099</v>
      </c>
      <c r="I81" s="2">
        <f t="shared" si="19"/>
        <v>73.98815232</v>
      </c>
      <c r="J81" s="2">
        <f t="shared" si="20"/>
        <v>2.113947209</v>
      </c>
      <c r="K81" s="2">
        <f t="shared" si="21"/>
        <v>21.45445022</v>
      </c>
    </row>
    <row r="82" ht="14.25" customHeight="1">
      <c r="A82" s="2" t="s">
        <v>81</v>
      </c>
      <c r="B82" s="25">
        <v>3833995.0</v>
      </c>
      <c r="C82" s="24">
        <v>-7.6785016E7</v>
      </c>
      <c r="D82" s="19" t="s">
        <v>72</v>
      </c>
      <c r="E82" s="21" t="s">
        <v>73</v>
      </c>
      <c r="F82" s="21" t="s">
        <v>74</v>
      </c>
      <c r="G82" s="2">
        <v>39.1</v>
      </c>
      <c r="H82" s="2">
        <v>6.48</v>
      </c>
      <c r="I82" s="2">
        <f t="shared" si="19"/>
        <v>6.033950617</v>
      </c>
      <c r="J82" s="2">
        <f t="shared" si="20"/>
        <v>0.1723985891</v>
      </c>
      <c r="K82" s="2">
        <f t="shared" si="21"/>
        <v>1.74967328</v>
      </c>
    </row>
    <row r="83" ht="14.25" customHeight="1">
      <c r="A83" s="2" t="s">
        <v>82</v>
      </c>
      <c r="B83" s="25">
        <v>9471790.0</v>
      </c>
      <c r="C83" s="24">
        <v>-7.5467855E7</v>
      </c>
      <c r="D83" s="19" t="s">
        <v>61</v>
      </c>
      <c r="E83" s="20" t="s">
        <v>62</v>
      </c>
      <c r="F83" s="20" t="s">
        <v>63</v>
      </c>
      <c r="G83" s="2">
        <v>278.0</v>
      </c>
      <c r="H83" s="2">
        <v>6.48</v>
      </c>
      <c r="I83" s="2">
        <f t="shared" si="19"/>
        <v>42.90123457</v>
      </c>
      <c r="J83" s="2">
        <f t="shared" si="20"/>
        <v>1.225749559</v>
      </c>
      <c r="K83" s="2">
        <f t="shared" si="21"/>
        <v>12.44013228</v>
      </c>
    </row>
    <row r="84" ht="14.25" customHeight="1">
      <c r="A84" s="2" t="s">
        <v>82</v>
      </c>
      <c r="B84" s="25">
        <v>9471790.0</v>
      </c>
      <c r="C84" s="24">
        <v>-7.5467855E7</v>
      </c>
      <c r="D84" s="19" t="s">
        <v>65</v>
      </c>
      <c r="E84" s="21" t="s">
        <v>66</v>
      </c>
      <c r="F84" s="21" t="s">
        <v>67</v>
      </c>
      <c r="G84" s="2">
        <v>935.0</v>
      </c>
      <c r="H84" s="2">
        <v>5.04</v>
      </c>
      <c r="I84" s="2">
        <f t="shared" si="19"/>
        <v>185.515873</v>
      </c>
      <c r="J84" s="2">
        <f t="shared" si="20"/>
        <v>5.300453515</v>
      </c>
      <c r="K84" s="2">
        <f t="shared" si="21"/>
        <v>53.79430272</v>
      </c>
    </row>
    <row r="85" ht="14.25" customHeight="1">
      <c r="A85" s="2" t="s">
        <v>82</v>
      </c>
      <c r="B85" s="25">
        <v>9471790.0</v>
      </c>
      <c r="C85" s="24">
        <v>-7.5467855E7</v>
      </c>
      <c r="D85" s="19" t="s">
        <v>38</v>
      </c>
      <c r="E85" s="21" t="s">
        <v>70</v>
      </c>
      <c r="F85" s="21" t="s">
        <v>71</v>
      </c>
      <c r="G85" s="2">
        <v>1001.0</v>
      </c>
      <c r="H85" s="2">
        <v>4.8</v>
      </c>
      <c r="I85" s="2">
        <f t="shared" si="19"/>
        <v>208.5416667</v>
      </c>
      <c r="J85" s="2">
        <f t="shared" si="20"/>
        <v>5.958333333</v>
      </c>
      <c r="K85" s="2">
        <f t="shared" si="21"/>
        <v>60.471125</v>
      </c>
    </row>
    <row r="86" ht="14.25" customHeight="1">
      <c r="A86" s="2" t="s">
        <v>82</v>
      </c>
      <c r="B86" s="25">
        <v>9471790.0</v>
      </c>
      <c r="C86" s="24">
        <v>-7.5467855E7</v>
      </c>
      <c r="D86" s="19" t="s">
        <v>72</v>
      </c>
      <c r="E86" s="21" t="s">
        <v>73</v>
      </c>
      <c r="F86" s="21" t="s">
        <v>74</v>
      </c>
      <c r="G86" s="2">
        <v>942.0</v>
      </c>
      <c r="H86" s="2">
        <v>5.04</v>
      </c>
      <c r="I86" s="2">
        <f t="shared" si="19"/>
        <v>186.9047619</v>
      </c>
      <c r="J86" s="2">
        <f t="shared" si="20"/>
        <v>5.340136054</v>
      </c>
      <c r="K86" s="2">
        <f t="shared" si="21"/>
        <v>54.19704082</v>
      </c>
    </row>
    <row r="87" ht="14.25" customHeight="1">
      <c r="A87" s="2" t="s">
        <v>83</v>
      </c>
      <c r="B87" s="25">
        <v>1.03454E7</v>
      </c>
      <c r="C87" s="24">
        <v>-7.5497621E7</v>
      </c>
      <c r="D87" s="19" t="s">
        <v>61</v>
      </c>
      <c r="E87" s="20" t="s">
        <v>62</v>
      </c>
      <c r="F87" s="20" t="s">
        <v>63</v>
      </c>
      <c r="G87" s="2">
        <v>142.0</v>
      </c>
      <c r="H87" s="2">
        <v>6.48</v>
      </c>
      <c r="I87" s="2">
        <f t="shared" si="19"/>
        <v>21.91358025</v>
      </c>
      <c r="J87" s="2">
        <f t="shared" si="20"/>
        <v>0.6261022928</v>
      </c>
      <c r="K87" s="2">
        <f t="shared" si="21"/>
        <v>6.354312169</v>
      </c>
    </row>
    <row r="88" ht="14.25" customHeight="1">
      <c r="A88" s="2" t="s">
        <v>83</v>
      </c>
      <c r="B88" s="25">
        <v>1.03454E7</v>
      </c>
      <c r="C88" s="24">
        <v>-7.5497621E7</v>
      </c>
      <c r="D88" s="19" t="s">
        <v>65</v>
      </c>
      <c r="E88" s="21" t="s">
        <v>66</v>
      </c>
      <c r="F88" s="21" t="s">
        <v>67</v>
      </c>
      <c r="G88" s="2">
        <v>1057.0</v>
      </c>
      <c r="H88" s="2">
        <f>(6.48*712.89+4.8*275.88+3.26*26.15)/(712.89+275.88+26.15)</f>
        <v>5.940369881</v>
      </c>
      <c r="I88" s="2">
        <f t="shared" si="19"/>
        <v>177.935048</v>
      </c>
      <c r="J88" s="2">
        <f t="shared" si="20"/>
        <v>5.083858514</v>
      </c>
      <c r="K88" s="2">
        <f t="shared" si="21"/>
        <v>51.59608006</v>
      </c>
    </row>
    <row r="89" ht="14.25" customHeight="1">
      <c r="A89" s="2" t="s">
        <v>83</v>
      </c>
      <c r="B89" s="25">
        <v>1.03454E7</v>
      </c>
      <c r="C89" s="24">
        <v>-7.5497621E7</v>
      </c>
      <c r="D89" s="19" t="s">
        <v>38</v>
      </c>
      <c r="E89" s="21" t="s">
        <v>70</v>
      </c>
      <c r="F89" s="21" t="s">
        <v>71</v>
      </c>
      <c r="G89" s="2">
        <v>1123.0</v>
      </c>
      <c r="H89" s="2">
        <f>(6.48*703+4.8*278.67+3.26*46.84)/(703+278.67+46.84)</f>
        <v>5.878167835</v>
      </c>
      <c r="I89" s="2">
        <f t="shared" si="19"/>
        <v>191.0459231</v>
      </c>
      <c r="J89" s="2">
        <f t="shared" si="20"/>
        <v>5.458454945</v>
      </c>
      <c r="K89" s="2">
        <f t="shared" si="21"/>
        <v>55.39785924</v>
      </c>
    </row>
    <row r="90" ht="14.25" customHeight="1">
      <c r="A90" s="2" t="s">
        <v>83</v>
      </c>
      <c r="B90" s="25">
        <v>1.03454E7</v>
      </c>
      <c r="C90" s="24">
        <v>-7.5497621E7</v>
      </c>
      <c r="D90" s="19" t="s">
        <v>72</v>
      </c>
      <c r="E90" s="21" t="s">
        <v>73</v>
      </c>
      <c r="F90" s="21" t="s">
        <v>74</v>
      </c>
      <c r="G90" s="2">
        <v>1079.0</v>
      </c>
      <c r="H90" s="2">
        <f>(6.48*377.14+4.8*524.82+3.26*159.84)/(377.14+524.82+159.84)</f>
        <v>5.164891317</v>
      </c>
      <c r="I90" s="2">
        <f t="shared" si="19"/>
        <v>208.9104947</v>
      </c>
      <c r="J90" s="2">
        <f t="shared" si="20"/>
        <v>5.968871277</v>
      </c>
      <c r="K90" s="2">
        <f t="shared" si="21"/>
        <v>60.57807459</v>
      </c>
    </row>
    <row r="91" ht="14.25" customHeight="1">
      <c r="A91" s="2" t="s">
        <v>84</v>
      </c>
      <c r="B91" s="25">
        <v>5758146.0</v>
      </c>
      <c r="C91" s="24">
        <v>-7.2891331E7</v>
      </c>
      <c r="D91" s="19" t="s">
        <v>61</v>
      </c>
      <c r="E91" s="20" t="s">
        <v>62</v>
      </c>
      <c r="F91" s="20" t="s">
        <v>63</v>
      </c>
      <c r="G91" s="2">
        <v>925.0</v>
      </c>
      <c r="H91" s="2">
        <f>(6.48*414+4.8*332.08+3.26*192.53)/(414+332.08+192.53)</f>
        <v>5.225122042</v>
      </c>
      <c r="I91" s="2">
        <f t="shared" si="19"/>
        <v>177.0293579</v>
      </c>
      <c r="J91" s="2">
        <f t="shared" si="20"/>
        <v>5.057981654</v>
      </c>
      <c r="K91" s="2">
        <f t="shared" si="21"/>
        <v>51.33345581</v>
      </c>
    </row>
    <row r="92" ht="14.25" customHeight="1">
      <c r="A92" s="2" t="s">
        <v>84</v>
      </c>
      <c r="B92" s="25">
        <v>5758146.0</v>
      </c>
      <c r="C92" s="24">
        <v>-7.2891331E7</v>
      </c>
      <c r="D92" s="19" t="s">
        <v>65</v>
      </c>
      <c r="E92" s="21" t="s">
        <v>66</v>
      </c>
      <c r="F92" s="21" t="s">
        <v>67</v>
      </c>
      <c r="G92" s="2">
        <v>352.0</v>
      </c>
      <c r="H92" s="2">
        <f>(6.48*209.7+4.8*138.66+3.26*79.59)/(209.7+138.66+79.59)</f>
        <v>5.336808973</v>
      </c>
      <c r="I92" s="2">
        <f t="shared" si="19"/>
        <v>65.95701697</v>
      </c>
      <c r="J92" s="2">
        <f t="shared" si="20"/>
        <v>1.884486199</v>
      </c>
      <c r="K92" s="2">
        <f t="shared" si="21"/>
        <v>19.12565044</v>
      </c>
    </row>
    <row r="93" ht="14.25" customHeight="1">
      <c r="A93" s="2" t="s">
        <v>84</v>
      </c>
      <c r="B93" s="25">
        <v>5758146.0</v>
      </c>
      <c r="C93" s="24">
        <v>-7.2891331E7</v>
      </c>
      <c r="D93" s="19" t="s">
        <v>38</v>
      </c>
      <c r="E93" s="21" t="s">
        <v>70</v>
      </c>
      <c r="F93" s="21" t="s">
        <v>71</v>
      </c>
      <c r="G93" s="2">
        <v>285.0</v>
      </c>
      <c r="H93" s="2">
        <f>(6.48*146+4.8*70+3.26*23.48)/(146+70+23.48)</f>
        <v>5.673228662</v>
      </c>
      <c r="I93" s="2">
        <f t="shared" si="19"/>
        <v>50.23594446</v>
      </c>
      <c r="J93" s="2">
        <f t="shared" si="20"/>
        <v>1.435312699</v>
      </c>
      <c r="K93" s="2">
        <f t="shared" si="21"/>
        <v>14.56698858</v>
      </c>
    </row>
    <row r="94" ht="14.25" customHeight="1">
      <c r="A94" s="2" t="s">
        <v>84</v>
      </c>
      <c r="B94" s="25">
        <v>5758146.0</v>
      </c>
      <c r="C94" s="24">
        <v>-7.2891331E7</v>
      </c>
      <c r="D94" s="19" t="s">
        <v>72</v>
      </c>
      <c r="E94" s="21" t="s">
        <v>73</v>
      </c>
      <c r="F94" s="21" t="s">
        <v>74</v>
      </c>
      <c r="G94" s="2">
        <v>694.0</v>
      </c>
      <c r="H94" s="2">
        <f>(6.48*462.07+4.8*157.33+3.26*89.29)/(462.07+157.33+89.29)</f>
        <v>5.701340501</v>
      </c>
      <c r="I94" s="2">
        <f t="shared" si="19"/>
        <v>121.725759</v>
      </c>
      <c r="J94" s="2">
        <f t="shared" si="20"/>
        <v>3.477878829</v>
      </c>
      <c r="K94" s="2">
        <f t="shared" si="21"/>
        <v>35.29699224</v>
      </c>
    </row>
    <row r="95" ht="14.25" customHeight="1">
      <c r="A95" s="2" t="s">
        <v>85</v>
      </c>
      <c r="B95" s="25">
        <v>5917507.0</v>
      </c>
      <c r="C95" s="24">
        <v>-7.5541335E7</v>
      </c>
      <c r="D95" s="19" t="s">
        <v>61</v>
      </c>
      <c r="E95" s="20" t="s">
        <v>62</v>
      </c>
      <c r="F95" s="20" t="s">
        <v>63</v>
      </c>
      <c r="G95" s="2">
        <v>782.0</v>
      </c>
      <c r="H95" s="28">
        <f>(6.48*227.29+4.8*308.08+3.26*137.13)/(227.29+308.08+137.13)</f>
        <v>5.053779926</v>
      </c>
      <c r="I95" s="2">
        <f t="shared" si="19"/>
        <v>154.7356655</v>
      </c>
      <c r="J95" s="2">
        <f t="shared" si="20"/>
        <v>4.421019014</v>
      </c>
      <c r="K95" s="2">
        <f t="shared" si="21"/>
        <v>44.86892197</v>
      </c>
    </row>
    <row r="96" ht="14.25" customHeight="1">
      <c r="A96" s="2" t="s">
        <v>85</v>
      </c>
      <c r="B96" s="25">
        <v>5917507.0</v>
      </c>
      <c r="C96" s="24">
        <v>-7.5541335E7</v>
      </c>
      <c r="D96" s="19" t="s">
        <v>65</v>
      </c>
      <c r="E96" s="21" t="s">
        <v>66</v>
      </c>
      <c r="F96" s="21" t="s">
        <v>67</v>
      </c>
      <c r="G96" s="2">
        <v>347.0</v>
      </c>
      <c r="H96" s="2">
        <f>(6.48*48.49+4.8*33.52+3.26*267.98)/(48.49+33.52+267.98)</f>
        <v>3.85361296</v>
      </c>
      <c r="I96" s="2">
        <f t="shared" si="19"/>
        <v>90.04536874</v>
      </c>
      <c r="J96" s="2">
        <f t="shared" si="20"/>
        <v>2.572724821</v>
      </c>
      <c r="K96" s="2">
        <f t="shared" si="21"/>
        <v>26.11058421</v>
      </c>
    </row>
    <row r="97" ht="14.25" customHeight="1">
      <c r="A97" s="2" t="s">
        <v>85</v>
      </c>
      <c r="B97" s="25">
        <v>5917507.0</v>
      </c>
      <c r="C97" s="24">
        <v>-7.5541335E7</v>
      </c>
      <c r="D97" s="19" t="s">
        <v>38</v>
      </c>
      <c r="E97" s="21" t="s">
        <v>70</v>
      </c>
      <c r="F97" s="21" t="s">
        <v>71</v>
      </c>
      <c r="G97" s="2">
        <v>413.0</v>
      </c>
      <c r="H97" s="2">
        <f>(6.48*160+4.8*101+3.26*155)/(160+101+155)</f>
        <v>4.872355769</v>
      </c>
      <c r="I97" s="2">
        <f t="shared" si="19"/>
        <v>84.76392521</v>
      </c>
      <c r="J97" s="2">
        <f t="shared" si="20"/>
        <v>2.421826434</v>
      </c>
      <c r="K97" s="2">
        <f t="shared" si="21"/>
        <v>24.57911648</v>
      </c>
    </row>
    <row r="98" ht="14.25" customHeight="1">
      <c r="A98" s="2" t="s">
        <v>85</v>
      </c>
      <c r="B98" s="25">
        <v>5917507.0</v>
      </c>
      <c r="C98" s="24">
        <v>-7.5541335E7</v>
      </c>
      <c r="D98" s="19" t="s">
        <v>72</v>
      </c>
      <c r="E98" s="21" t="s">
        <v>73</v>
      </c>
      <c r="F98" s="21" t="s">
        <v>74</v>
      </c>
      <c r="G98" s="2">
        <v>404.0</v>
      </c>
      <c r="H98" s="2">
        <f>(6.48*190.52+4.8*32.03+3.26*198.24)/(190.52+32.03+198.24)</f>
        <v>4.835133915</v>
      </c>
      <c r="I98" s="2">
        <f t="shared" si="19"/>
        <v>83.55507978</v>
      </c>
      <c r="J98" s="2">
        <f t="shared" si="20"/>
        <v>2.387287994</v>
      </c>
      <c r="K98" s="2">
        <f t="shared" si="21"/>
        <v>24.22858585</v>
      </c>
    </row>
    <row r="99" ht="14.25" customHeight="1">
      <c r="A99" s="2" t="s">
        <v>86</v>
      </c>
      <c r="B99" s="25">
        <v>6220503.0</v>
      </c>
      <c r="C99" s="24">
        <v>-7.4573242E7</v>
      </c>
      <c r="D99" s="19" t="s">
        <v>61</v>
      </c>
      <c r="E99" s="20" t="s">
        <v>62</v>
      </c>
      <c r="F99" s="20" t="s">
        <v>63</v>
      </c>
      <c r="G99" s="2">
        <v>757.0</v>
      </c>
      <c r="H99" s="2">
        <f>(6.48*430.3+4.8*225.36+3.26*62.59)/(430.3+225.36+62.59)</f>
        <v>5.672280404</v>
      </c>
      <c r="I99" s="2">
        <f t="shared" si="19"/>
        <v>133.4560258</v>
      </c>
      <c r="J99" s="2">
        <f t="shared" si="20"/>
        <v>3.813029309</v>
      </c>
      <c r="K99" s="2">
        <f t="shared" si="21"/>
        <v>38.69843446</v>
      </c>
    </row>
    <row r="100" ht="14.25" customHeight="1">
      <c r="A100" s="2" t="s">
        <v>86</v>
      </c>
      <c r="B100" s="25">
        <v>6220503.0</v>
      </c>
      <c r="C100" s="24">
        <v>-7.4573242E7</v>
      </c>
      <c r="D100" s="19" t="s">
        <v>65</v>
      </c>
      <c r="E100" s="21" t="s">
        <v>66</v>
      </c>
      <c r="F100" s="21" t="s">
        <v>67</v>
      </c>
      <c r="G100" s="2">
        <v>288.0</v>
      </c>
      <c r="H100" s="2">
        <v>5.04</v>
      </c>
      <c r="I100" s="2">
        <f t="shared" si="19"/>
        <v>57.14285714</v>
      </c>
      <c r="J100" s="2">
        <f t="shared" si="20"/>
        <v>1.632653061</v>
      </c>
      <c r="K100" s="2">
        <f t="shared" si="21"/>
        <v>16.56979592</v>
      </c>
    </row>
    <row r="101" ht="14.25" customHeight="1">
      <c r="A101" s="2" t="s">
        <v>86</v>
      </c>
      <c r="B101" s="25">
        <v>6220503.0</v>
      </c>
      <c r="C101" s="24">
        <v>-7.4573242E7</v>
      </c>
      <c r="D101" s="19" t="s">
        <v>38</v>
      </c>
      <c r="E101" s="21" t="s">
        <v>70</v>
      </c>
      <c r="F101" s="21" t="s">
        <v>71</v>
      </c>
      <c r="G101" s="2">
        <v>354.0</v>
      </c>
      <c r="H101" s="2">
        <f>(6.48*2189.8+4.8*125.6+3.26*32.9)/(2189.8+125.6+32.9)</f>
        <v>6.345031725</v>
      </c>
      <c r="I101" s="2">
        <f t="shared" si="19"/>
        <v>55.79168322</v>
      </c>
      <c r="J101" s="2">
        <f t="shared" si="20"/>
        <v>1.594048092</v>
      </c>
      <c r="K101" s="2">
        <f t="shared" si="21"/>
        <v>16.17799408</v>
      </c>
    </row>
    <row r="102" ht="14.25" customHeight="1">
      <c r="A102" s="2" t="s">
        <v>86</v>
      </c>
      <c r="B102" s="25">
        <v>6220503.0</v>
      </c>
      <c r="C102" s="24">
        <v>-7.4573242E7</v>
      </c>
      <c r="D102" s="19" t="s">
        <v>72</v>
      </c>
      <c r="E102" s="21" t="s">
        <v>73</v>
      </c>
      <c r="F102" s="21" t="s">
        <v>74</v>
      </c>
      <c r="G102" s="2">
        <v>582.0</v>
      </c>
      <c r="H102" s="2">
        <f>(6.48*190.52+4.8*32.03+3.26*198.26)/(190.52+32.03+198.26)</f>
        <v>4.835059053</v>
      </c>
      <c r="I102" s="2">
        <f t="shared" si="19"/>
        <v>120.3708153</v>
      </c>
      <c r="J102" s="2">
        <f t="shared" si="20"/>
        <v>3.43916615</v>
      </c>
      <c r="K102" s="2">
        <f t="shared" si="21"/>
        <v>34.90409726</v>
      </c>
    </row>
    <row r="103" ht="14.25" customHeight="1"/>
    <row r="104" ht="14.25" customHeight="1">
      <c r="A104" s="2" t="s">
        <v>97</v>
      </c>
    </row>
    <row r="105" ht="14.25" customHeight="1">
      <c r="A105" s="9" t="s">
        <v>19</v>
      </c>
      <c r="B105" s="9" t="s">
        <v>89</v>
      </c>
      <c r="D105" s="9" t="s">
        <v>58</v>
      </c>
      <c r="E105" s="16" t="s">
        <v>20</v>
      </c>
      <c r="F105" s="11"/>
      <c r="G105" s="9" t="s">
        <v>91</v>
      </c>
      <c r="H105" s="9" t="s">
        <v>92</v>
      </c>
      <c r="I105" s="9" t="s">
        <v>93</v>
      </c>
      <c r="J105" s="9"/>
      <c r="K105" s="9" t="s">
        <v>94</v>
      </c>
    </row>
    <row r="106" ht="14.25" customHeight="1">
      <c r="A106" s="2" t="s">
        <v>25</v>
      </c>
      <c r="B106" s="27" t="str">
        <f t="shared" ref="B106:B113" si="22">VLOOKUP(A106,$A$15:$C$16,2,1)</f>
        <v>10.342810997499400</v>
      </c>
      <c r="C106" s="27" t="str">
        <f t="shared" ref="C106:C113" si="23">VLOOKUP(A106,$A$15:$C$16,3,1)</f>
        <v>-73.3521269905242</v>
      </c>
      <c r="D106" s="19" t="s">
        <v>61</v>
      </c>
      <c r="E106" s="20" t="s">
        <v>62</v>
      </c>
      <c r="F106" s="20" t="s">
        <v>63</v>
      </c>
      <c r="G106" s="2">
        <v>285.0</v>
      </c>
      <c r="H106" s="2">
        <v>5.04</v>
      </c>
      <c r="I106" s="2">
        <f t="shared" ref="I106:I113" si="24">G106/H106</f>
        <v>56.54761905</v>
      </c>
      <c r="J106" s="2">
        <f t="shared" ref="J106:J113" si="25">I106/$H$28</f>
        <v>1.615646259</v>
      </c>
      <c r="K106" s="2">
        <f t="shared" ref="K106:K113" si="26">J106*$B$11</f>
        <v>16.39719388</v>
      </c>
    </row>
    <row r="107" ht="14.25" customHeight="1">
      <c r="A107" s="2" t="s">
        <v>25</v>
      </c>
      <c r="B107" s="27" t="str">
        <f t="shared" si="22"/>
        <v>10.342810997499400</v>
      </c>
      <c r="C107" s="27" t="str">
        <f t="shared" si="23"/>
        <v>-73.3521269905242</v>
      </c>
      <c r="D107" s="19" t="s">
        <v>65</v>
      </c>
      <c r="E107" s="21" t="s">
        <v>66</v>
      </c>
      <c r="F107" s="21" t="s">
        <v>67</v>
      </c>
      <c r="G107" s="2">
        <v>865.0</v>
      </c>
      <c r="H107" s="2">
        <v>5.04</v>
      </c>
      <c r="I107" s="2">
        <f t="shared" si="24"/>
        <v>171.6269841</v>
      </c>
      <c r="J107" s="2">
        <f t="shared" si="25"/>
        <v>4.903628118</v>
      </c>
      <c r="K107" s="2">
        <f t="shared" si="26"/>
        <v>49.76692177</v>
      </c>
    </row>
    <row r="108" ht="14.25" customHeight="1">
      <c r="A108" s="2" t="s">
        <v>25</v>
      </c>
      <c r="B108" s="27" t="str">
        <f t="shared" si="22"/>
        <v>10.342810997499400</v>
      </c>
      <c r="C108" s="27" t="str">
        <f t="shared" si="23"/>
        <v>-73.3521269905242</v>
      </c>
      <c r="D108" s="19" t="s">
        <v>38</v>
      </c>
      <c r="E108" s="21" t="s">
        <v>70</v>
      </c>
      <c r="F108" s="21" t="s">
        <v>71</v>
      </c>
      <c r="G108" s="2">
        <v>931.0</v>
      </c>
      <c r="H108" s="2">
        <v>5.04</v>
      </c>
      <c r="I108" s="2">
        <f t="shared" si="24"/>
        <v>184.7222222</v>
      </c>
      <c r="J108" s="2">
        <f t="shared" si="25"/>
        <v>5.277777778</v>
      </c>
      <c r="K108" s="2">
        <f t="shared" si="26"/>
        <v>53.56416667</v>
      </c>
    </row>
    <row r="109" ht="14.25" customHeight="1">
      <c r="A109" s="2" t="s">
        <v>25</v>
      </c>
      <c r="B109" s="27" t="str">
        <f t="shared" si="22"/>
        <v>10.342810997499400</v>
      </c>
      <c r="C109" s="27" t="str">
        <f t="shared" si="23"/>
        <v>-73.3521269905242</v>
      </c>
      <c r="D109" s="19" t="s">
        <v>72</v>
      </c>
      <c r="E109" s="21" t="s">
        <v>73</v>
      </c>
      <c r="F109" s="21" t="s">
        <v>74</v>
      </c>
      <c r="G109" s="2">
        <v>1159.0</v>
      </c>
      <c r="H109" s="2">
        <v>5.04</v>
      </c>
      <c r="I109" s="2">
        <f t="shared" si="24"/>
        <v>229.9603175</v>
      </c>
      <c r="J109" s="2">
        <f t="shared" si="25"/>
        <v>6.570294785</v>
      </c>
      <c r="K109" s="2">
        <f t="shared" si="26"/>
        <v>66.68192177</v>
      </c>
    </row>
    <row r="110" ht="14.25" customHeight="1">
      <c r="A110" s="2" t="s">
        <v>30</v>
      </c>
      <c r="B110" s="27" t="str">
        <f t="shared" si="22"/>
        <v>5.53758754610531</v>
      </c>
      <c r="C110" s="27" t="str">
        <f t="shared" si="23"/>
        <v>-72.20012689684010</v>
      </c>
      <c r="D110" s="19" t="s">
        <v>61</v>
      </c>
      <c r="E110" s="20" t="s">
        <v>62</v>
      </c>
      <c r="F110" s="20" t="s">
        <v>63</v>
      </c>
      <c r="G110" s="2">
        <v>1106.0</v>
      </c>
      <c r="H110" s="2">
        <v>5.04</v>
      </c>
      <c r="I110" s="2">
        <f t="shared" si="24"/>
        <v>219.4444444</v>
      </c>
      <c r="J110" s="2">
        <f t="shared" si="25"/>
        <v>6.26984127</v>
      </c>
      <c r="K110" s="2">
        <f t="shared" si="26"/>
        <v>63.63261905</v>
      </c>
    </row>
    <row r="111" ht="14.25" customHeight="1">
      <c r="A111" s="2" t="s">
        <v>30</v>
      </c>
      <c r="B111" s="27" t="str">
        <f t="shared" si="22"/>
        <v>5.53758754610531</v>
      </c>
      <c r="C111" s="27" t="str">
        <f t="shared" si="23"/>
        <v>-72.20012689684010</v>
      </c>
      <c r="D111" s="19" t="s">
        <v>65</v>
      </c>
      <c r="E111" s="21" t="s">
        <v>66</v>
      </c>
      <c r="F111" s="21" t="s">
        <v>67</v>
      </c>
      <c r="G111" s="2">
        <v>533.0</v>
      </c>
      <c r="H111" s="2">
        <f>(6.48*239.72+4.8*134.7+3.26*194.98)/(239.72+134.7+194.98)</f>
        <v>4.979944503</v>
      </c>
      <c r="I111" s="2">
        <f t="shared" si="24"/>
        <v>107.0293052</v>
      </c>
      <c r="J111" s="2">
        <f t="shared" si="25"/>
        <v>3.057980148</v>
      </c>
      <c r="K111" s="2">
        <f t="shared" si="26"/>
        <v>31.03544052</v>
      </c>
    </row>
    <row r="112" ht="14.25" customHeight="1">
      <c r="A112" s="2" t="s">
        <v>30</v>
      </c>
      <c r="B112" s="27" t="str">
        <f t="shared" si="22"/>
        <v>5.53758754610531</v>
      </c>
      <c r="C112" s="27" t="str">
        <f t="shared" si="23"/>
        <v>-72.20012689684010</v>
      </c>
      <c r="D112" s="19" t="s">
        <v>38</v>
      </c>
      <c r="E112" s="21" t="s">
        <v>70</v>
      </c>
      <c r="F112" s="21" t="s">
        <v>71</v>
      </c>
      <c r="G112" s="2">
        <v>466.0</v>
      </c>
      <c r="H112" s="2">
        <v>4.8</v>
      </c>
      <c r="I112" s="2">
        <f t="shared" si="24"/>
        <v>97.08333333</v>
      </c>
      <c r="J112" s="2">
        <f t="shared" si="25"/>
        <v>2.773809524</v>
      </c>
      <c r="K112" s="2">
        <f t="shared" si="26"/>
        <v>28.15139286</v>
      </c>
    </row>
    <row r="113" ht="14.25" customHeight="1">
      <c r="A113" s="2" t="s">
        <v>30</v>
      </c>
      <c r="B113" s="27" t="str">
        <f t="shared" si="22"/>
        <v>5.53758754610531</v>
      </c>
      <c r="C113" s="27" t="str">
        <f t="shared" si="23"/>
        <v>-72.20012689684010</v>
      </c>
      <c r="D113" s="19" t="s">
        <v>72</v>
      </c>
      <c r="E113" s="21" t="s">
        <v>73</v>
      </c>
      <c r="F113" s="21" t="s">
        <v>74</v>
      </c>
      <c r="G113" s="2">
        <v>875.0</v>
      </c>
      <c r="H113" s="2">
        <f>(6.48*476.25+4.8*150.98+3.26*222.91)/(476.25+150.98+222.91)</f>
        <v>5.337345143</v>
      </c>
      <c r="I113" s="2">
        <f t="shared" si="24"/>
        <v>163.9391826</v>
      </c>
      <c r="J113" s="2">
        <f t="shared" si="25"/>
        <v>4.683976646</v>
      </c>
      <c r="K113" s="2">
        <f t="shared" si="26"/>
        <v>47.53767898</v>
      </c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G8:G10"/>
    <mergeCell ref="A12:D12"/>
    <mergeCell ref="G14:T14"/>
    <mergeCell ref="G15:T15"/>
    <mergeCell ref="G16:T16"/>
    <mergeCell ref="G17:T17"/>
  </mergeCells>
  <hyperlinks>
    <hyperlink r:id="rId1" ref="G14"/>
    <hyperlink r:id="rId2" ref="G15"/>
    <hyperlink r:id="rId3" ref="G32"/>
  </hyperlinks>
  <printOptions/>
  <pageMargins bottom="0.75" footer="0.0" header="0.0" left="0.7" right="0.7" top="0.75"/>
  <pageSetup orientation="landscape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" t="s">
        <v>58</v>
      </c>
      <c r="B1" s="2" t="s">
        <v>124</v>
      </c>
    </row>
    <row r="2" ht="14.25" customHeight="1">
      <c r="A2" s="2" t="s">
        <v>61</v>
      </c>
      <c r="B2" s="2">
        <v>2000.0</v>
      </c>
    </row>
    <row r="3" ht="14.25" customHeight="1">
      <c r="A3" s="2" t="s">
        <v>65</v>
      </c>
      <c r="B3" s="2">
        <v>1000.0</v>
      </c>
    </row>
    <row r="4" ht="14.25" customHeight="1">
      <c r="A4" s="2" t="s">
        <v>38</v>
      </c>
      <c r="B4" s="2">
        <v>1000.0</v>
      </c>
    </row>
    <row r="5" ht="14.25" customHeight="1">
      <c r="A5" s="2" t="s">
        <v>72</v>
      </c>
      <c r="B5" s="2">
        <v>2500.0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0"/>
    <col customWidth="1" min="3" max="3" width="12.25"/>
    <col customWidth="1" min="4" max="26" width="10.0"/>
  </cols>
  <sheetData>
    <row r="1" ht="14.25" customHeight="1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</row>
    <row r="2" ht="14.25" customHeight="1">
      <c r="A2" s="26" t="s">
        <v>61</v>
      </c>
      <c r="B2" s="26" t="s">
        <v>61</v>
      </c>
      <c r="C2" s="26" t="s">
        <v>105</v>
      </c>
      <c r="D2" s="26"/>
      <c r="E2" s="26"/>
      <c r="F2" s="29" t="s">
        <v>62</v>
      </c>
      <c r="G2" s="29" t="s">
        <v>63</v>
      </c>
    </row>
    <row r="3" ht="14.25" customHeight="1">
      <c r="A3" s="2" t="s">
        <v>106</v>
      </c>
      <c r="B3" s="2" t="s">
        <v>106</v>
      </c>
      <c r="C3" s="2" t="s">
        <v>107</v>
      </c>
      <c r="D3" s="2">
        <v>60.0</v>
      </c>
      <c r="F3" s="20"/>
      <c r="G3" s="20"/>
    </row>
    <row r="4" ht="14.25" customHeight="1">
      <c r="A4" s="26" t="s">
        <v>65</v>
      </c>
      <c r="B4" s="26" t="s">
        <v>65</v>
      </c>
      <c r="C4" s="26" t="s">
        <v>108</v>
      </c>
      <c r="D4" s="26">
        <v>40.0</v>
      </c>
      <c r="E4" s="26"/>
      <c r="F4" s="30" t="s">
        <v>66</v>
      </c>
      <c r="G4" s="30" t="s">
        <v>67</v>
      </c>
    </row>
    <row r="5" ht="14.25" customHeight="1">
      <c r="A5" s="26" t="s">
        <v>38</v>
      </c>
      <c r="B5" s="26" t="s">
        <v>109</v>
      </c>
      <c r="C5" s="26" t="s">
        <v>110</v>
      </c>
      <c r="D5" s="26">
        <v>40.0</v>
      </c>
      <c r="E5" s="26"/>
      <c r="F5" s="30" t="s">
        <v>70</v>
      </c>
      <c r="G5" s="30" t="s">
        <v>71</v>
      </c>
    </row>
    <row r="6" ht="14.25" customHeight="1">
      <c r="A6" s="2" t="s">
        <v>111</v>
      </c>
      <c r="B6" s="2" t="s">
        <v>112</v>
      </c>
      <c r="C6" s="2" t="s">
        <v>107</v>
      </c>
      <c r="D6" s="2">
        <v>60.0</v>
      </c>
      <c r="E6" s="31" t="s">
        <v>113</v>
      </c>
      <c r="F6" s="11"/>
      <c r="G6" s="11"/>
    </row>
    <row r="7" ht="14.25" customHeight="1">
      <c r="A7" s="2" t="s">
        <v>114</v>
      </c>
      <c r="B7" s="2" t="s">
        <v>114</v>
      </c>
      <c r="C7" s="2" t="s">
        <v>115</v>
      </c>
      <c r="D7" s="2">
        <v>70.0</v>
      </c>
      <c r="F7" s="20"/>
      <c r="G7" s="20"/>
    </row>
    <row r="8" ht="14.25" customHeight="1">
      <c r="A8" s="26" t="s">
        <v>72</v>
      </c>
      <c r="B8" s="26" t="s">
        <v>116</v>
      </c>
      <c r="C8" s="26" t="s">
        <v>117</v>
      </c>
      <c r="D8" s="26">
        <v>72.0</v>
      </c>
      <c r="E8" s="26"/>
      <c r="F8" s="30" t="s">
        <v>73</v>
      </c>
      <c r="G8" s="30" t="s">
        <v>74</v>
      </c>
    </row>
    <row r="9" ht="14.25" customHeight="1">
      <c r="A9" s="2" t="s">
        <v>118</v>
      </c>
      <c r="B9" s="2" t="s">
        <v>119</v>
      </c>
      <c r="C9" s="2" t="s">
        <v>110</v>
      </c>
      <c r="D9" s="2">
        <v>200.0</v>
      </c>
      <c r="F9" s="20"/>
      <c r="G9" s="20"/>
    </row>
    <row r="10" ht="14.25" customHeight="1">
      <c r="A10" s="2" t="s">
        <v>46</v>
      </c>
      <c r="B10" s="2" t="s">
        <v>46</v>
      </c>
      <c r="C10" s="2" t="s">
        <v>120</v>
      </c>
      <c r="D10" s="2">
        <v>60.0</v>
      </c>
      <c r="F10" s="20"/>
      <c r="G10" s="20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9" t="s">
        <v>19</v>
      </c>
      <c r="B1" s="32" t="s">
        <v>121</v>
      </c>
    </row>
    <row r="2" ht="14.25" customHeight="1">
      <c r="A2" s="2" t="s">
        <v>25</v>
      </c>
      <c r="B2" s="2">
        <v>960.0</v>
      </c>
    </row>
    <row r="3" ht="14.25" customHeight="1">
      <c r="A3" s="2" t="s">
        <v>30</v>
      </c>
      <c r="B3" s="2">
        <v>1152.0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7.38"/>
    <col customWidth="1" min="3" max="3" width="10.63"/>
    <col customWidth="1" min="4" max="26" width="7.75"/>
  </cols>
  <sheetData>
    <row r="1" ht="14.25" customHeight="1">
      <c r="A1" s="33" t="s">
        <v>19</v>
      </c>
      <c r="B1" s="33" t="s">
        <v>90</v>
      </c>
      <c r="C1" s="33" t="s">
        <v>94</v>
      </c>
    </row>
    <row r="2" ht="14.25" customHeight="1">
      <c r="A2" s="2" t="s">
        <v>25</v>
      </c>
      <c r="B2" s="2" t="s">
        <v>38</v>
      </c>
      <c r="C2">
        <v>80.97359203296703</v>
      </c>
    </row>
    <row r="3" ht="14.25" customHeight="1">
      <c r="A3" s="2" t="s">
        <v>25</v>
      </c>
      <c r="B3" s="2" t="s">
        <v>42</v>
      </c>
      <c r="C3">
        <v>73.87216471028971</v>
      </c>
    </row>
    <row r="4" ht="14.25" customHeight="1">
      <c r="A4" s="2" t="s">
        <v>25</v>
      </c>
      <c r="B4" s="2" t="s">
        <v>46</v>
      </c>
      <c r="C4">
        <v>63.82624313186813</v>
      </c>
    </row>
    <row r="5" ht="14.25" customHeight="1">
      <c r="A5" s="2" t="s">
        <v>25</v>
      </c>
      <c r="B5" s="2" t="s">
        <v>30</v>
      </c>
      <c r="C5">
        <v>80.54057817182816</v>
      </c>
    </row>
    <row r="6" ht="14.25" customHeight="1">
      <c r="A6" s="2" t="s">
        <v>30</v>
      </c>
      <c r="B6" s="2" t="s">
        <v>38</v>
      </c>
      <c r="C6">
        <v>38.62483641358641</v>
      </c>
    </row>
    <row r="7" ht="14.25" customHeight="1">
      <c r="A7" s="2" t="s">
        <v>30</v>
      </c>
      <c r="B7" s="2" t="s">
        <v>42</v>
      </c>
      <c r="C7">
        <v>51.26884115884115</v>
      </c>
    </row>
    <row r="8" ht="14.25" customHeight="1">
      <c r="A8" s="2" t="s">
        <v>30</v>
      </c>
      <c r="B8" s="2" t="s">
        <v>46</v>
      </c>
      <c r="C8">
        <v>21.39088474025974</v>
      </c>
    </row>
    <row r="9" ht="14.25" customHeight="1">
      <c r="A9" s="2" t="s">
        <v>30</v>
      </c>
      <c r="B9" s="2" t="s">
        <v>30</v>
      </c>
      <c r="C9">
        <v>3.464110889110889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78</v>
      </c>
      <c r="B1" s="15" t="s">
        <v>122</v>
      </c>
    </row>
    <row r="2">
      <c r="A2" s="2" t="s">
        <v>80</v>
      </c>
      <c r="B2" s="17">
        <v>2000.0</v>
      </c>
    </row>
    <row r="3">
      <c r="A3" s="2" t="s">
        <v>81</v>
      </c>
      <c r="B3" s="17">
        <v>2000.0</v>
      </c>
    </row>
    <row r="4">
      <c r="A4" s="2" t="s">
        <v>82</v>
      </c>
      <c r="B4" s="17">
        <v>2000.0</v>
      </c>
    </row>
    <row r="5">
      <c r="A5" s="2" t="s">
        <v>83</v>
      </c>
      <c r="B5" s="17">
        <v>2000.0</v>
      </c>
    </row>
    <row r="6">
      <c r="A6" s="2" t="s">
        <v>84</v>
      </c>
      <c r="B6" s="17">
        <v>2000.0</v>
      </c>
    </row>
    <row r="7">
      <c r="A7" s="2" t="s">
        <v>85</v>
      </c>
      <c r="B7" s="17">
        <v>2000.0</v>
      </c>
    </row>
    <row r="8">
      <c r="A8" s="2" t="s">
        <v>86</v>
      </c>
      <c r="B8" s="17">
        <v>2000.0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0.38"/>
    <col customWidth="1" min="3" max="26" width="7.75"/>
  </cols>
  <sheetData>
    <row r="1" ht="14.25" customHeight="1">
      <c r="A1" s="2" t="s">
        <v>37</v>
      </c>
      <c r="B1" s="2" t="s">
        <v>58</v>
      </c>
      <c r="C1" s="2" t="s">
        <v>94</v>
      </c>
    </row>
    <row r="2" ht="14.25" customHeight="1">
      <c r="A2" s="2" t="s">
        <v>38</v>
      </c>
      <c r="B2" s="2" t="s">
        <v>61</v>
      </c>
      <c r="C2" s="2">
        <v>61.44632653061224</v>
      </c>
    </row>
    <row r="3" ht="14.25" customHeight="1">
      <c r="A3" s="2" t="s">
        <v>38</v>
      </c>
      <c r="B3" s="2" t="s">
        <v>65</v>
      </c>
      <c r="C3" s="2">
        <v>4.25751700680272</v>
      </c>
    </row>
    <row r="4" ht="14.25" customHeight="1">
      <c r="A4" s="2" t="s">
        <v>38</v>
      </c>
      <c r="B4" s="2" t="s">
        <v>38</v>
      </c>
      <c r="C4" s="2">
        <v>0.23013605442176868</v>
      </c>
    </row>
    <row r="5" ht="14.25" customHeight="1">
      <c r="A5" s="2" t="s">
        <v>38</v>
      </c>
      <c r="B5" s="2" t="s">
        <v>72</v>
      </c>
      <c r="C5" s="2">
        <v>24.451955782312922</v>
      </c>
    </row>
    <row r="6" ht="14.25" customHeight="1">
      <c r="A6" s="2" t="s">
        <v>42</v>
      </c>
      <c r="B6" s="2" t="s">
        <v>61</v>
      </c>
      <c r="C6" s="2">
        <v>56.843605442176866</v>
      </c>
    </row>
    <row r="7" ht="14.25" customHeight="1">
      <c r="A7" s="2" t="s">
        <v>42</v>
      </c>
      <c r="B7" s="2" t="s">
        <v>65</v>
      </c>
      <c r="C7" s="2">
        <v>3.336972789115646</v>
      </c>
    </row>
    <row r="8" ht="14.25" customHeight="1">
      <c r="A8" s="2" t="s">
        <v>42</v>
      </c>
      <c r="B8" s="2" t="s">
        <v>38</v>
      </c>
      <c r="C8" s="2">
        <v>7.076683673469387</v>
      </c>
    </row>
    <row r="9" ht="14.25" customHeight="1">
      <c r="A9" s="2" t="s">
        <v>42</v>
      </c>
      <c r="B9" s="2" t="s">
        <v>72</v>
      </c>
      <c r="C9" s="2">
        <v>18.0081462585034</v>
      </c>
    </row>
    <row r="10" ht="14.25" customHeight="1">
      <c r="A10" s="2" t="s">
        <v>46</v>
      </c>
      <c r="B10" s="2" t="s">
        <v>61</v>
      </c>
      <c r="C10" s="2">
        <v>50.16965986394557</v>
      </c>
    </row>
    <row r="11" ht="14.25" customHeight="1">
      <c r="A11" s="2" t="s">
        <v>46</v>
      </c>
      <c r="B11" s="2" t="s">
        <v>65</v>
      </c>
      <c r="C11" s="2">
        <v>15.764319727891156</v>
      </c>
    </row>
    <row r="12" ht="14.25" customHeight="1">
      <c r="A12" s="2" t="s">
        <v>46</v>
      </c>
      <c r="B12" s="2" t="s">
        <v>38</v>
      </c>
      <c r="C12" s="2">
        <v>11.852006802721087</v>
      </c>
    </row>
    <row r="13" ht="14.25" customHeight="1">
      <c r="A13" s="2" t="s">
        <v>46</v>
      </c>
      <c r="B13" s="2" t="s">
        <v>72</v>
      </c>
      <c r="C13" s="2">
        <v>40.21627551020408</v>
      </c>
    </row>
    <row r="14" ht="14.25" customHeight="1">
      <c r="A14" s="2" t="s">
        <v>30</v>
      </c>
      <c r="B14" s="2" t="s">
        <v>61</v>
      </c>
      <c r="C14" s="2">
        <v>60.123044217687074</v>
      </c>
    </row>
    <row r="15" ht="14.25" customHeight="1">
      <c r="A15" s="2" t="s">
        <v>30</v>
      </c>
      <c r="B15" s="2" t="s">
        <v>65</v>
      </c>
      <c r="C15" s="2">
        <v>27.61632653061224</v>
      </c>
    </row>
    <row r="16" ht="14.25" customHeight="1">
      <c r="A16" s="2" t="s">
        <v>30</v>
      </c>
      <c r="B16" s="2" t="s">
        <v>38</v>
      </c>
      <c r="C16" s="2">
        <v>23.704013605442174</v>
      </c>
    </row>
    <row r="17" ht="14.25" customHeight="1">
      <c r="A17" s="2" t="s">
        <v>30</v>
      </c>
      <c r="B17" s="2" t="s">
        <v>72</v>
      </c>
      <c r="C17" s="2">
        <v>52.06828231292516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10.13"/>
    <col customWidth="1" min="3" max="3" width="13.0"/>
    <col customWidth="1" min="4" max="26" width="7.75"/>
  </cols>
  <sheetData>
    <row r="1" ht="14.25" customHeight="1">
      <c r="A1" s="9" t="str">
        <f>'Datos necesarios'!A74</f>
        <v>Cementera</v>
      </c>
      <c r="B1" s="9" t="str">
        <f>'Datos necesarios'!D74</f>
        <v>Concretera</v>
      </c>
      <c r="C1" s="9" t="s">
        <v>94</v>
      </c>
    </row>
    <row r="2" ht="14.25" customHeight="1">
      <c r="A2" s="19" t="str">
        <f>'Datos necesarios'!A75</f>
        <v>Rioclaro</v>
      </c>
      <c r="B2" s="19" t="str">
        <f>'Datos necesarios'!D75</f>
        <v>Barranquilla</v>
      </c>
      <c r="C2" s="2">
        <v>49.46819662491005</v>
      </c>
    </row>
    <row r="3" ht="14.25" customHeight="1">
      <c r="A3" s="19" t="str">
        <f>'Datos necesarios'!A76</f>
        <v>Rioclaro</v>
      </c>
      <c r="B3" s="19" t="str">
        <f>'Datos necesarios'!D76</f>
        <v>Flandes</v>
      </c>
      <c r="C3" s="2">
        <v>19.789866418488895</v>
      </c>
    </row>
    <row r="4" ht="14.25" customHeight="1">
      <c r="A4" s="19" t="str">
        <f>'Datos necesarios'!A77</f>
        <v>Rioclaro</v>
      </c>
      <c r="B4" s="19" t="str">
        <f>'Datos necesarios'!D77</f>
        <v>Fusagasuga</v>
      </c>
      <c r="C4" s="2">
        <v>20.80166567493496</v>
      </c>
    </row>
    <row r="5" ht="14.25" customHeight="1">
      <c r="A5" s="19" t="str">
        <f>'Datos necesarios'!A78</f>
        <v>Rioclaro</v>
      </c>
      <c r="B5" s="19" t="str">
        <f>'Datos necesarios'!D78</f>
        <v>Pto_Tejada</v>
      </c>
      <c r="C5" s="2">
        <v>35.328929541044396</v>
      </c>
    </row>
    <row r="6" ht="14.25" customHeight="1">
      <c r="A6" s="19" t="str">
        <f>'Datos necesarios'!A79</f>
        <v>Yumbo</v>
      </c>
      <c r="B6" s="19" t="str">
        <f>'Datos necesarios'!D79</f>
        <v>Barranquilla</v>
      </c>
      <c r="C6" s="2">
        <v>69.35309830983172</v>
      </c>
    </row>
    <row r="7" ht="14.25" customHeight="1">
      <c r="A7" s="19" t="str">
        <f>'Datos necesarios'!A80</f>
        <v>Yumbo</v>
      </c>
      <c r="B7" s="19" t="str">
        <f>'Datos necesarios'!D80</f>
        <v>Flandes</v>
      </c>
      <c r="C7" s="2">
        <v>17.192926605139903</v>
      </c>
    </row>
    <row r="8" ht="14.25" customHeight="1">
      <c r="A8" s="19" t="str">
        <f>'Datos necesarios'!A81</f>
        <v>Yumbo</v>
      </c>
      <c r="B8" s="19" t="str">
        <f>'Datos necesarios'!D81</f>
        <v>Fusagasuga</v>
      </c>
      <c r="C8" s="2">
        <v>21.454450224804415</v>
      </c>
    </row>
    <row r="9" ht="14.25" customHeight="1">
      <c r="A9" s="19" t="str">
        <f>'Datos necesarios'!A82</f>
        <v>Yumbo</v>
      </c>
      <c r="B9" s="19" t="str">
        <f>'Datos necesarios'!D82</f>
        <v>Pto_Tejada</v>
      </c>
      <c r="C9" s="2">
        <v>1.74967328042328</v>
      </c>
    </row>
    <row r="10" ht="14.25" customHeight="1">
      <c r="A10" s="19" t="str">
        <f>'Datos necesarios'!A83</f>
        <v>Tolú viejo</v>
      </c>
      <c r="B10" s="19" t="str">
        <f>'Datos necesarios'!D83</f>
        <v>Barranquilla</v>
      </c>
      <c r="C10" s="2">
        <v>12.440132275132274</v>
      </c>
    </row>
    <row r="11" ht="14.25" customHeight="1">
      <c r="A11" s="19" t="str">
        <f>'Datos necesarios'!A84</f>
        <v>Tolú viejo</v>
      </c>
      <c r="B11" s="19" t="str">
        <f>'Datos necesarios'!D84</f>
        <v>Flandes</v>
      </c>
      <c r="C11" s="2">
        <v>53.79430272108843</v>
      </c>
    </row>
    <row r="12" ht="14.25" customHeight="1">
      <c r="A12" s="19" t="str">
        <f>'Datos necesarios'!A85</f>
        <v>Tolú viejo</v>
      </c>
      <c r="B12" s="19" t="str">
        <f>'Datos necesarios'!D85</f>
        <v>Fusagasuga</v>
      </c>
      <c r="C12" s="2">
        <v>60.471125</v>
      </c>
    </row>
    <row r="13" ht="14.25" customHeight="1">
      <c r="A13" s="19" t="str">
        <f>'Datos necesarios'!A86</f>
        <v>Tolú viejo</v>
      </c>
      <c r="B13" s="19" t="str">
        <f>'Datos necesarios'!D86</f>
        <v>Pto_Tejada</v>
      </c>
      <c r="C13" s="2">
        <v>54.19704081632653</v>
      </c>
    </row>
    <row r="14" ht="14.25" customHeight="1">
      <c r="A14" s="19" t="str">
        <f>'Datos necesarios'!A87</f>
        <v>Cartagena</v>
      </c>
      <c r="B14" s="19" t="str">
        <f>'Datos necesarios'!D87</f>
        <v>Barranquilla</v>
      </c>
      <c r="C14" s="2">
        <v>6.354312169312168</v>
      </c>
    </row>
    <row r="15" ht="14.25" customHeight="1">
      <c r="A15" s="19" t="str">
        <f>'Datos necesarios'!A88</f>
        <v>Cartagena</v>
      </c>
      <c r="B15" s="19" t="str">
        <f>'Datos necesarios'!D88</f>
        <v>Flandes</v>
      </c>
      <c r="C15" s="2">
        <v>51.59608006249527</v>
      </c>
    </row>
    <row r="16" ht="14.25" customHeight="1">
      <c r="A16" s="19" t="str">
        <f>'Datos necesarios'!A89</f>
        <v>Cartagena</v>
      </c>
      <c r="B16" s="19" t="str">
        <f>'Datos necesarios'!D89</f>
        <v>Fusagasuga</v>
      </c>
      <c r="C16" s="2">
        <v>55.39785923523455</v>
      </c>
    </row>
    <row r="17" ht="14.25" customHeight="1">
      <c r="A17" s="19" t="str">
        <f>'Datos necesarios'!A90</f>
        <v>Cartagena</v>
      </c>
      <c r="B17" s="19" t="str">
        <f>'Datos necesarios'!D90</f>
        <v>Pto_Tejada</v>
      </c>
      <c r="C17" s="2">
        <v>60.578074590074856</v>
      </c>
    </row>
    <row r="18" ht="14.25" customHeight="1">
      <c r="A18" s="19" t="str">
        <f>'Datos necesarios'!A91</f>
        <v>Sogamoso</v>
      </c>
      <c r="B18" s="19" t="str">
        <f>'Datos necesarios'!D91</f>
        <v>Barranquilla</v>
      </c>
      <c r="C18" s="2">
        <v>51.333455805224126</v>
      </c>
    </row>
    <row r="19" ht="14.25" customHeight="1">
      <c r="A19" s="19" t="str">
        <f>'Datos necesarios'!A92</f>
        <v>Sogamoso</v>
      </c>
      <c r="B19" s="19" t="str">
        <f>'Datos necesarios'!D92</f>
        <v>Flandes</v>
      </c>
      <c r="C19" s="2">
        <v>19.125650435180948</v>
      </c>
    </row>
    <row r="20" ht="14.25" customHeight="1">
      <c r="A20" s="19" t="str">
        <f>'Datos necesarios'!A93</f>
        <v>Sogamoso</v>
      </c>
      <c r="B20" s="19" t="str">
        <f>'Datos necesarios'!D93</f>
        <v>Fusagasuga</v>
      </c>
      <c r="C20" s="2">
        <v>14.566988581815545</v>
      </c>
    </row>
    <row r="21" ht="14.25" customHeight="1">
      <c r="A21" s="19" t="str">
        <f>'Datos necesarios'!A94</f>
        <v>Sogamoso</v>
      </c>
      <c r="B21" s="19" t="str">
        <f>'Datos necesarios'!D94</f>
        <v>Pto_Tejada</v>
      </c>
      <c r="C21" s="2">
        <v>35.296992238233464</v>
      </c>
    </row>
    <row r="22" ht="14.25" customHeight="1">
      <c r="A22" s="19" t="str">
        <f>'Datos necesarios'!A95</f>
        <v>Montebello</v>
      </c>
      <c r="B22" s="19" t="str">
        <f>'Datos necesarios'!D95</f>
        <v>Barranquilla</v>
      </c>
      <c r="C22" s="2">
        <v>44.86892197104672</v>
      </c>
    </row>
    <row r="23" ht="14.25" customHeight="1">
      <c r="A23" s="19" t="str">
        <f>'Datos necesarios'!A96</f>
        <v>Montebello</v>
      </c>
      <c r="B23" s="19" t="str">
        <f>'Datos necesarios'!D96</f>
        <v>Flandes</v>
      </c>
      <c r="C23" s="2">
        <v>26.110584209945422</v>
      </c>
    </row>
    <row r="24" ht="14.25" customHeight="1">
      <c r="A24" s="19" t="str">
        <f>'Datos necesarios'!A97</f>
        <v>Montebello</v>
      </c>
      <c r="B24" s="19" t="str">
        <f>'Datos necesarios'!D97</f>
        <v>Fusagasuga</v>
      </c>
      <c r="C24" s="2">
        <v>24.579116483299618</v>
      </c>
    </row>
    <row r="25" ht="14.25" customHeight="1">
      <c r="A25" s="19" t="str">
        <f>'Datos necesarios'!A98</f>
        <v>Montebello</v>
      </c>
      <c r="B25" s="19" t="str">
        <f>'Datos necesarios'!D98</f>
        <v>Pto_Tejada</v>
      </c>
      <c r="C25" s="2">
        <v>24.228585848423876</v>
      </c>
    </row>
    <row r="26" ht="14.25" customHeight="1">
      <c r="A26" s="19" t="str">
        <f>'Datos necesarios'!A99</f>
        <v>Nare</v>
      </c>
      <c r="B26" s="19" t="str">
        <f>'Datos necesarios'!D99</f>
        <v>Barranquilla</v>
      </c>
      <c r="C26" s="2">
        <v>38.69843445734783</v>
      </c>
    </row>
    <row r="27" ht="14.25" customHeight="1">
      <c r="A27" s="19" t="str">
        <f>'Datos necesarios'!A100</f>
        <v>Nare</v>
      </c>
      <c r="B27" s="19" t="str">
        <f>'Datos necesarios'!D100</f>
        <v>Flandes</v>
      </c>
      <c r="C27" s="2">
        <v>16.569795918367348</v>
      </c>
    </row>
    <row r="28" ht="14.25" customHeight="1">
      <c r="A28" s="19" t="str">
        <f>'Datos necesarios'!A101</f>
        <v>Nare</v>
      </c>
      <c r="B28" s="19" t="str">
        <f>'Datos necesarios'!D101</f>
        <v>Fusagasuga</v>
      </c>
      <c r="C28" s="2">
        <v>16.17799408450214</v>
      </c>
    </row>
    <row r="29" ht="14.25" customHeight="1">
      <c r="A29" s="19" t="str">
        <f>'Datos necesarios'!A102</f>
        <v>Nare</v>
      </c>
      <c r="B29" s="19" t="str">
        <f>'Datos necesarios'!D102</f>
        <v>Pto_Tejada</v>
      </c>
      <c r="C29" s="2">
        <v>34.90409725845379</v>
      </c>
    </row>
    <row r="30" ht="14.25" customHeight="1">
      <c r="A30" s="19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9" t="s">
        <v>19</v>
      </c>
      <c r="B1" s="32" t="s">
        <v>123</v>
      </c>
    </row>
    <row r="2" ht="14.25" customHeight="1">
      <c r="A2" s="2" t="s">
        <v>25</v>
      </c>
      <c r="B2" s="2">
        <v>192.0</v>
      </c>
    </row>
    <row r="3" ht="14.25" customHeight="1">
      <c r="A3" s="2" t="s">
        <v>30</v>
      </c>
      <c r="B3" s="2">
        <v>230.4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0.0"/>
    <col customWidth="1" min="3" max="3" width="16.13"/>
    <col customWidth="1" min="4" max="26" width="7.75"/>
  </cols>
  <sheetData>
    <row r="1" ht="14.25" customHeight="1">
      <c r="A1" s="9" t="str">
        <f>'Datos necesarios'!A105</f>
        <v>Arrocera</v>
      </c>
      <c r="B1" s="9" t="str">
        <f>'Datos necesarios'!D105</f>
        <v>Concretera</v>
      </c>
      <c r="C1" s="9" t="s">
        <v>94</v>
      </c>
    </row>
    <row r="2" ht="14.25" customHeight="1">
      <c r="A2" s="2" t="str">
        <f>'Datos necesarios'!A106</f>
        <v>Valledupar</v>
      </c>
      <c r="B2" s="2" t="str">
        <f>'Datos necesarios'!D106</f>
        <v>Barranquilla</v>
      </c>
      <c r="C2" s="2">
        <v>16.397193877551018</v>
      </c>
    </row>
    <row r="3" ht="14.25" customHeight="1">
      <c r="A3" s="2" t="str">
        <f>'Datos necesarios'!A107</f>
        <v>Valledupar</v>
      </c>
      <c r="B3" s="2" t="str">
        <f>'Datos necesarios'!D107</f>
        <v>Flandes</v>
      </c>
      <c r="C3" s="2">
        <v>49.766921768707476</v>
      </c>
    </row>
    <row r="4" ht="14.25" customHeight="1">
      <c r="A4" s="2" t="str">
        <f>'Datos necesarios'!A108</f>
        <v>Valledupar</v>
      </c>
      <c r="B4" s="2" t="str">
        <f>'Datos necesarios'!D108</f>
        <v>Fusagasuga</v>
      </c>
      <c r="C4" s="2">
        <v>53.56416666666666</v>
      </c>
    </row>
    <row r="5" ht="14.25" customHeight="1">
      <c r="A5" s="2" t="str">
        <f>'Datos necesarios'!A109</f>
        <v>Valledupar</v>
      </c>
      <c r="B5" s="2" t="str">
        <f>'Datos necesarios'!D109</f>
        <v>Pto_Tejada</v>
      </c>
      <c r="C5" s="2">
        <v>66.68192176870748</v>
      </c>
    </row>
    <row r="6" ht="14.25" customHeight="1">
      <c r="A6" s="2" t="str">
        <f>'Datos necesarios'!A110</f>
        <v>Yopal</v>
      </c>
      <c r="B6" s="2" t="str">
        <f>'Datos necesarios'!D110</f>
        <v>Barranquilla</v>
      </c>
      <c r="C6" s="2">
        <v>63.632619047619045</v>
      </c>
    </row>
    <row r="7" ht="14.25" customHeight="1">
      <c r="A7" s="2" t="str">
        <f>'Datos necesarios'!A111</f>
        <v>Yopal</v>
      </c>
      <c r="B7" s="2" t="str">
        <f>'Datos necesarios'!D111</f>
        <v>Flandes</v>
      </c>
      <c r="C7" s="2">
        <v>31.03544052266286</v>
      </c>
    </row>
    <row r="8" ht="14.25" customHeight="1">
      <c r="A8" s="2" t="str">
        <f>'Datos necesarios'!A112</f>
        <v>Yopal</v>
      </c>
      <c r="B8" s="2" t="str">
        <f>'Datos necesarios'!D112</f>
        <v>Fusagasuga</v>
      </c>
      <c r="C8" s="2">
        <v>28.15139285714286</v>
      </c>
    </row>
    <row r="9" ht="14.25" customHeight="1">
      <c r="A9" s="2" t="str">
        <f>'Datos necesarios'!A113</f>
        <v>Yopal</v>
      </c>
      <c r="B9" s="2" t="str">
        <f>'Datos necesarios'!D113</f>
        <v>Pto_Tejada</v>
      </c>
      <c r="C9" s="2">
        <v>47.53767897612835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2021-01-14T22:07:24Z</dcterms:created>
  <dc:creator>Daniel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0x010100AC1304BFFD8C7C4682773079C78ACA26</vt:lpwstr>
  </property>
</Properties>
</file>