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n\Desktop\"/>
    </mc:Choice>
  </mc:AlternateContent>
  <xr:revisionPtr revIDLastSave="0" documentId="8_{F375F97D-D951-4820-A9FF-6EB374271D64}" xr6:coauthVersionLast="47" xr6:coauthVersionMax="47" xr10:uidLastSave="{00000000-0000-0000-0000-000000000000}"/>
  <bookViews>
    <workbookView xWindow="-120" yWindow="-120" windowWidth="38640" windowHeight="21240" xr2:uid="{99C2F4F1-08FE-4382-8A51-229F85C16CD1}"/>
  </bookViews>
  <sheets>
    <sheet name="3-statement Model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6" i="1" l="1"/>
  <c r="D126" i="1"/>
  <c r="C126" i="1"/>
  <c r="D119" i="1"/>
  <c r="E119" i="1"/>
  <c r="D120" i="1"/>
  <c r="E120" i="1"/>
  <c r="D121" i="1"/>
  <c r="E121" i="1"/>
  <c r="D122" i="1"/>
  <c r="E122" i="1"/>
  <c r="D123" i="1"/>
  <c r="E123" i="1"/>
  <c r="E50" i="1" s="1"/>
  <c r="C123" i="1"/>
  <c r="C122" i="1"/>
  <c r="C121" i="1"/>
  <c r="C120" i="1"/>
  <c r="C119" i="1"/>
  <c r="D116" i="1"/>
  <c r="E116" i="1"/>
  <c r="E36" i="1" s="1"/>
  <c r="D36" i="1"/>
  <c r="D115" i="1"/>
  <c r="E115" i="1"/>
  <c r="C116" i="1"/>
  <c r="C36" i="1" s="1"/>
  <c r="C115" i="1"/>
  <c r="D108" i="1"/>
  <c r="D109" i="1"/>
  <c r="D113" i="1" s="1"/>
  <c r="D110" i="1"/>
  <c r="D111" i="1"/>
  <c r="D112" i="1"/>
  <c r="C112" i="1"/>
  <c r="C111" i="1"/>
  <c r="C110" i="1"/>
  <c r="E98" i="1"/>
  <c r="D98" i="1"/>
  <c r="E99" i="1"/>
  <c r="D99" i="1"/>
  <c r="E90" i="1"/>
  <c r="E91" i="1"/>
  <c r="E92" i="1"/>
  <c r="E93" i="1"/>
  <c r="F68" i="1" s="1"/>
  <c r="E94" i="1"/>
  <c r="E95" i="1"/>
  <c r="D95" i="1"/>
  <c r="D94" i="1"/>
  <c r="D93" i="1"/>
  <c r="D92" i="1"/>
  <c r="D91" i="1"/>
  <c r="D90" i="1"/>
  <c r="E81" i="1"/>
  <c r="E82" i="1"/>
  <c r="E83" i="1"/>
  <c r="E84" i="1"/>
  <c r="E85" i="1"/>
  <c r="E86" i="1"/>
  <c r="D86" i="1"/>
  <c r="D85" i="1"/>
  <c r="D84" i="1"/>
  <c r="D83" i="1"/>
  <c r="D82" i="1"/>
  <c r="D81" i="1"/>
  <c r="D74" i="1"/>
  <c r="E74" i="1"/>
  <c r="C74" i="1"/>
  <c r="C109" i="1" s="1"/>
  <c r="D64" i="1"/>
  <c r="E64" i="1"/>
  <c r="C64" i="1"/>
  <c r="C58" i="1"/>
  <c r="D61" i="1"/>
  <c r="E61" i="1"/>
  <c r="D62" i="1"/>
  <c r="E62" i="1"/>
  <c r="D63" i="1"/>
  <c r="E63" i="1"/>
  <c r="C63" i="1"/>
  <c r="C62" i="1"/>
  <c r="C61" i="1"/>
  <c r="D71" i="1"/>
  <c r="E71" i="1"/>
  <c r="C71" i="1"/>
  <c r="D67" i="1"/>
  <c r="E67" i="1"/>
  <c r="D68" i="1"/>
  <c r="E68" i="1"/>
  <c r="C68" i="1"/>
  <c r="C67" i="1"/>
  <c r="D66" i="1"/>
  <c r="E66" i="1"/>
  <c r="F67" i="1"/>
  <c r="G67" i="1" s="1"/>
  <c r="F66" i="1"/>
  <c r="G66" i="1" s="1"/>
  <c r="H66" i="1" s="1"/>
  <c r="C66" i="1"/>
  <c r="D56" i="1"/>
  <c r="D4" i="1" s="1"/>
  <c r="E56" i="1"/>
  <c r="E4" i="1" s="1"/>
  <c r="D57" i="1"/>
  <c r="D12" i="1" s="1"/>
  <c r="E57" i="1"/>
  <c r="E12" i="1" s="1"/>
  <c r="C57" i="1"/>
  <c r="C12" i="1" s="1"/>
  <c r="C56" i="1"/>
  <c r="C4" i="1" s="1"/>
  <c r="E112" i="1"/>
  <c r="E111" i="1"/>
  <c r="E110" i="1"/>
  <c r="E109" i="1"/>
  <c r="G116" i="1"/>
  <c r="H116" i="1"/>
  <c r="I116" i="1"/>
  <c r="J116" i="1"/>
  <c r="F116" i="1"/>
  <c r="F9" i="1"/>
  <c r="G9" i="1" s="1"/>
  <c r="H9" i="1" s="1"/>
  <c r="I9" i="1" s="1"/>
  <c r="J9" i="1" s="1"/>
  <c r="E10" i="1"/>
  <c r="D10" i="1"/>
  <c r="D2" i="1"/>
  <c r="E2" i="1" s="1"/>
  <c r="F2" i="1" s="1"/>
  <c r="G2" i="1" s="1"/>
  <c r="H2" i="1" s="1"/>
  <c r="I2" i="1" s="1"/>
  <c r="J2" i="1" s="1"/>
  <c r="D106" i="1"/>
  <c r="E106" i="1" s="1"/>
  <c r="D78" i="1"/>
  <c r="E78" i="1" s="1"/>
  <c r="F78" i="1" s="1"/>
  <c r="G78" i="1" s="1"/>
  <c r="H78" i="1" s="1"/>
  <c r="I78" i="1" s="1"/>
  <c r="J78" i="1" s="1"/>
  <c r="D54" i="1"/>
  <c r="E54" i="1" s="1"/>
  <c r="F54" i="1" s="1"/>
  <c r="G54" i="1" s="1"/>
  <c r="H54" i="1" s="1"/>
  <c r="I54" i="1" s="1"/>
  <c r="J54" i="1" s="1"/>
  <c r="E43" i="1" l="1"/>
  <c r="D43" i="1"/>
  <c r="E48" i="1"/>
  <c r="D48" i="1"/>
  <c r="C48" i="1"/>
  <c r="E25" i="1"/>
  <c r="E24" i="1"/>
  <c r="D30" i="1"/>
  <c r="D27" i="1"/>
  <c r="D100" i="1"/>
  <c r="E28" i="1"/>
  <c r="D25" i="1"/>
  <c r="D29" i="1"/>
  <c r="E27" i="1"/>
  <c r="D28" i="1"/>
  <c r="E30" i="1"/>
  <c r="D24" i="1"/>
  <c r="E29" i="1"/>
  <c r="D16" i="1"/>
  <c r="C15" i="1"/>
  <c r="I66" i="1"/>
  <c r="H67" i="1"/>
  <c r="I67" i="1" s="1"/>
  <c r="J67" i="1" s="1"/>
  <c r="D15" i="1"/>
  <c r="E16" i="1"/>
  <c r="C16" i="1"/>
  <c r="E15" i="1"/>
  <c r="D5" i="1"/>
  <c r="E5" i="1"/>
  <c r="F4" i="1"/>
  <c r="D13" i="1"/>
  <c r="E13" i="1"/>
  <c r="F12" i="1"/>
  <c r="D117" i="1"/>
  <c r="D124" i="1"/>
  <c r="E117" i="1"/>
  <c r="C117" i="1"/>
  <c r="E124" i="1"/>
  <c r="C124" i="1"/>
  <c r="D87" i="1"/>
  <c r="E87" i="1"/>
  <c r="E100" i="1"/>
  <c r="E96" i="1"/>
  <c r="E58" i="1"/>
  <c r="E69" i="1" s="1"/>
  <c r="E73" i="1" s="1"/>
  <c r="D58" i="1"/>
  <c r="D51" i="1" s="1"/>
  <c r="D96" i="1"/>
  <c r="F48" i="1" l="1"/>
  <c r="G48" i="1" s="1"/>
  <c r="D34" i="1"/>
  <c r="E102" i="1"/>
  <c r="E104" i="1" s="1"/>
  <c r="D32" i="1"/>
  <c r="D33" i="1"/>
  <c r="E51" i="1"/>
  <c r="E32" i="1"/>
  <c r="C69" i="1"/>
  <c r="C73" i="1" s="1"/>
  <c r="C75" i="1" s="1"/>
  <c r="C51" i="1"/>
  <c r="E33" i="1"/>
  <c r="F25" i="1"/>
  <c r="G25" i="1" s="1"/>
  <c r="H25" i="1" s="1"/>
  <c r="I25" i="1" s="1"/>
  <c r="J25" i="1" s="1"/>
  <c r="E34" i="1"/>
  <c r="F27" i="1"/>
  <c r="G27" i="1" s="1"/>
  <c r="H27" i="1" s="1"/>
  <c r="I27" i="1" s="1"/>
  <c r="J27" i="1" s="1"/>
  <c r="D102" i="1"/>
  <c r="D104" i="1" s="1"/>
  <c r="C34" i="1"/>
  <c r="E75" i="1"/>
  <c r="C32" i="1"/>
  <c r="C33" i="1"/>
  <c r="F24" i="1"/>
  <c r="G24" i="1" s="1"/>
  <c r="H24" i="1" s="1"/>
  <c r="I24" i="1" s="1"/>
  <c r="J24" i="1" s="1"/>
  <c r="F30" i="1"/>
  <c r="G30" i="1" s="1"/>
  <c r="H30" i="1" s="1"/>
  <c r="I30" i="1" s="1"/>
  <c r="J30" i="1" s="1"/>
  <c r="F28" i="1"/>
  <c r="G28" i="1" s="1"/>
  <c r="H28" i="1" s="1"/>
  <c r="I28" i="1" s="1"/>
  <c r="J28" i="1" s="1"/>
  <c r="F29" i="1"/>
  <c r="G29" i="1" s="1"/>
  <c r="H29" i="1" s="1"/>
  <c r="I29" i="1" s="1"/>
  <c r="J29" i="1" s="1"/>
  <c r="E23" i="1"/>
  <c r="D69" i="1"/>
  <c r="D73" i="1" s="1"/>
  <c r="D23" i="1"/>
  <c r="F15" i="1"/>
  <c r="G15" i="1" s="1"/>
  <c r="J66" i="1"/>
  <c r="F16" i="1"/>
  <c r="E21" i="1"/>
  <c r="E20" i="1"/>
  <c r="E17" i="1"/>
  <c r="C17" i="1"/>
  <c r="D17" i="1"/>
  <c r="G12" i="1"/>
  <c r="F57" i="1"/>
  <c r="F56" i="1"/>
  <c r="G4" i="1"/>
  <c r="F34" i="1" l="1"/>
  <c r="G34" i="1" s="1"/>
  <c r="H34" i="1" s="1"/>
  <c r="I34" i="1" s="1"/>
  <c r="J34" i="1" s="1"/>
  <c r="C21" i="1"/>
  <c r="F51" i="1"/>
  <c r="G51" i="1" s="1"/>
  <c r="H48" i="1"/>
  <c r="F33" i="1"/>
  <c r="G33" i="1" s="1"/>
  <c r="H33" i="1" s="1"/>
  <c r="I33" i="1" s="1"/>
  <c r="J33" i="1" s="1"/>
  <c r="E108" i="1"/>
  <c r="E113" i="1" s="1"/>
  <c r="E128" i="1" s="1"/>
  <c r="E46" i="1"/>
  <c r="C108" i="1"/>
  <c r="C113" i="1" s="1"/>
  <c r="C128" i="1" s="1"/>
  <c r="C46" i="1"/>
  <c r="C20" i="1"/>
  <c r="F32" i="1"/>
  <c r="G32" i="1" s="1"/>
  <c r="H32" i="1" s="1"/>
  <c r="I32" i="1" s="1"/>
  <c r="J32" i="1" s="1"/>
  <c r="D75" i="1"/>
  <c r="D21" i="1"/>
  <c r="D20" i="1"/>
  <c r="F23" i="1"/>
  <c r="G23" i="1" s="1"/>
  <c r="H23" i="1" s="1"/>
  <c r="I23" i="1" s="1"/>
  <c r="J23" i="1" s="1"/>
  <c r="F58" i="1"/>
  <c r="G16" i="1"/>
  <c r="F62" i="1"/>
  <c r="F61" i="1"/>
  <c r="H15" i="1"/>
  <c r="F17" i="1"/>
  <c r="G56" i="1"/>
  <c r="G61" i="1" s="1"/>
  <c r="H4" i="1"/>
  <c r="H12" i="1"/>
  <c r="G57" i="1"/>
  <c r="F21" i="1" l="1"/>
  <c r="G21" i="1" s="1"/>
  <c r="H21" i="1" s="1"/>
  <c r="I21" i="1" s="1"/>
  <c r="J21" i="1" s="1"/>
  <c r="F20" i="1"/>
  <c r="G20" i="1" s="1"/>
  <c r="H20" i="1" s="1"/>
  <c r="I20" i="1" s="1"/>
  <c r="J20" i="1" s="1"/>
  <c r="H51" i="1"/>
  <c r="I51" i="1" s="1"/>
  <c r="J51" i="1" s="1"/>
  <c r="D128" i="1"/>
  <c r="D46" i="1"/>
  <c r="F110" i="1"/>
  <c r="F126" i="1"/>
  <c r="F115" i="1"/>
  <c r="F111" i="1"/>
  <c r="F86" i="1" s="1"/>
  <c r="I48" i="1"/>
  <c r="F83" i="1"/>
  <c r="F90" i="1"/>
  <c r="F59" i="1"/>
  <c r="F82" i="1"/>
  <c r="G17" i="1"/>
  <c r="F63" i="1"/>
  <c r="I15" i="1"/>
  <c r="H16" i="1"/>
  <c r="G62" i="1"/>
  <c r="G90" i="1" s="1"/>
  <c r="I4" i="1"/>
  <c r="H56" i="1"/>
  <c r="H61" i="1" s="1"/>
  <c r="I12" i="1"/>
  <c r="H57" i="1"/>
  <c r="G58" i="1"/>
  <c r="J48" i="1" l="1"/>
  <c r="G82" i="1"/>
  <c r="G126" i="1"/>
  <c r="G111" i="1"/>
  <c r="G86" i="1" s="1"/>
  <c r="G115" i="1"/>
  <c r="G117" i="1" s="1"/>
  <c r="G110" i="1"/>
  <c r="F117" i="1"/>
  <c r="F84" i="1"/>
  <c r="G83" i="1"/>
  <c r="F64" i="1"/>
  <c r="F69" i="1" s="1"/>
  <c r="F71" i="1" s="1"/>
  <c r="F73" i="1" s="1"/>
  <c r="F74" i="1" s="1"/>
  <c r="F85" i="1"/>
  <c r="F94" i="1" s="1"/>
  <c r="F91" i="1"/>
  <c r="F95" i="1"/>
  <c r="F92" i="1"/>
  <c r="I16" i="1"/>
  <c r="H62" i="1"/>
  <c r="H83" i="1" s="1"/>
  <c r="G59" i="1"/>
  <c r="J15" i="1"/>
  <c r="H17" i="1"/>
  <c r="G63" i="1"/>
  <c r="J12" i="1"/>
  <c r="J57" i="1" s="1"/>
  <c r="I57" i="1"/>
  <c r="H58" i="1"/>
  <c r="J4" i="1"/>
  <c r="J56" i="1" s="1"/>
  <c r="I56" i="1"/>
  <c r="I61" i="1" s="1"/>
  <c r="F75" i="1" l="1"/>
  <c r="F109" i="1"/>
  <c r="H82" i="1"/>
  <c r="H126" i="1"/>
  <c r="H111" i="1"/>
  <c r="H86" i="1" s="1"/>
  <c r="H115" i="1"/>
  <c r="H117" i="1" s="1"/>
  <c r="H110" i="1"/>
  <c r="G84" i="1"/>
  <c r="F112" i="1"/>
  <c r="G64" i="1"/>
  <c r="G85" i="1"/>
  <c r="G94" i="1" s="1"/>
  <c r="G92" i="1"/>
  <c r="G91" i="1"/>
  <c r="G95" i="1"/>
  <c r="H90" i="1"/>
  <c r="J61" i="1"/>
  <c r="J58" i="1"/>
  <c r="I17" i="1"/>
  <c r="H63" i="1"/>
  <c r="H59" i="1"/>
  <c r="J16" i="1"/>
  <c r="J62" i="1" s="1"/>
  <c r="I62" i="1"/>
  <c r="I83" i="1" s="1"/>
  <c r="I58" i="1"/>
  <c r="J82" i="1" l="1"/>
  <c r="J126" i="1"/>
  <c r="J111" i="1"/>
  <c r="J115" i="1"/>
  <c r="J117" i="1" s="1"/>
  <c r="J110" i="1"/>
  <c r="F122" i="1"/>
  <c r="F99" i="1" s="1"/>
  <c r="I82" i="1"/>
  <c r="I126" i="1"/>
  <c r="I111" i="1"/>
  <c r="I86" i="1" s="1"/>
  <c r="I115" i="1"/>
  <c r="I117" i="1" s="1"/>
  <c r="I110" i="1"/>
  <c r="F108" i="1"/>
  <c r="F120" i="1"/>
  <c r="H84" i="1"/>
  <c r="G112" i="1"/>
  <c r="I90" i="1"/>
  <c r="H64" i="1"/>
  <c r="H85" i="1"/>
  <c r="J90" i="1"/>
  <c r="J83" i="1"/>
  <c r="H91" i="1"/>
  <c r="H92" i="1"/>
  <c r="H95" i="1"/>
  <c r="I59" i="1"/>
  <c r="J17" i="1"/>
  <c r="J63" i="1" s="1"/>
  <c r="I63" i="1"/>
  <c r="I91" i="1" s="1"/>
  <c r="J59" i="1"/>
  <c r="J86" i="1" l="1"/>
  <c r="I84" i="1"/>
  <c r="J84" i="1" s="1"/>
  <c r="F113" i="1"/>
  <c r="I64" i="1"/>
  <c r="I85" i="1"/>
  <c r="J64" i="1"/>
  <c r="J85" i="1"/>
  <c r="J92" i="1"/>
  <c r="J95" i="1"/>
  <c r="J91" i="1"/>
  <c r="H94" i="1"/>
  <c r="I95" i="1"/>
  <c r="I92" i="1"/>
  <c r="F39" i="1" l="1"/>
  <c r="F45" i="1" s="1"/>
  <c r="I94" i="1"/>
  <c r="J94" i="1" s="1"/>
  <c r="J112" i="1" s="1"/>
  <c r="H112" i="1"/>
  <c r="F119" i="1" l="1"/>
  <c r="F123" i="1" s="1"/>
  <c r="F47" i="1"/>
  <c r="F121" i="1" s="1"/>
  <c r="I112" i="1"/>
  <c r="F98" i="1" l="1"/>
  <c r="F100" i="1" s="1"/>
  <c r="F93" i="1"/>
  <c r="G68" i="1" s="1"/>
  <c r="G69" i="1" s="1"/>
  <c r="G71" i="1" s="1"/>
  <c r="G73" i="1" s="1"/>
  <c r="F124" i="1"/>
  <c r="F128" i="1" s="1"/>
  <c r="F81" i="1" s="1"/>
  <c r="G74" i="1" l="1"/>
  <c r="G109" i="1" s="1"/>
  <c r="G75" i="1"/>
  <c r="F87" i="1"/>
  <c r="F96" i="1"/>
  <c r="F102" i="1" s="1"/>
  <c r="G120" i="1" l="1"/>
  <c r="G108" i="1"/>
  <c r="G113" i="1" s="1"/>
  <c r="G122" i="1"/>
  <c r="G99" i="1" s="1"/>
  <c r="F104" i="1"/>
  <c r="G39" i="1" l="1"/>
  <c r="G45" i="1" s="1"/>
  <c r="G47" i="1" l="1"/>
  <c r="G121" i="1" s="1"/>
  <c r="G119" i="1"/>
  <c r="G123" i="1" l="1"/>
  <c r="G93" i="1"/>
  <c r="H68" i="1" l="1"/>
  <c r="H69" i="1" s="1"/>
  <c r="H71" i="1" s="1"/>
  <c r="H73" i="1" s="1"/>
  <c r="H74" i="1" s="1"/>
  <c r="H109" i="1" s="1"/>
  <c r="H122" i="1" s="1"/>
  <c r="H99" i="1" s="1"/>
  <c r="G96" i="1"/>
  <c r="G124" i="1"/>
  <c r="G128" i="1" s="1"/>
  <c r="G81" i="1" s="1"/>
  <c r="G87" i="1" s="1"/>
  <c r="G98" i="1"/>
  <c r="G100" i="1" s="1"/>
  <c r="G102" i="1" s="1"/>
  <c r="H75" i="1" l="1"/>
  <c r="H120" i="1" s="1"/>
  <c r="G104" i="1"/>
  <c r="H108" i="1" l="1"/>
  <c r="H113" i="1" s="1"/>
  <c r="H39" i="1" s="1"/>
  <c r="H45" i="1" s="1"/>
  <c r="H119" i="1" s="1"/>
  <c r="H93" i="1" s="1"/>
  <c r="H123" i="1" l="1"/>
  <c r="H47" i="1"/>
  <c r="H121" i="1" s="1"/>
  <c r="I68" i="1"/>
  <c r="I69" i="1" s="1"/>
  <c r="I71" i="1" s="1"/>
  <c r="I73" i="1" s="1"/>
  <c r="H96" i="1"/>
  <c r="H124" i="1" l="1"/>
  <c r="H128" i="1" s="1"/>
  <c r="H81" i="1" s="1"/>
  <c r="H98" i="1"/>
  <c r="H100" i="1" s="1"/>
  <c r="H102" i="1" s="1"/>
  <c r="I74" i="1"/>
  <c r="I109" i="1" s="1"/>
  <c r="H87" i="1"/>
  <c r="I75" i="1" l="1"/>
  <c r="H104" i="1"/>
  <c r="I120" i="1"/>
  <c r="I108" i="1"/>
  <c r="I122" i="1"/>
  <c r="I99" i="1" s="1"/>
  <c r="I113" i="1" l="1"/>
  <c r="I39" i="1" s="1"/>
  <c r="I45" i="1" s="1"/>
  <c r="I119" i="1" l="1"/>
  <c r="I47" i="1"/>
  <c r="I121" i="1" s="1"/>
  <c r="I123" i="1" l="1"/>
  <c r="I98" i="1" s="1"/>
  <c r="I93" i="1"/>
  <c r="I124" i="1" l="1"/>
  <c r="I128" i="1" s="1"/>
  <c r="I81" i="1" s="1"/>
  <c r="I87" i="1" s="1"/>
  <c r="I100" i="1"/>
  <c r="J68" i="1"/>
  <c r="J69" i="1" s="1"/>
  <c r="J71" i="1" s="1"/>
  <c r="J73" i="1" s="1"/>
  <c r="I96" i="1"/>
  <c r="I102" i="1" l="1"/>
  <c r="I104" i="1" s="1"/>
  <c r="J74" i="1"/>
  <c r="J109" i="1" s="1"/>
  <c r="J75" i="1"/>
  <c r="J120" i="1" l="1"/>
  <c r="J108" i="1"/>
  <c r="J122" i="1"/>
  <c r="J99" i="1" s="1"/>
  <c r="J113" i="1" l="1"/>
  <c r="J39" i="1" s="1"/>
  <c r="J45" i="1" s="1"/>
  <c r="J47" i="1" l="1"/>
  <c r="J121" i="1" s="1"/>
  <c r="J119" i="1"/>
  <c r="J123" i="1" l="1"/>
  <c r="J124" i="1" s="1"/>
  <c r="J128" i="1" s="1"/>
  <c r="J81" i="1" s="1"/>
  <c r="J87" i="1" s="1"/>
  <c r="J93" i="1"/>
  <c r="J96" i="1" s="1"/>
  <c r="J98" i="1" l="1"/>
  <c r="J100" i="1" s="1"/>
  <c r="J102" i="1" s="1"/>
  <c r="J104" i="1" s="1"/>
</calcChain>
</file>

<file path=xl/sharedStrings.xml><?xml version="1.0" encoding="utf-8"?>
<sst xmlns="http://schemas.openxmlformats.org/spreadsheetml/2006/main" count="97" uniqueCount="95">
  <si>
    <t>Income Statement</t>
  </si>
  <si>
    <t>Total Revenue</t>
  </si>
  <si>
    <t>Cost of Products</t>
  </si>
  <si>
    <t>Cost of Services</t>
  </si>
  <si>
    <t>Operating Expenses</t>
  </si>
  <si>
    <t>Operating Income</t>
  </si>
  <si>
    <t>Other Income/Expense</t>
  </si>
  <si>
    <t>Non-service pension cost</t>
  </si>
  <si>
    <t xml:space="preserve">Interest income / expense </t>
  </si>
  <si>
    <t>Pre-Tax Income:</t>
  </si>
  <si>
    <t>Income Taxes:</t>
  </si>
  <si>
    <t>Net Income:</t>
  </si>
  <si>
    <t>Net Income to Parent</t>
  </si>
  <si>
    <t>(-) NCI Net Income:</t>
  </si>
  <si>
    <t>Balance Sheet</t>
  </si>
  <si>
    <t>Assets</t>
  </si>
  <si>
    <t>Cash:</t>
  </si>
  <si>
    <t>Accounts Receivable:</t>
  </si>
  <si>
    <t>Inventory &amp; Other</t>
  </si>
  <si>
    <t>Net PP&amp;E, Goodwill &amp; Intangibles</t>
  </si>
  <si>
    <t>Op. Lease Assets:</t>
  </si>
  <si>
    <t>Other Assets:</t>
  </si>
  <si>
    <t>Total Assets:</t>
  </si>
  <si>
    <t>Accounts payable</t>
  </si>
  <si>
    <t>Accrued liabilities</t>
  </si>
  <si>
    <t>Contract liabilities</t>
  </si>
  <si>
    <t>Total Debt</t>
  </si>
  <si>
    <t>Operating lease liabilities</t>
  </si>
  <si>
    <t>Other Liabilities</t>
  </si>
  <si>
    <t>Total Liabilities</t>
  </si>
  <si>
    <t>Common Shareholder's Equity</t>
  </si>
  <si>
    <t>Liabilities &amp; Equity</t>
  </si>
  <si>
    <t>Noncontrolling interests</t>
  </si>
  <si>
    <t>Total Equity</t>
  </si>
  <si>
    <t>Total Liabilities + Equity</t>
  </si>
  <si>
    <t>Balance Check</t>
  </si>
  <si>
    <t>Cash Flow Statement</t>
  </si>
  <si>
    <t>Net income from operations</t>
  </si>
  <si>
    <t>FY 22</t>
  </si>
  <si>
    <t>FY 23</t>
  </si>
  <si>
    <t>FY 24</t>
  </si>
  <si>
    <t>FY 25</t>
  </si>
  <si>
    <t>FY 26</t>
  </si>
  <si>
    <t>(+) D&amp;A:</t>
  </si>
  <si>
    <t>Cash Flows from Operations:</t>
  </si>
  <si>
    <t>(-) Capex:</t>
  </si>
  <si>
    <t>(-)Acquisitions &amp; Other:</t>
  </si>
  <si>
    <t>Cash Flow from Investing</t>
  </si>
  <si>
    <t>(+/-) Reversal of NCI Net Income:</t>
  </si>
  <si>
    <t>(+/-) Pension Contrib. &amp; Other items:</t>
  </si>
  <si>
    <t>(+/-) Change in WC &amp; Leases:</t>
  </si>
  <si>
    <t>(+/-) Change in Debt:</t>
  </si>
  <si>
    <t>(-) Common Dividends:</t>
  </si>
  <si>
    <t>(-)Stock Repurchases:</t>
  </si>
  <si>
    <t>(-)Dividends to NCI:</t>
  </si>
  <si>
    <t>(+/-)Other:</t>
  </si>
  <si>
    <t>Cash Flow from Financing</t>
  </si>
  <si>
    <t>Net income to NCI parent:</t>
  </si>
  <si>
    <t>Effect FOREX rate</t>
  </si>
  <si>
    <t>Net change in cash</t>
  </si>
  <si>
    <t>Drivers</t>
  </si>
  <si>
    <t>New Equipment Market Size:</t>
  </si>
  <si>
    <t>New Equipment Market Share</t>
  </si>
  <si>
    <t>Service Units (Maintenance)</t>
  </si>
  <si>
    <t>Growth Rate:</t>
  </si>
  <si>
    <t>Revenue per Service Unit:</t>
  </si>
  <si>
    <t>Product (millions)</t>
  </si>
  <si>
    <t>Service (millions)</t>
  </si>
  <si>
    <t>Product -% of COGS to Revenue</t>
  </si>
  <si>
    <t>Service -% of COGS to Revenue</t>
  </si>
  <si>
    <t>OpEx - % to Revenue</t>
  </si>
  <si>
    <t>Tax Rate</t>
  </si>
  <si>
    <t>NCI rate as % to NI</t>
  </si>
  <si>
    <t>Accounts Receivable % of Revenue</t>
  </si>
  <si>
    <t>Inventory &amp; Other % of COGS:</t>
  </si>
  <si>
    <t>Accounts payable % of COGS</t>
  </si>
  <si>
    <t>Op. Lease Assets % of OpEx</t>
  </si>
  <si>
    <t>Accrued liabilities % of Total Expenses</t>
  </si>
  <si>
    <t>Contract liabilities % of Total Expenses</t>
  </si>
  <si>
    <t>Other Liabilities % of Total Expenses</t>
  </si>
  <si>
    <t>Acquisitions &amp; Other:</t>
  </si>
  <si>
    <t>Stock Repurchases:</t>
  </si>
  <si>
    <t>Capex % in Revenue</t>
  </si>
  <si>
    <t>D&amp;A % in Revenue</t>
  </si>
  <si>
    <t>NCI Dividends % NCI Net Income:</t>
  </si>
  <si>
    <t>FX Rate Effects % on Total Revenue</t>
  </si>
  <si>
    <t>Dividends %  of NI:</t>
  </si>
  <si>
    <t>Pension Contrib. &amp; Other items % in Revenue</t>
  </si>
  <si>
    <t>Minimum Cash:</t>
  </si>
  <si>
    <t>Excess Cash Flow:</t>
  </si>
  <si>
    <t>% to Stock Repurchases:</t>
  </si>
  <si>
    <t xml:space="preserve">% to Debt Repayments: </t>
  </si>
  <si>
    <t>Change in Debt</t>
  </si>
  <si>
    <t>Other items % of Debt Issuance</t>
  </si>
  <si>
    <t>Interest income/expense % of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</si>
</sst>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5" formatCode="&quot;$&quot;#,##0_);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FY&quot;\ yy"/>
    <numFmt numFmtId="165" formatCode="&quot;$&quot;#,##0"/>
    <numFmt numFmtId="166" formatCode="0.0%"/>
    <numFmt numFmtId="167" formatCode="_(* #,##0.00_);_(* \(#,##0.00\);_(* &quot;-&quot;_);_(@_)"/>
    <numFmt numFmtId="168" formatCode="0_);\(0\)"/>
    <numFmt numFmtId="169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92D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ck">
        <color auto="1"/>
      </top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8">
    <xf numFmtId="0" fontId="0" fillId="0" borderId="0" xfId="0"/>
    <xf numFmtId="0" fontId="3" fillId="0" borderId="0" xfId="0" applyFont="1"/>
    <xf numFmtId="0" fontId="3" fillId="0" borderId="1" xfId="0" applyFont="1" applyBorder="1"/>
    <xf numFmtId="41" fontId="3" fillId="0" borderId="1" xfId="0" applyNumberFormat="1" applyFont="1" applyBorder="1"/>
    <xf numFmtId="41" fontId="3" fillId="0" borderId="0" xfId="0" applyNumberFormat="1" applyFont="1"/>
    <xf numFmtId="0" fontId="3" fillId="2" borderId="0" xfId="0" applyFont="1" applyFill="1"/>
    <xf numFmtId="0" fontId="3" fillId="3" borderId="0" xfId="0" applyFont="1" applyFill="1"/>
    <xf numFmtId="0" fontId="3" fillId="0" borderId="2" xfId="0" applyFont="1" applyBorder="1"/>
    <xf numFmtId="165" fontId="3" fillId="0" borderId="2" xfId="0" applyNumberFormat="1" applyFont="1" applyBorder="1"/>
    <xf numFmtId="42" fontId="3" fillId="0" borderId="2" xfId="0" applyNumberFormat="1" applyFont="1" applyBorder="1"/>
    <xf numFmtId="165" fontId="3" fillId="0" borderId="1" xfId="0" applyNumberFormat="1" applyFont="1" applyBorder="1"/>
    <xf numFmtId="5" fontId="3" fillId="0" borderId="1" xfId="0" applyNumberFormat="1" applyFont="1" applyBorder="1"/>
    <xf numFmtId="165" fontId="3" fillId="0" borderId="0" xfId="0" applyNumberFormat="1" applyFont="1"/>
    <xf numFmtId="0" fontId="3" fillId="4" borderId="0" xfId="0" applyFont="1" applyFill="1"/>
    <xf numFmtId="164" fontId="3" fillId="4" borderId="0" xfId="0" applyNumberFormat="1" applyFont="1" applyFill="1" applyAlignment="1">
      <alignment horizontal="center"/>
    </xf>
    <xf numFmtId="164" fontId="4" fillId="5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5" fontId="3" fillId="0" borderId="0" xfId="0" applyNumberFormat="1" applyFont="1"/>
    <xf numFmtId="9" fontId="5" fillId="0" borderId="0" xfId="0" applyNumberFormat="1" applyFont="1"/>
    <xf numFmtId="10" fontId="5" fillId="0" borderId="0" xfId="0" applyNumberFormat="1" applyFont="1"/>
    <xf numFmtId="43" fontId="5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left" indent="1"/>
    </xf>
    <xf numFmtId="0" fontId="5" fillId="0" borderId="0" xfId="0" applyFont="1"/>
    <xf numFmtId="2" fontId="5" fillId="0" borderId="0" xfId="0" applyNumberFormat="1" applyFont="1"/>
    <xf numFmtId="43" fontId="6" fillId="0" borderId="1" xfId="0" applyNumberFormat="1" applyFont="1" applyBorder="1"/>
    <xf numFmtId="10" fontId="3" fillId="0" borderId="0" xfId="0" applyNumberFormat="1" applyFont="1"/>
    <xf numFmtId="10" fontId="7" fillId="0" borderId="0" xfId="0" applyNumberFormat="1" applyFont="1"/>
    <xf numFmtId="10" fontId="8" fillId="0" borderId="0" xfId="0" applyNumberFormat="1" applyFont="1"/>
    <xf numFmtId="167" fontId="5" fillId="0" borderId="0" xfId="0" applyNumberFormat="1" applyFont="1"/>
    <xf numFmtId="41" fontId="5" fillId="0" borderId="0" xfId="0" applyNumberFormat="1" applyFont="1"/>
    <xf numFmtId="166" fontId="9" fillId="0" borderId="0" xfId="0" applyNumberFormat="1" applyFont="1"/>
    <xf numFmtId="10" fontId="9" fillId="0" borderId="0" xfId="2" applyNumberFormat="1" applyFont="1"/>
    <xf numFmtId="41" fontId="6" fillId="0" borderId="1" xfId="0" applyNumberFormat="1" applyFont="1" applyBorder="1"/>
    <xf numFmtId="44" fontId="3" fillId="0" borderId="1" xfId="1" applyFont="1" applyBorder="1"/>
    <xf numFmtId="44" fontId="6" fillId="0" borderId="1" xfId="1" applyFont="1" applyBorder="1"/>
    <xf numFmtId="41" fontId="1" fillId="0" borderId="0" xfId="0" applyNumberFormat="1" applyFont="1"/>
    <xf numFmtId="166" fontId="1" fillId="0" borderId="0" xfId="2" applyNumberFormat="1" applyFont="1"/>
    <xf numFmtId="43" fontId="1" fillId="0" borderId="0" xfId="0" applyNumberFormat="1" applyFont="1"/>
    <xf numFmtId="10" fontId="1" fillId="0" borderId="0" xfId="2" applyNumberFormat="1" applyFont="1"/>
    <xf numFmtId="5" fontId="1" fillId="0" borderId="0" xfId="0" applyNumberFormat="1" applyFont="1"/>
    <xf numFmtId="41" fontId="1" fillId="0" borderId="1" xfId="0" applyNumberFormat="1" applyFont="1" applyBorder="1"/>
    <xf numFmtId="0" fontId="1" fillId="0" borderId="1" xfId="0" applyFont="1" applyBorder="1"/>
    <xf numFmtId="3" fontId="1" fillId="0" borderId="0" xfId="0" applyNumberFormat="1" applyFont="1"/>
    <xf numFmtId="0" fontId="1" fillId="0" borderId="2" xfId="0" applyFont="1" applyBorder="1"/>
    <xf numFmtId="42" fontId="1" fillId="0" borderId="0" xfId="0" applyNumberFormat="1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3" fontId="5" fillId="0" borderId="0" xfId="1" applyNumberFormat="1" applyFont="1"/>
    <xf numFmtId="1" fontId="5" fillId="0" borderId="0" xfId="1" applyNumberFormat="1" applyFont="1"/>
    <xf numFmtId="44" fontId="5" fillId="0" borderId="0" xfId="1" applyFont="1"/>
    <xf numFmtId="9" fontId="1" fillId="0" borderId="0" xfId="2" applyFont="1"/>
    <xf numFmtId="168" fontId="1" fillId="0" borderId="0" xfId="0" applyNumberFormat="1" applyFont="1"/>
    <xf numFmtId="44" fontId="1" fillId="0" borderId="0" xfId="2" applyNumberFormat="1" applyFont="1"/>
    <xf numFmtId="10" fontId="1" fillId="0" borderId="0" xfId="0" applyNumberFormat="1" applyFont="1"/>
    <xf numFmtId="44" fontId="1" fillId="0" borderId="0" xfId="0" applyNumberFormat="1" applyFont="1"/>
    <xf numFmtId="44" fontId="5" fillId="0" borderId="0" xfId="0" applyNumberFormat="1" applyFont="1"/>
    <xf numFmtId="44" fontId="1" fillId="0" borderId="1" xfId="0" applyNumberFormat="1" applyFont="1" applyBorder="1"/>
    <xf numFmtId="43" fontId="1" fillId="0" borderId="1" xfId="0" applyNumberFormat="1" applyFont="1" applyBorder="1"/>
    <xf numFmtId="5" fontId="1" fillId="0" borderId="0" xfId="1" applyNumberFormat="1" applyFont="1"/>
    <xf numFmtId="169" fontId="1" fillId="0" borderId="0" xfId="0" applyNumberFormat="1" applyFont="1"/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/>
    </xf>
    <xf numFmtId="9" fontId="5" fillId="0" borderId="0" xfId="2" applyFont="1"/>
    <xf numFmtId="9" fontId="6" fillId="0" borderId="0" xfId="0" applyNumberFormat="1" applyFont="1"/>
    <xf numFmtId="10" fontId="6" fillId="0" borderId="0" xfId="0" applyNumberFormat="1" applyFont="1"/>
    <xf numFmtId="10" fontId="5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microsoft.com/office/2017/10/relationships/person" Target="persons/perso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Users/johann/Downloads/101-01-Otis-10-K-Raw.xls" TargetMode="External"/><Relationship Id="rId1" Type="http://schemas.openxmlformats.org/officeDocument/2006/relationships/externalLinkPath" Target="https://d.docs.live.net/Users/johann/Downloads/101-01-Otis-10-K-Raw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98C0B10B5796819C/Copy%20of%20101-01-Otis-10-K-Raw%20(1).xls" TargetMode="External"/><Relationship Id="rId1" Type="http://schemas.openxmlformats.org/officeDocument/2006/relationships/externalLinkPath" Target="https://d.docs.live.net/98C0B10B5796819C/Copy%20of%20101-01-Otis-10-K-Raw%20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urities registered purs"/>
      <sheetName val="comparison of cumulative t"/>
      <sheetName val="results of operations"/>
      <sheetName val="results of operations-1"/>
      <sheetName val="cost of products and servi"/>
      <sheetName val="cost of products and servi-1"/>
      <sheetName val="gross margin"/>
      <sheetName val="research and development"/>
      <sheetName val="selling general and admini"/>
      <sheetName val="income taxes"/>
      <sheetName val="noncontrolling interest in"/>
      <sheetName val="net income attributable to"/>
      <sheetName val="segment review"/>
      <sheetName val="new equipment"/>
      <sheetName val="new equipment-1"/>
      <sheetName val="service"/>
      <sheetName val="service-1"/>
      <sheetName val="general corporate expenses"/>
      <sheetName val="liquidity and financial co"/>
      <sheetName val="liquidity and financial co-1"/>
      <sheetName val="liquidity and financial co-2"/>
      <sheetName val="cash flow  operating activ"/>
      <sheetName val="2021 compared to 2020"/>
      <sheetName val="germany fire"/>
      <sheetName val="cash flow  financing activ"/>
      <sheetName val="2021 compared to 2020-1"/>
      <sheetName val="2019"/>
      <sheetName val="2019-1"/>
      <sheetName val="longterm debt"/>
      <sheetName val="purchase obligations"/>
      <sheetName val="other longterm liabilities"/>
      <sheetName val="financial statement schedule"/>
      <sheetName val="operations"/>
      <sheetName val="comprehensive income"/>
      <sheetName val="consolidated balance sheets"/>
      <sheetName val="cash flows"/>
      <sheetName val="changes in equity"/>
      <sheetName val="note 3 earnings per share"/>
      <sheetName val="note 4 contract assets and"/>
      <sheetName val="note 4 contract assets and-1"/>
      <sheetName val="note 6 accounts receivable"/>
      <sheetName val="credit losses"/>
      <sheetName val="note 7 inventories net"/>
      <sheetName val="note 8 fixed assets"/>
      <sheetName val="goodwill"/>
      <sheetName val="goodwill-1"/>
      <sheetName val="intangible assets"/>
      <sheetName val="intangible assets-1"/>
      <sheetName val="longterm debt-1"/>
      <sheetName val="longterm debt-2"/>
      <sheetName val="note 11 accrued liabilities"/>
      <sheetName val="note 12 other longterm lia"/>
      <sheetName val="pension plans"/>
      <sheetName val="pension plans-1"/>
      <sheetName val="pension plans-2"/>
      <sheetName val="pension plans-3"/>
      <sheetName val="pension plans-4"/>
      <sheetName val="pension plans-5"/>
      <sheetName val="pension plans-6"/>
      <sheetName val="pension plans-7"/>
      <sheetName val="multiemployer benefit plans"/>
      <sheetName val="stockbased compensation ex"/>
      <sheetName val="stockbased compensation ex-1"/>
      <sheetName val="stockbased compensation ex-2"/>
      <sheetName val="stockbased compensation ex-3"/>
      <sheetName val="note 15 accumulated other"/>
      <sheetName val="income before income taxes"/>
      <sheetName val="provision for income taxes"/>
      <sheetName val="reconciliation of effectiv"/>
      <sheetName val="deferred tax assets and li"/>
      <sheetName val="tax credit and loss carryf"/>
      <sheetName val="unrecognized tax benefits"/>
      <sheetName val="note 17 restructuring costs"/>
      <sheetName val="note 17 restructuring costs-1"/>
      <sheetName val="restructuring actions"/>
      <sheetName val="restructuring actions-1"/>
      <sheetName val="fair value measurements"/>
      <sheetName val="fair value measurements-1"/>
      <sheetName val="valuation techniques"/>
      <sheetName val="valuation techniques-1"/>
      <sheetName val="valuation techniques-2"/>
      <sheetName val="note 20 guarantees"/>
      <sheetName val="leases topic 842"/>
      <sheetName val="leases topic 842-1"/>
      <sheetName val="leases topic 842-2"/>
      <sheetName val="segment information"/>
      <sheetName val="geographic external sales"/>
      <sheetName val="geographic external sales-1"/>
      <sheetName val="note 24 subsequent events"/>
      <sheetName val="part iv"/>
      <sheetName val="part iv-1"/>
      <sheetName val="part iv-2"/>
      <sheetName val="part iv-3"/>
      <sheetName val="part iv-4"/>
      <sheetName val="otis worldwide corp"/>
      <sheetName val="personal  confidential"/>
      <sheetName val="otis worldwide corp-1"/>
      <sheetName val="exhibit 1032"/>
      <sheetName val="exhibit 1032-1"/>
      <sheetName val="exhibit 1032-2"/>
      <sheetName val="exhibit 1032-3"/>
      <sheetName val="exhibit 1032-4"/>
      <sheetName val="exhibit 1032-5"/>
      <sheetName val="employment contract"/>
      <sheetName val="83 applicable law and plac"/>
      <sheetName val="otis worldwide corporation"/>
      <sheetName val="worldwide corporation"/>
      <sheetName val="power of attorney"/>
      <sheetName val="power of attorney-1"/>
      <sheetName val="power of attorney-2"/>
      <sheetName val="power of attorney-3"/>
      <sheetName val="power of attorney-4"/>
      <sheetName val="power of attorney-5"/>
      <sheetName val="power of attorney-6"/>
      <sheetName val="power of attorney-7"/>
      <sheetName val="power of attorney-8"/>
      <sheetName val="exhibit 311"/>
      <sheetName val="exhibit 312"/>
      <sheetName val="exhibit 313"/>
      <sheetName val="subsections a and b of se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urities registered purs"/>
      <sheetName val="comparison of cumulative t"/>
      <sheetName val="results of operations"/>
      <sheetName val="results of operations-1"/>
      <sheetName val="cost of products and servi"/>
      <sheetName val="cost of products and servi-1"/>
      <sheetName val="gross margin"/>
      <sheetName val="research and development"/>
      <sheetName val="selling general and admini"/>
      <sheetName val="income taxes"/>
      <sheetName val="noncontrolling interest in"/>
      <sheetName val="net income attributable to"/>
      <sheetName val="segment review"/>
      <sheetName val="new equipment"/>
      <sheetName val="new equipment-1"/>
      <sheetName val="service"/>
      <sheetName val="service-1"/>
      <sheetName val="general corporate expenses"/>
      <sheetName val="liquidity and financial co"/>
      <sheetName val="liquidity and financial co-1"/>
      <sheetName val="liquidity and financial co-2"/>
      <sheetName val="cash flow  operating activ"/>
      <sheetName val="2021 compared to 2020"/>
      <sheetName val="germany fire"/>
      <sheetName val="cash flow  financing activ"/>
      <sheetName val="2021 compared to 2020-1"/>
      <sheetName val="2019"/>
      <sheetName val="2019-1"/>
      <sheetName val="longterm debt"/>
      <sheetName val="purchase obligations"/>
      <sheetName val="other longterm liabilities"/>
      <sheetName val="financial statement schedule"/>
      <sheetName val="operations"/>
      <sheetName val="comprehensive income"/>
      <sheetName val="consolidated balance sheets"/>
      <sheetName val="changes in equity"/>
      <sheetName val="cash flows"/>
      <sheetName val="note 3 earnings per share"/>
      <sheetName val="note 4 contract assets and"/>
      <sheetName val="note 4 contract assets and-1"/>
      <sheetName val="note 6 accounts receivable"/>
      <sheetName val="credit losses"/>
      <sheetName val="note 7 inventories net"/>
      <sheetName val="note 8 fixed assets"/>
      <sheetName val="goodwill"/>
      <sheetName val="goodwill-1"/>
      <sheetName val="intangible assets"/>
      <sheetName val="intangible assets-1"/>
      <sheetName val="longterm debt-1"/>
      <sheetName val="longterm debt-2"/>
      <sheetName val="note 11 accrued liabilities"/>
      <sheetName val="note 12 other longterm lia"/>
      <sheetName val="pension plans"/>
      <sheetName val="pension plans-1"/>
      <sheetName val="pension plans-2"/>
      <sheetName val="pension plans-3"/>
      <sheetName val="pension plans-4"/>
      <sheetName val="pension plans-5"/>
      <sheetName val="pension plans-6"/>
      <sheetName val="pension plans-7"/>
      <sheetName val="multiemployer benefit plans"/>
      <sheetName val="stockbased compensation ex"/>
      <sheetName val="stockbased compensation ex-1"/>
      <sheetName val="stockbased compensation ex-2"/>
      <sheetName val="stockbased compensation ex-3"/>
      <sheetName val="note 15 accumulated other"/>
      <sheetName val="income before income taxes"/>
      <sheetName val="provision for income taxes"/>
      <sheetName val="reconciliation of effectiv"/>
      <sheetName val="deferred tax assets and li"/>
      <sheetName val="tax credit and loss carryf"/>
      <sheetName val="unrecognized tax benefits"/>
      <sheetName val="note 17 restructuring costs"/>
      <sheetName val="note 17 restructuring costs-1"/>
      <sheetName val="restructuring actions"/>
      <sheetName val="restructuring actions-1"/>
      <sheetName val="fair value measurements"/>
      <sheetName val="fair value measurements-1"/>
      <sheetName val="valuation techniques"/>
      <sheetName val="valuation techniques-1"/>
      <sheetName val="valuation techniques-2"/>
      <sheetName val="note 20 guarantees"/>
      <sheetName val="leases topic 842"/>
      <sheetName val="leases topic 842-1"/>
      <sheetName val="leases topic 842-2"/>
      <sheetName val="segment information"/>
      <sheetName val="geographic external sales"/>
      <sheetName val="geographic external sales-1"/>
      <sheetName val="note 24 subsequent events"/>
      <sheetName val="part iv"/>
      <sheetName val="part iv-1"/>
      <sheetName val="part iv-2"/>
      <sheetName val="part iv-3"/>
      <sheetName val="part iv-4"/>
      <sheetName val="otis worldwide corp"/>
      <sheetName val="personal  confidential"/>
      <sheetName val="otis worldwide corp-1"/>
      <sheetName val="exhibit 1032"/>
      <sheetName val="exhibit 1032-1"/>
      <sheetName val="exhibit 1032-2"/>
      <sheetName val="exhibit 1032-3"/>
      <sheetName val="exhibit 1032-4"/>
      <sheetName val="exhibit 1032-5"/>
      <sheetName val="employment contract"/>
      <sheetName val="83 applicable law and plac"/>
      <sheetName val="otis worldwide corporation"/>
      <sheetName val="worldwide corporation"/>
      <sheetName val="power of attorney"/>
      <sheetName val="power of attorney-1"/>
      <sheetName val="power of attorney-2"/>
      <sheetName val="power of attorney-3"/>
      <sheetName val="power of attorney-4"/>
      <sheetName val="power of attorney-5"/>
      <sheetName val="power of attorney-6"/>
      <sheetName val="power of attorney-7"/>
      <sheetName val="power of attorney-8"/>
      <sheetName val="exhibit 311"/>
      <sheetName val="exhibit 312"/>
      <sheetName val="exhibit 313"/>
      <sheetName val="subsections a and b of se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8">
          <cell r="C8">
            <v>5648</v>
          </cell>
          <cell r="D8">
            <v>5371</v>
          </cell>
          <cell r="E8">
            <v>6428</v>
          </cell>
        </row>
        <row r="9">
          <cell r="C9">
            <v>7470</v>
          </cell>
          <cell r="D9">
            <v>7385</v>
          </cell>
          <cell r="E9">
            <v>7870</v>
          </cell>
        </row>
        <row r="12">
          <cell r="C12">
            <v>4640</v>
          </cell>
          <cell r="D12">
            <v>4439</v>
          </cell>
          <cell r="E12">
            <v>5293</v>
          </cell>
        </row>
        <row r="13">
          <cell r="C13">
            <v>4652</v>
          </cell>
          <cell r="D13">
            <v>4538</v>
          </cell>
          <cell r="E13">
            <v>4812</v>
          </cell>
        </row>
        <row r="14">
          <cell r="C14">
            <v>163</v>
          </cell>
          <cell r="D14">
            <v>152</v>
          </cell>
          <cell r="E14">
            <v>159</v>
          </cell>
        </row>
        <row r="15">
          <cell r="C15">
            <v>1810</v>
          </cell>
          <cell r="D15">
            <v>1924</v>
          </cell>
          <cell r="E15">
            <v>1948</v>
          </cell>
        </row>
        <row r="17">
          <cell r="C17">
            <v>-39</v>
          </cell>
          <cell r="D17">
            <v>-64</v>
          </cell>
          <cell r="E17">
            <v>22</v>
          </cell>
        </row>
        <row r="19">
          <cell r="C19">
            <v>-33</v>
          </cell>
          <cell r="D19">
            <v>6</v>
          </cell>
          <cell r="E19">
            <v>11</v>
          </cell>
        </row>
        <row r="20">
          <cell r="C20">
            <v>-14</v>
          </cell>
          <cell r="D20">
            <v>122</v>
          </cell>
          <cell r="E20">
            <v>136</v>
          </cell>
        </row>
        <row r="22">
          <cell r="C22">
            <v>594</v>
          </cell>
          <cell r="D22">
            <v>455</v>
          </cell>
          <cell r="E22">
            <v>541</v>
          </cell>
        </row>
        <row r="24">
          <cell r="C24">
            <v>151</v>
          </cell>
          <cell r="D24">
            <v>150</v>
          </cell>
          <cell r="E24">
            <v>174</v>
          </cell>
        </row>
      </sheetData>
      <sheetData sheetId="33"/>
      <sheetData sheetId="34">
        <row r="7">
          <cell r="C7">
            <v>1782</v>
          </cell>
          <cell r="D7">
            <v>1565</v>
          </cell>
        </row>
        <row r="8">
          <cell r="C8">
            <v>17</v>
          </cell>
          <cell r="D8">
            <v>1910</v>
          </cell>
        </row>
        <row r="9">
          <cell r="C9">
            <v>3148</v>
          </cell>
          <cell r="D9">
            <v>3232</v>
          </cell>
        </row>
        <row r="10">
          <cell r="C10">
            <v>458</v>
          </cell>
          <cell r="D10">
            <v>550</v>
          </cell>
        </row>
        <row r="11">
          <cell r="C11">
            <v>659</v>
          </cell>
          <cell r="D11">
            <v>622</v>
          </cell>
        </row>
        <row r="12">
          <cell r="C12">
            <v>429</v>
          </cell>
          <cell r="D12">
            <v>382</v>
          </cell>
        </row>
        <row r="14">
          <cell r="C14">
            <v>334</v>
          </cell>
          <cell r="D14">
            <v>335</v>
          </cell>
        </row>
        <row r="15">
          <cell r="C15">
            <v>774</v>
          </cell>
          <cell r="D15">
            <v>774</v>
          </cell>
        </row>
        <row r="16">
          <cell r="C16">
            <v>542</v>
          </cell>
          <cell r="D16">
            <v>526</v>
          </cell>
        </row>
        <row r="17">
          <cell r="C17">
            <v>484</v>
          </cell>
          <cell r="D17">
            <v>419</v>
          </cell>
        </row>
        <row r="18">
          <cell r="C18">
            <v>1773</v>
          </cell>
          <cell r="D18">
            <v>1667</v>
          </cell>
        </row>
        <row r="19">
          <cell r="C19">
            <v>310</v>
          </cell>
          <cell r="D19">
            <v>297</v>
          </cell>
        </row>
        <row r="22">
          <cell r="C22">
            <v>701</v>
          </cell>
          <cell r="D22">
            <v>24</v>
          </cell>
        </row>
        <row r="23">
          <cell r="C23">
            <v>1453</v>
          </cell>
          <cell r="D23">
            <v>1556</v>
          </cell>
        </row>
        <row r="24">
          <cell r="C24">
            <v>1977</v>
          </cell>
          <cell r="D24">
            <v>1993</v>
          </cell>
        </row>
        <row r="25">
          <cell r="C25">
            <v>2542</v>
          </cell>
          <cell r="D25">
            <v>2674</v>
          </cell>
        </row>
        <row r="27">
          <cell r="C27">
            <v>6673</v>
          </cell>
          <cell r="D27">
            <v>6247</v>
          </cell>
        </row>
        <row r="29">
          <cell r="C29">
            <v>654</v>
          </cell>
          <cell r="D29">
            <v>558</v>
          </cell>
        </row>
        <row r="30">
          <cell r="C30">
            <v>367</v>
          </cell>
          <cell r="D30">
            <v>336</v>
          </cell>
        </row>
        <row r="31">
          <cell r="C31">
            <v>321</v>
          </cell>
          <cell r="D31">
            <v>267</v>
          </cell>
        </row>
        <row r="32">
          <cell r="C32">
            <v>634</v>
          </cell>
          <cell r="D32">
            <v>606</v>
          </cell>
        </row>
        <row r="35">
          <cell r="C35">
            <v>194</v>
          </cell>
          <cell r="D35">
            <v>160</v>
          </cell>
        </row>
        <row r="43">
          <cell r="C43">
            <v>-3862</v>
          </cell>
          <cell r="D43">
            <v>-3625</v>
          </cell>
        </row>
        <row r="44">
          <cell r="C44">
            <v>467</v>
          </cell>
          <cell r="D44">
            <v>481</v>
          </cell>
        </row>
      </sheetData>
      <sheetData sheetId="35"/>
      <sheetData sheetId="36">
        <row r="9">
          <cell r="C9">
            <v>180</v>
          </cell>
          <cell r="D9">
            <v>191</v>
          </cell>
        </row>
        <row r="10">
          <cell r="C10">
            <v>-8</v>
          </cell>
          <cell r="D10">
            <v>-51</v>
          </cell>
        </row>
        <row r="11">
          <cell r="C11">
            <v>37</v>
          </cell>
          <cell r="D11">
            <v>63</v>
          </cell>
        </row>
        <row r="12">
          <cell r="C12">
            <v>26</v>
          </cell>
          <cell r="D12">
            <v>71</v>
          </cell>
        </row>
        <row r="16">
          <cell r="C16">
            <v>-191</v>
          </cell>
          <cell r="D16">
            <v>-163</v>
          </cell>
        </row>
        <row r="17">
          <cell r="C17">
            <v>97</v>
          </cell>
          <cell r="D17">
            <v>282</v>
          </cell>
        </row>
        <row r="18">
          <cell r="C18">
            <v>60</v>
          </cell>
          <cell r="D18">
            <v>-76</v>
          </cell>
        </row>
        <row r="19">
          <cell r="C19">
            <v>30</v>
          </cell>
          <cell r="D19">
            <v>28</v>
          </cell>
        </row>
        <row r="20">
          <cell r="C20">
            <v>6</v>
          </cell>
          <cell r="D20">
            <v>20</v>
          </cell>
        </row>
        <row r="21">
          <cell r="C21">
            <v>-34</v>
          </cell>
          <cell r="D21">
            <v>-14</v>
          </cell>
        </row>
        <row r="24">
          <cell r="C24">
            <v>-32</v>
          </cell>
          <cell r="D24">
            <v>-64</v>
          </cell>
        </row>
        <row r="25">
          <cell r="C25">
            <v>31</v>
          </cell>
          <cell r="D25">
            <v>137</v>
          </cell>
        </row>
        <row r="28">
          <cell r="C28">
            <v>-145</v>
          </cell>
          <cell r="D28">
            <v>-183</v>
          </cell>
          <cell r="E28">
            <v>-156</v>
          </cell>
        </row>
        <row r="29">
          <cell r="C29">
            <v>-47</v>
          </cell>
          <cell r="D29">
            <v>-53</v>
          </cell>
          <cell r="E29">
            <v>-80</v>
          </cell>
        </row>
        <row r="32">
          <cell r="C32">
            <v>-5</v>
          </cell>
          <cell r="D32">
            <v>-69</v>
          </cell>
          <cell r="E32">
            <v>73</v>
          </cell>
        </row>
        <row r="33">
          <cell r="C33">
            <v>-6</v>
          </cell>
          <cell r="D33">
            <v>3</v>
          </cell>
          <cell r="E33">
            <v>34</v>
          </cell>
        </row>
        <row r="36">
          <cell r="C36">
            <v>6</v>
          </cell>
          <cell r="D36">
            <v>647</v>
          </cell>
          <cell r="E36">
            <v>-304</v>
          </cell>
        </row>
        <row r="37">
          <cell r="C37" t="str">
            <v>—</v>
          </cell>
          <cell r="D37" t="str">
            <v>—</v>
          </cell>
          <cell r="E37">
            <v>152</v>
          </cell>
        </row>
        <row r="38">
          <cell r="C38" t="str">
            <v>—</v>
          </cell>
          <cell r="D38" t="str">
            <v>—</v>
          </cell>
          <cell r="E38">
            <v>-503</v>
          </cell>
        </row>
        <row r="39">
          <cell r="C39" t="str">
            <v>—</v>
          </cell>
          <cell r="D39">
            <v>6300</v>
          </cell>
          <cell r="E39">
            <v>2030</v>
          </cell>
        </row>
        <row r="40">
          <cell r="C40" t="str">
            <v>—</v>
          </cell>
          <cell r="D40">
            <v>-43</v>
          </cell>
          <cell r="E40">
            <v>-25</v>
          </cell>
        </row>
        <row r="41">
          <cell r="C41" t="str">
            <v>—</v>
          </cell>
          <cell r="D41">
            <v>-1000</v>
          </cell>
          <cell r="E41" t="str">
            <v>—</v>
          </cell>
        </row>
        <row r="43">
          <cell r="C43" t="str">
            <v>—</v>
          </cell>
          <cell r="D43">
            <v>-260</v>
          </cell>
          <cell r="E43">
            <v>-393</v>
          </cell>
        </row>
        <row r="44">
          <cell r="C44" t="str">
            <v>—</v>
          </cell>
          <cell r="D44" t="str">
            <v>—</v>
          </cell>
          <cell r="E44">
            <v>-725</v>
          </cell>
        </row>
        <row r="45">
          <cell r="C45">
            <v>-163</v>
          </cell>
          <cell r="D45">
            <v>-149</v>
          </cell>
          <cell r="E45">
            <v>-155</v>
          </cell>
        </row>
        <row r="46">
          <cell r="C46">
            <v>-972</v>
          </cell>
          <cell r="D46">
            <v>-6330</v>
          </cell>
          <cell r="E46" t="str">
            <v>—</v>
          </cell>
        </row>
        <row r="47">
          <cell r="C47">
            <v>-4</v>
          </cell>
          <cell r="D47">
            <v>-9</v>
          </cell>
          <cell r="E47">
            <v>-19</v>
          </cell>
        </row>
        <row r="54">
          <cell r="C54">
            <v>-20</v>
          </cell>
          <cell r="D54">
            <v>59</v>
          </cell>
          <cell r="E54">
            <v>-43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894AB-ECD1-4E4E-B793-EEA7C4C2E1D2}">
  <dimension ref="B2:K128"/>
  <sheetViews>
    <sheetView tabSelected="1" zoomScale="75" workbookViewId="0">
      <selection activeCell="E23" sqref="E23"/>
    </sheetView>
  </sheetViews>
  <sheetFormatPr defaultColWidth="9.140625" defaultRowHeight="15.75" x14ac:dyDescent="0.25"/>
  <cols>
    <col min="1" max="1" width="9.140625" style="22"/>
    <col min="2" max="2" width="39.42578125" style="22" bestFit="1" customWidth="1"/>
    <col min="3" max="3" width="12" style="22" bestFit="1" customWidth="1"/>
    <col min="4" max="4" width="10.85546875" style="22" bestFit="1" customWidth="1"/>
    <col min="5" max="5" width="12" style="22" bestFit="1" customWidth="1"/>
    <col min="6" max="10" width="12.7109375" style="22" bestFit="1" customWidth="1"/>
    <col min="11" max="16384" width="9.140625" style="22"/>
  </cols>
  <sheetData>
    <row r="2" spans="2:10" x14ac:dyDescent="0.25">
      <c r="B2" s="6" t="s">
        <v>60</v>
      </c>
      <c r="C2" s="17">
        <v>43830</v>
      </c>
      <c r="D2" s="17">
        <f>EOMONTH(C2,12)</f>
        <v>44196</v>
      </c>
      <c r="E2" s="17">
        <f>EOMONTH(D2,12)</f>
        <v>44561</v>
      </c>
      <c r="F2" s="17">
        <f>EOMONTH(E2,12)</f>
        <v>44926</v>
      </c>
      <c r="G2" s="17">
        <f t="shared" ref="G2:J2" si="0">EOMONTH(F2,12)</f>
        <v>45291</v>
      </c>
      <c r="H2" s="17">
        <f t="shared" si="0"/>
        <v>45657</v>
      </c>
      <c r="I2" s="17">
        <f t="shared" si="0"/>
        <v>46022</v>
      </c>
      <c r="J2" s="17">
        <f t="shared" si="0"/>
        <v>46387</v>
      </c>
    </row>
    <row r="4" spans="2:10" x14ac:dyDescent="0.25">
      <c r="B4" s="22" t="s">
        <v>61</v>
      </c>
      <c r="C4" s="37">
        <f>C56/C7</f>
        <v>35300</v>
      </c>
      <c r="D4" s="37">
        <f>D56/D7</f>
        <v>31594.117647058822</v>
      </c>
      <c r="E4" s="37">
        <f>E56/E7</f>
        <v>35711.111111111109</v>
      </c>
      <c r="F4" s="31">
        <f>E4*(1+F5)</f>
        <v>37496.666666666664</v>
      </c>
      <c r="G4" s="31">
        <f t="shared" ref="G4:J4" si="1">F4*(1+G5)</f>
        <v>39371.5</v>
      </c>
      <c r="H4" s="31">
        <f t="shared" si="1"/>
        <v>40946.36</v>
      </c>
      <c r="I4" s="31">
        <f t="shared" si="1"/>
        <v>42584.214400000004</v>
      </c>
      <c r="J4" s="31">
        <f t="shared" si="1"/>
        <v>44287.582976000005</v>
      </c>
    </row>
    <row r="5" spans="2:10" x14ac:dyDescent="0.25">
      <c r="B5" s="23" t="s">
        <v>64</v>
      </c>
      <c r="D5" s="38">
        <f>(D4-C4)/C4</f>
        <v>-0.10498250291618069</v>
      </c>
      <c r="E5" s="38">
        <f>(E4-D4)/D4</f>
        <v>0.13030886034051181</v>
      </c>
      <c r="F5" s="32">
        <v>0.05</v>
      </c>
      <c r="G5" s="32">
        <v>0.05</v>
      </c>
      <c r="H5" s="32">
        <v>0.04</v>
      </c>
      <c r="I5" s="32">
        <v>0.04</v>
      </c>
      <c r="J5" s="32">
        <v>0.04</v>
      </c>
    </row>
    <row r="6" spans="2:10" x14ac:dyDescent="0.25">
      <c r="F6" s="24"/>
      <c r="G6" s="24"/>
      <c r="H6" s="24"/>
      <c r="I6" s="24"/>
      <c r="J6" s="24"/>
    </row>
    <row r="7" spans="2:10" x14ac:dyDescent="0.25">
      <c r="B7" s="22" t="s">
        <v>62</v>
      </c>
      <c r="C7" s="19">
        <v>0.16</v>
      </c>
      <c r="D7" s="19">
        <v>0.17</v>
      </c>
      <c r="E7" s="19">
        <v>0.18</v>
      </c>
      <c r="F7" s="20">
        <v>0.18</v>
      </c>
      <c r="G7" s="20">
        <v>0.182</v>
      </c>
      <c r="H7" s="20">
        <v>0.184</v>
      </c>
      <c r="I7" s="20">
        <v>0.185</v>
      </c>
      <c r="J7" s="20">
        <v>0.185</v>
      </c>
    </row>
    <row r="8" spans="2:10" x14ac:dyDescent="0.25">
      <c r="F8" s="24"/>
      <c r="G8" s="24"/>
      <c r="H8" s="24"/>
      <c r="I8" s="24"/>
      <c r="J8" s="24"/>
    </row>
    <row r="9" spans="2:10" x14ac:dyDescent="0.25">
      <c r="B9" s="22" t="s">
        <v>63</v>
      </c>
      <c r="C9" s="25">
        <v>2</v>
      </c>
      <c r="D9" s="25">
        <v>2.1</v>
      </c>
      <c r="E9" s="25">
        <v>2.15</v>
      </c>
      <c r="F9" s="30">
        <f>E9*(1+F10)</f>
        <v>2.2145000000000001</v>
      </c>
      <c r="G9" s="30">
        <f t="shared" ref="G9" si="2">F9*(1+G10)</f>
        <v>2.2809350000000004</v>
      </c>
      <c r="H9" s="30">
        <f t="shared" ref="H9" si="3">G9*(1+H10)</f>
        <v>2.3493630500000005</v>
      </c>
      <c r="I9" s="30">
        <f t="shared" ref="I9" si="4">H9*(1+I10)</f>
        <v>2.4198439415000004</v>
      </c>
      <c r="J9" s="30">
        <f t="shared" ref="J9" si="5">I9*(1+J10)</f>
        <v>2.4924392597450002</v>
      </c>
    </row>
    <row r="10" spans="2:10" x14ac:dyDescent="0.25">
      <c r="B10" s="23" t="s">
        <v>64</v>
      </c>
      <c r="D10" s="38">
        <f>(D9-C9)/C9</f>
        <v>5.0000000000000044E-2</v>
      </c>
      <c r="E10" s="38">
        <f>(E9-D9)/D9</f>
        <v>2.3809523809523725E-2</v>
      </c>
      <c r="F10" s="32">
        <v>0.03</v>
      </c>
      <c r="G10" s="32">
        <v>0.03</v>
      </c>
      <c r="H10" s="32">
        <v>0.03</v>
      </c>
      <c r="I10" s="32">
        <v>0.03</v>
      </c>
      <c r="J10" s="32">
        <v>0.03</v>
      </c>
    </row>
    <row r="11" spans="2:10" x14ac:dyDescent="0.25">
      <c r="F11" s="24"/>
      <c r="G11" s="24"/>
      <c r="H11" s="24"/>
      <c r="I11" s="24"/>
      <c r="J11" s="24"/>
    </row>
    <row r="12" spans="2:10" x14ac:dyDescent="0.25">
      <c r="B12" s="22" t="s">
        <v>65</v>
      </c>
      <c r="C12" s="39">
        <f>C57/C9</f>
        <v>3735</v>
      </c>
      <c r="D12" s="39">
        <f>D57/D9</f>
        <v>3516.6666666666665</v>
      </c>
      <c r="E12" s="39">
        <f>E57/E9</f>
        <v>3660.4651162790701</v>
      </c>
      <c r="F12" s="30">
        <f>E12*(1+F13)</f>
        <v>3770.2790697674423</v>
      </c>
      <c r="G12" s="30">
        <f t="shared" ref="G12" si="6">F12*(1+G13)</f>
        <v>3883.3874418604655</v>
      </c>
      <c r="H12" s="30">
        <f t="shared" ref="H12" si="7">G12*(1+H13)</f>
        <v>3999.8890651162797</v>
      </c>
      <c r="I12" s="30">
        <f t="shared" ref="I12" si="8">H12*(1+I13)</f>
        <v>4119.8857370697679</v>
      </c>
      <c r="J12" s="30">
        <f t="shared" ref="J12" si="9">I12*(1+J13)</f>
        <v>4243.4823091818607</v>
      </c>
    </row>
    <row r="13" spans="2:10" x14ac:dyDescent="0.25">
      <c r="B13" s="23" t="s">
        <v>64</v>
      </c>
      <c r="D13" s="38">
        <f>(D12-C12)/C12</f>
        <v>-5.8456046407853679E-2</v>
      </c>
      <c r="E13" s="38">
        <f>(E12-D12)/D12</f>
        <v>4.0890554392152688E-2</v>
      </c>
      <c r="F13" s="32">
        <v>0.03</v>
      </c>
      <c r="G13" s="32">
        <v>0.03</v>
      </c>
      <c r="H13" s="32">
        <v>0.03</v>
      </c>
      <c r="I13" s="32">
        <v>0.03</v>
      </c>
      <c r="J13" s="32">
        <v>0.03</v>
      </c>
    </row>
    <row r="15" spans="2:10" x14ac:dyDescent="0.25">
      <c r="B15" s="22" t="s">
        <v>68</v>
      </c>
      <c r="C15" s="40">
        <f>-C61/C56</f>
        <v>0.82152974504249288</v>
      </c>
      <c r="D15" s="40">
        <f t="shared" ref="D15:E15" si="10">-D61/D56</f>
        <v>0.82647551666356356</v>
      </c>
      <c r="E15" s="40">
        <f t="shared" si="10"/>
        <v>0.82342874922215303</v>
      </c>
      <c r="F15" s="28">
        <f>AVERAGE(C15:E15)</f>
        <v>0.82381133697606979</v>
      </c>
      <c r="G15" s="29">
        <f>F15</f>
        <v>0.82381133697606979</v>
      </c>
      <c r="H15" s="29">
        <f t="shared" ref="H15:J15" si="11">G15</f>
        <v>0.82381133697606979</v>
      </c>
      <c r="I15" s="29">
        <f t="shared" si="11"/>
        <v>0.82381133697606979</v>
      </c>
      <c r="J15" s="29">
        <f t="shared" si="11"/>
        <v>0.82381133697606979</v>
      </c>
    </row>
    <row r="16" spans="2:10" x14ac:dyDescent="0.25">
      <c r="B16" s="22" t="s">
        <v>69</v>
      </c>
      <c r="C16" s="40">
        <f>-C62/C57</f>
        <v>0.62275769745649268</v>
      </c>
      <c r="D16" s="40">
        <f t="shared" ref="D16:E16" si="12">-D62/D57</f>
        <v>0.61448882870683819</v>
      </c>
      <c r="E16" s="40">
        <f t="shared" si="12"/>
        <v>0.61143583227445997</v>
      </c>
      <c r="F16" s="28">
        <f t="shared" ref="F16:F17" si="13">AVERAGE(C16:E16)</f>
        <v>0.61622745281259694</v>
      </c>
      <c r="G16" s="29">
        <f t="shared" ref="G16:J16" si="14">F16</f>
        <v>0.61622745281259694</v>
      </c>
      <c r="H16" s="29">
        <f t="shared" si="14"/>
        <v>0.61622745281259694</v>
      </c>
      <c r="I16" s="29">
        <f t="shared" si="14"/>
        <v>0.61622745281259694</v>
      </c>
      <c r="J16" s="29">
        <f t="shared" si="14"/>
        <v>0.61622745281259694</v>
      </c>
    </row>
    <row r="17" spans="2:10" x14ac:dyDescent="0.25">
      <c r="B17" s="22" t="s">
        <v>70</v>
      </c>
      <c r="C17" s="40">
        <f>-C63/C58</f>
        <v>0.15040402500381156</v>
      </c>
      <c r="D17" s="40">
        <f t="shared" ref="D17:E17" si="15">-D63/D58</f>
        <v>0.16274694261523989</v>
      </c>
      <c r="E17" s="40">
        <f t="shared" si="15"/>
        <v>0.1473632675898727</v>
      </c>
      <c r="F17" s="28">
        <f t="shared" si="13"/>
        <v>0.1535047450696414</v>
      </c>
      <c r="G17" s="29">
        <f t="shared" ref="G17:J17" si="16">F17</f>
        <v>0.1535047450696414</v>
      </c>
      <c r="H17" s="29">
        <f t="shared" si="16"/>
        <v>0.1535047450696414</v>
      </c>
      <c r="I17" s="29">
        <f t="shared" si="16"/>
        <v>0.1535047450696414</v>
      </c>
      <c r="J17" s="29">
        <f t="shared" si="16"/>
        <v>0.1535047450696414</v>
      </c>
    </row>
    <row r="18" spans="2:10" x14ac:dyDescent="0.25">
      <c r="C18" s="40"/>
      <c r="D18" s="40"/>
      <c r="E18" s="40"/>
    </row>
    <row r="20" spans="2:10" x14ac:dyDescent="0.25">
      <c r="B20" s="22" t="s">
        <v>71</v>
      </c>
      <c r="C20" s="40">
        <f>-C71/C69</f>
        <v>0.31918323481998923</v>
      </c>
      <c r="D20" s="40">
        <f t="shared" ref="D20:E20" si="17">-D71/D69</f>
        <v>0.3011250827266711</v>
      </c>
      <c r="E20" s="40">
        <f t="shared" si="17"/>
        <v>0.27587965323814378</v>
      </c>
      <c r="F20" s="28">
        <f>AVERAGE(C20:E20)</f>
        <v>0.2987293235949347</v>
      </c>
      <c r="G20" s="29">
        <f>F20</f>
        <v>0.2987293235949347</v>
      </c>
      <c r="H20" s="29">
        <f t="shared" ref="H20:J21" si="18">G20</f>
        <v>0.2987293235949347</v>
      </c>
      <c r="I20" s="29">
        <f t="shared" si="18"/>
        <v>0.2987293235949347</v>
      </c>
      <c r="J20" s="29">
        <f t="shared" si="18"/>
        <v>0.2987293235949347</v>
      </c>
    </row>
    <row r="21" spans="2:10" x14ac:dyDescent="0.25">
      <c r="B21" s="22" t="s">
        <v>72</v>
      </c>
      <c r="C21" s="40">
        <f>-C74/C73</f>
        <v>0.11917916337805841</v>
      </c>
      <c r="D21" s="40">
        <f t="shared" ref="D21:E21" si="19">-D74/D73</f>
        <v>0.14204545454545456</v>
      </c>
      <c r="E21" s="40">
        <f t="shared" si="19"/>
        <v>0.12253521126760564</v>
      </c>
      <c r="F21" s="28">
        <f>AVERAGE(C21:E21)</f>
        <v>0.12791994306370622</v>
      </c>
      <c r="G21" s="29">
        <f>F21</f>
        <v>0.12791994306370622</v>
      </c>
      <c r="H21" s="29">
        <f t="shared" si="18"/>
        <v>0.12791994306370622</v>
      </c>
      <c r="I21" s="29">
        <f t="shared" si="18"/>
        <v>0.12791994306370622</v>
      </c>
      <c r="J21" s="29">
        <f t="shared" si="18"/>
        <v>0.12791994306370622</v>
      </c>
    </row>
    <row r="23" spans="2:10" x14ac:dyDescent="0.25">
      <c r="B23" s="47" t="s">
        <v>73</v>
      </c>
      <c r="D23" s="40">
        <f>D82/D58</f>
        <v>0.24678582627783005</v>
      </c>
      <c r="E23" s="40">
        <f>E82/E58</f>
        <v>0.22604560078332633</v>
      </c>
      <c r="F23" s="28">
        <f>AVERAGE(C23:E23)</f>
        <v>0.23641571353057819</v>
      </c>
      <c r="G23" s="29">
        <f>F23</f>
        <v>0.23641571353057819</v>
      </c>
      <c r="H23" s="29">
        <f t="shared" ref="H23:J23" si="20">G23</f>
        <v>0.23641571353057819</v>
      </c>
      <c r="I23" s="29">
        <f t="shared" si="20"/>
        <v>0.23641571353057819</v>
      </c>
      <c r="J23" s="29">
        <f t="shared" si="20"/>
        <v>0.23641571353057819</v>
      </c>
    </row>
    <row r="24" spans="2:10" x14ac:dyDescent="0.25">
      <c r="B24" s="48" t="s">
        <v>74</v>
      </c>
      <c r="D24" s="40">
        <f>-D83/(D61+D62)</f>
        <v>0.1722178901637518</v>
      </c>
      <c r="E24" s="40">
        <f>-E83/(E61+E62)</f>
        <v>0.15378525482434438</v>
      </c>
      <c r="F24" s="28">
        <f>AVERAGE(C24:E24)</f>
        <v>0.16300157249404809</v>
      </c>
      <c r="G24" s="29">
        <f>F24</f>
        <v>0.16300157249404809</v>
      </c>
      <c r="H24" s="29">
        <f t="shared" ref="H24:J25" si="21">G24</f>
        <v>0.16300157249404809</v>
      </c>
      <c r="I24" s="29">
        <f t="shared" si="21"/>
        <v>0.16300157249404809</v>
      </c>
      <c r="J24" s="29">
        <f t="shared" si="21"/>
        <v>0.16300157249404809</v>
      </c>
    </row>
    <row r="25" spans="2:10" x14ac:dyDescent="0.25">
      <c r="B25" s="48" t="s">
        <v>76</v>
      </c>
      <c r="D25" s="40">
        <f>-D85/D63</f>
        <v>0.26107899807321772</v>
      </c>
      <c r="E25" s="40">
        <f>-E85/E63</f>
        <v>0.24964404366397722</v>
      </c>
      <c r="F25" s="28">
        <f>AVERAGE(C25:E25)</f>
        <v>0.25536152086859748</v>
      </c>
      <c r="G25" s="29">
        <f>F25</f>
        <v>0.25536152086859748</v>
      </c>
      <c r="H25" s="29">
        <f t="shared" si="21"/>
        <v>0.25536152086859748</v>
      </c>
      <c r="I25" s="29">
        <f t="shared" si="21"/>
        <v>0.25536152086859748</v>
      </c>
      <c r="J25" s="29">
        <f t="shared" si="21"/>
        <v>0.25536152086859748</v>
      </c>
    </row>
    <row r="26" spans="2:10" x14ac:dyDescent="0.25">
      <c r="B26" s="47"/>
    </row>
    <row r="27" spans="2:10" x14ac:dyDescent="0.25">
      <c r="B27" s="48" t="s">
        <v>75</v>
      </c>
      <c r="D27" s="40">
        <f>-D90/(D61+D62)</f>
        <v>0.1618580817645093</v>
      </c>
      <c r="E27" s="40">
        <f>-E90/(E61+E62)</f>
        <v>0.15398317664522512</v>
      </c>
      <c r="F27" s="28">
        <f>AVERAGE(C27:E27)</f>
        <v>0.15792062920486721</v>
      </c>
      <c r="G27" s="29">
        <f>F27</f>
        <v>0.15792062920486721</v>
      </c>
      <c r="H27" s="29">
        <f t="shared" ref="H27:J30" si="22">G27</f>
        <v>0.15792062920486721</v>
      </c>
      <c r="I27" s="29">
        <f t="shared" si="22"/>
        <v>0.15792062920486721</v>
      </c>
      <c r="J27" s="29">
        <f t="shared" si="22"/>
        <v>0.15792062920486721</v>
      </c>
    </row>
    <row r="28" spans="2:10" x14ac:dyDescent="0.25">
      <c r="B28" s="48" t="s">
        <v>77</v>
      </c>
      <c r="D28" s="40">
        <f>-D91/SUM(D61:D63)</f>
        <v>0.1788654663892156</v>
      </c>
      <c r="E28" s="40">
        <f>-E91/SUM(E61:E63)</f>
        <v>0.16320013101867015</v>
      </c>
      <c r="F28" s="28">
        <f>AVERAGE(C28:E28)</f>
        <v>0.17103279870394289</v>
      </c>
      <c r="G28" s="29">
        <f>F28</f>
        <v>0.17103279870394289</v>
      </c>
      <c r="H28" s="29">
        <f t="shared" si="22"/>
        <v>0.17103279870394289</v>
      </c>
      <c r="I28" s="29">
        <f t="shared" si="22"/>
        <v>0.17103279870394289</v>
      </c>
      <c r="J28" s="29">
        <f t="shared" si="22"/>
        <v>0.17103279870394289</v>
      </c>
    </row>
    <row r="29" spans="2:10" x14ac:dyDescent="0.25">
      <c r="B29" s="48" t="s">
        <v>78</v>
      </c>
      <c r="D29" s="40">
        <f>-D92/SUM(D61:D63)</f>
        <v>0.22998281009680629</v>
      </c>
      <c r="E29" s="40">
        <f>-E92/SUM(E61:E63)</f>
        <v>0.21896495250573206</v>
      </c>
      <c r="F29" s="28">
        <f>AVERAGE(C29:E29)</f>
        <v>0.22447388130126916</v>
      </c>
      <c r="G29" s="29">
        <f>F29</f>
        <v>0.22447388130126916</v>
      </c>
      <c r="H29" s="29">
        <f t="shared" si="22"/>
        <v>0.22447388130126916</v>
      </c>
      <c r="I29" s="29">
        <f t="shared" si="22"/>
        <v>0.22447388130126916</v>
      </c>
      <c r="J29" s="29">
        <f t="shared" si="22"/>
        <v>0.22447388130126916</v>
      </c>
    </row>
    <row r="30" spans="2:10" x14ac:dyDescent="0.25">
      <c r="B30" s="47" t="s">
        <v>79</v>
      </c>
      <c r="D30" s="40">
        <f>-D95/SUM(D61:D63)</f>
        <v>0.14557133809825387</v>
      </c>
      <c r="E30" s="40">
        <f>-E95/SUM(E61:E63)</f>
        <v>0.11717982312479529</v>
      </c>
      <c r="F30" s="28">
        <f>AVERAGE(C30:E30)</f>
        <v>0.13137558061152457</v>
      </c>
      <c r="G30" s="29">
        <f>F30</f>
        <v>0.13137558061152457</v>
      </c>
      <c r="H30" s="29">
        <f t="shared" si="22"/>
        <v>0.13137558061152457</v>
      </c>
      <c r="I30" s="29">
        <f t="shared" si="22"/>
        <v>0.13137558061152457</v>
      </c>
      <c r="J30" s="29">
        <f t="shared" si="22"/>
        <v>0.13137558061152457</v>
      </c>
    </row>
    <row r="32" spans="2:10" x14ac:dyDescent="0.25">
      <c r="B32" s="1" t="s">
        <v>82</v>
      </c>
      <c r="C32" s="40">
        <f>-C115/C58</f>
        <v>1.1053514255221832E-2</v>
      </c>
      <c r="D32" s="40">
        <f t="shared" ref="D32:E32" si="23">-D115/D58</f>
        <v>1.4346190028222013E-2</v>
      </c>
      <c r="E32" s="40">
        <f t="shared" si="23"/>
        <v>1.0910616869492237E-2</v>
      </c>
      <c r="F32" s="27">
        <f>AVERAGE(C32:E32)</f>
        <v>1.2103440384312028E-2</v>
      </c>
      <c r="G32" s="55">
        <f>F32</f>
        <v>1.2103440384312028E-2</v>
      </c>
      <c r="H32" s="55">
        <f t="shared" ref="H32:J32" si="24">G32</f>
        <v>1.2103440384312028E-2</v>
      </c>
      <c r="I32" s="55">
        <f t="shared" si="24"/>
        <v>1.2103440384312028E-2</v>
      </c>
      <c r="J32" s="55">
        <f t="shared" si="24"/>
        <v>1.2103440384312028E-2</v>
      </c>
    </row>
    <row r="33" spans="2:10" x14ac:dyDescent="0.25">
      <c r="B33" s="1" t="s">
        <v>83</v>
      </c>
      <c r="C33" s="40">
        <f>C110/C58</f>
        <v>1.3721603903033999E-2</v>
      </c>
      <c r="D33" s="40">
        <f t="shared" ref="D33:E33" si="25">D110/D58</f>
        <v>1.4973345876450299E-2</v>
      </c>
      <c r="E33" s="40">
        <f t="shared" si="25"/>
        <v>0</v>
      </c>
      <c r="F33" s="27">
        <f>AVERAGE(C33:E33)</f>
        <v>9.5649832598280991E-3</v>
      </c>
      <c r="G33" s="55">
        <f t="shared" ref="G33:J33" si="26">F33</f>
        <v>9.5649832598280991E-3</v>
      </c>
      <c r="H33" s="55">
        <f t="shared" si="26"/>
        <v>9.5649832598280991E-3</v>
      </c>
      <c r="I33" s="55">
        <f t="shared" si="26"/>
        <v>9.5649832598280991E-3</v>
      </c>
      <c r="J33" s="55">
        <f t="shared" si="26"/>
        <v>9.5649832598280991E-3</v>
      </c>
    </row>
    <row r="34" spans="2:10" x14ac:dyDescent="0.25">
      <c r="B34" s="1" t="s">
        <v>87</v>
      </c>
      <c r="C34" s="40">
        <f>C111/C58</f>
        <v>4.1164811709102E-3</v>
      </c>
      <c r="D34" s="40">
        <f t="shared" ref="D34:E34" si="27">D111/D58</f>
        <v>1.2229539040451553E-2</v>
      </c>
      <c r="E34" s="40">
        <f t="shared" si="27"/>
        <v>0</v>
      </c>
      <c r="F34" s="27">
        <f>AVERAGE(C34:E34)</f>
        <v>5.4486734037872513E-3</v>
      </c>
      <c r="G34" s="55">
        <f t="shared" ref="G34:J34" si="28">F34</f>
        <v>5.4486734037872513E-3</v>
      </c>
      <c r="H34" s="55">
        <f t="shared" si="28"/>
        <v>5.4486734037872513E-3</v>
      </c>
      <c r="I34" s="55">
        <f t="shared" si="28"/>
        <v>5.4486734037872513E-3</v>
      </c>
      <c r="J34" s="55">
        <f t="shared" si="28"/>
        <v>5.4486734037872513E-3</v>
      </c>
    </row>
    <row r="36" spans="2:10" x14ac:dyDescent="0.25">
      <c r="B36" s="1" t="s">
        <v>80</v>
      </c>
      <c r="C36" s="53">
        <f>C116</f>
        <v>-58</v>
      </c>
      <c r="D36" s="53">
        <f>D116</f>
        <v>-119</v>
      </c>
      <c r="E36" s="53">
        <f>E116</f>
        <v>27</v>
      </c>
      <c r="F36" s="53">
        <v>-75</v>
      </c>
      <c r="G36" s="53">
        <v>-75</v>
      </c>
      <c r="H36" s="53">
        <v>-75</v>
      </c>
      <c r="I36" s="53">
        <v>-75</v>
      </c>
      <c r="J36" s="53">
        <v>-75</v>
      </c>
    </row>
    <row r="37" spans="2:10" x14ac:dyDescent="0.25">
      <c r="B37" s="1"/>
      <c r="C37" s="53"/>
      <c r="D37" s="53"/>
      <c r="E37" s="53"/>
      <c r="F37" s="53"/>
      <c r="G37" s="53"/>
      <c r="H37" s="53"/>
      <c r="I37" s="53"/>
      <c r="J37" s="53"/>
    </row>
    <row r="38" spans="2:10" x14ac:dyDescent="0.25">
      <c r="B38" s="1" t="s">
        <v>88</v>
      </c>
      <c r="C38" s="53"/>
      <c r="D38" s="53"/>
      <c r="E38" s="53">
        <v>3000</v>
      </c>
      <c r="F38" s="53"/>
      <c r="G38" s="53"/>
      <c r="H38" s="53"/>
      <c r="I38" s="53"/>
      <c r="J38" s="53"/>
    </row>
    <row r="39" spans="2:10" x14ac:dyDescent="0.25">
      <c r="B39" s="1" t="s">
        <v>89</v>
      </c>
      <c r="C39" s="53"/>
      <c r="D39" s="53"/>
      <c r="E39" s="53"/>
      <c r="F39" s="53">
        <f>E81+F113+F117+F120+F122+F126-E38</f>
        <v>1582.3719402556799</v>
      </c>
      <c r="G39" s="53">
        <f>F81+G113+G117+G120+G122+G126-F38</f>
        <v>3953.5942067266301</v>
      </c>
      <c r="H39" s="53">
        <f>G81+H113+H117+H120+H122+H126-G38</f>
        <v>1011.3888350617145</v>
      </c>
      <c r="I39" s="53">
        <f>H81+I113+I117+I120+I122+I126-H38</f>
        <v>1018.3844947770182</v>
      </c>
      <c r="J39" s="53">
        <f>I81+J113+J117+J120+J122+J126-I38</f>
        <v>1062.1127207227644</v>
      </c>
    </row>
    <row r="40" spans="2:10" x14ac:dyDescent="0.25">
      <c r="B40" s="62" t="s">
        <v>90</v>
      </c>
      <c r="C40" s="53"/>
      <c r="D40" s="53"/>
      <c r="E40" s="64">
        <v>0.85</v>
      </c>
      <c r="F40" s="53"/>
      <c r="G40" s="53"/>
      <c r="H40" s="53"/>
      <c r="I40" s="53"/>
      <c r="J40" s="53"/>
    </row>
    <row r="41" spans="2:10" x14ac:dyDescent="0.25">
      <c r="B41" s="62" t="s">
        <v>91</v>
      </c>
      <c r="C41" s="53"/>
      <c r="D41" s="53"/>
      <c r="E41" s="64">
        <v>0.15</v>
      </c>
      <c r="F41" s="53"/>
      <c r="G41" s="53"/>
      <c r="H41" s="53"/>
      <c r="I41" s="53"/>
      <c r="J41" s="53"/>
    </row>
    <row r="42" spans="2:10" x14ac:dyDescent="0.25">
      <c r="B42" s="63"/>
      <c r="C42" s="53"/>
      <c r="D42" s="53"/>
      <c r="E42" s="53"/>
      <c r="F42" s="53"/>
      <c r="G42" s="53"/>
      <c r="H42" s="53"/>
      <c r="I42" s="53"/>
      <c r="J42" s="53"/>
    </row>
    <row r="43" spans="2:10" x14ac:dyDescent="0.25">
      <c r="B43" s="23" t="s">
        <v>94</v>
      </c>
      <c r="C43" s="52"/>
      <c r="D43" s="52">
        <f>-D68/D93</f>
        <v>1.6544616219148361E-2</v>
      </c>
      <c r="E43" s="52">
        <f>-E68/E93</f>
        <v>2.1687131239036837E-2</v>
      </c>
      <c r="F43" s="67">
        <v>2.5000000000000001E-2</v>
      </c>
      <c r="G43" s="67">
        <v>2.7E-2</v>
      </c>
      <c r="H43" s="67">
        <v>3.5000000000000003E-2</v>
      </c>
      <c r="I43" s="67">
        <v>0.04</v>
      </c>
      <c r="J43" s="67">
        <v>0.04</v>
      </c>
    </row>
    <row r="44" spans="2:10" x14ac:dyDescent="0.25">
      <c r="C44" s="53"/>
      <c r="D44" s="53"/>
      <c r="E44" s="53"/>
      <c r="F44" s="53"/>
      <c r="G44" s="53"/>
      <c r="H44" s="53"/>
      <c r="I44" s="53"/>
      <c r="J44" s="53"/>
    </row>
    <row r="45" spans="2:10" x14ac:dyDescent="0.25">
      <c r="B45" s="1" t="s">
        <v>92</v>
      </c>
      <c r="F45" s="39">
        <f>IF(F39&lt;0,-F39,-F39*$E$41)</f>
        <v>-237.35579103835198</v>
      </c>
      <c r="G45" s="39">
        <f>IF(G39&lt;0,-G39,-G39*$E$41)</f>
        <v>-593.03913100899445</v>
      </c>
      <c r="H45" s="39">
        <f>IF(H39&lt;0,-H39,-H39*$E$41)</f>
        <v>-151.70832525925718</v>
      </c>
      <c r="I45" s="39">
        <f>IF(I39&lt;0,-I39,-I39*$E$41)</f>
        <v>-152.75767421655272</v>
      </c>
      <c r="J45" s="39">
        <f>IF(J39&lt;0,-J39,-J39*$E$41)</f>
        <v>-159.31690810841465</v>
      </c>
    </row>
    <row r="46" spans="2:10" x14ac:dyDescent="0.25">
      <c r="B46" s="22" t="s">
        <v>86</v>
      </c>
      <c r="C46" s="55" t="e">
        <f>-C120/C75</f>
        <v>#VALUE!</v>
      </c>
      <c r="D46" s="55">
        <f t="shared" ref="D46:E46" si="29">-D120/D75</f>
        <v>0.28697571743929362</v>
      </c>
      <c r="E46" s="55">
        <f t="shared" si="29"/>
        <v>0.31540930979133225</v>
      </c>
      <c r="F46" s="65">
        <v>0.35</v>
      </c>
      <c r="G46" s="19">
        <v>0.37</v>
      </c>
      <c r="H46" s="19">
        <v>0.37</v>
      </c>
      <c r="I46" s="19">
        <v>0.39</v>
      </c>
      <c r="J46" s="19">
        <v>0.4</v>
      </c>
    </row>
    <row r="47" spans="2:10" x14ac:dyDescent="0.25">
      <c r="B47" s="22" t="s">
        <v>81</v>
      </c>
      <c r="F47" s="39">
        <f>IF(F45&lt;0,-F39*$E$40)</f>
        <v>-1345.0161492173279</v>
      </c>
      <c r="G47" s="39">
        <f>IF(G45&lt;0,-G39*$E$40)</f>
        <v>-3360.5550757176356</v>
      </c>
      <c r="H47" s="39">
        <f>IF(H45&lt;0,-H39*$E$40)</f>
        <v>-859.68050980245732</v>
      </c>
      <c r="I47" s="39">
        <f>IF(I45&lt;0,-I39*$E$40)</f>
        <v>-865.62682056046538</v>
      </c>
      <c r="J47" s="39">
        <f>IF(J45&lt;0,-J39*$E$40)</f>
        <v>-902.79581261434964</v>
      </c>
    </row>
    <row r="48" spans="2:10" x14ac:dyDescent="0.25">
      <c r="B48" s="22" t="s">
        <v>84</v>
      </c>
      <c r="C48" s="40">
        <f>-C122/-C74</f>
        <v>1.0794701986754967</v>
      </c>
      <c r="D48" s="40">
        <f t="shared" ref="D48:E48" si="30">-D122/-D74</f>
        <v>0.99333333333333329</v>
      </c>
      <c r="E48" s="40">
        <f t="shared" si="30"/>
        <v>0.89080459770114939</v>
      </c>
      <c r="F48" s="27">
        <f>AVERAGE(C48:E48)</f>
        <v>0.98786937656999319</v>
      </c>
      <c r="G48" s="55">
        <f>F48</f>
        <v>0.98786937656999319</v>
      </c>
      <c r="H48" s="55">
        <f t="shared" ref="H48:J48" si="31">G48</f>
        <v>0.98786937656999319</v>
      </c>
      <c r="I48" s="55">
        <f t="shared" si="31"/>
        <v>0.98786937656999319</v>
      </c>
      <c r="J48" s="55">
        <f t="shared" si="31"/>
        <v>0.98786937656999319</v>
      </c>
    </row>
    <row r="50" spans="2:10" x14ac:dyDescent="0.25">
      <c r="B50" s="22" t="s">
        <v>93</v>
      </c>
      <c r="E50" s="40">
        <f>-E123/E119</f>
        <v>3.2000000000000001E-2</v>
      </c>
      <c r="F50" s="66">
        <v>2.5000000000000001E-2</v>
      </c>
      <c r="G50" s="20">
        <v>2.5000000000000001E-2</v>
      </c>
      <c r="H50" s="20">
        <v>2.5000000000000001E-2</v>
      </c>
      <c r="I50" s="20">
        <v>2.5000000000000001E-2</v>
      </c>
      <c r="J50" s="20">
        <v>2.5000000000000001E-2</v>
      </c>
    </row>
    <row r="51" spans="2:10" x14ac:dyDescent="0.25">
      <c r="B51" s="1" t="s">
        <v>85</v>
      </c>
      <c r="C51" s="40">
        <f>C126/C58</f>
        <v>-1.5246226558926666E-3</v>
      </c>
      <c r="D51" s="40">
        <f t="shared" ref="D51:E51" si="32">D126/D58</f>
        <v>4.6252743806835996E-3</v>
      </c>
      <c r="E51" s="40">
        <f t="shared" si="32"/>
        <v>-3.0074136242831165E-3</v>
      </c>
      <c r="F51" s="55">
        <f>AVERAGE(C51:E51)</f>
        <v>3.1079366835938916E-5</v>
      </c>
      <c r="G51" s="55">
        <f t="shared" ref="G51:J51" si="33">AVERAGE(D51:F51)</f>
        <v>5.4964670774547398E-4</v>
      </c>
      <c r="H51" s="55">
        <f t="shared" si="33"/>
        <v>-8.0889584990056791E-4</v>
      </c>
      <c r="I51" s="55">
        <f t="shared" si="33"/>
        <v>-7.6056591773051655E-5</v>
      </c>
      <c r="J51" s="55">
        <f t="shared" si="33"/>
        <v>-1.1176857797604852E-4</v>
      </c>
    </row>
    <row r="54" spans="2:10" ht="17.100000000000001" customHeight="1" x14ac:dyDescent="0.25">
      <c r="B54" s="6" t="s">
        <v>0</v>
      </c>
      <c r="C54" s="17">
        <v>43830</v>
      </c>
      <c r="D54" s="17">
        <f>EOMONTH(C54,12)</f>
        <v>44196</v>
      </c>
      <c r="E54" s="17">
        <f>EOMONTH(D54,12)</f>
        <v>44561</v>
      </c>
      <c r="F54" s="17">
        <f>EOMONTH(E54,12)</f>
        <v>44926</v>
      </c>
      <c r="G54" s="17">
        <f t="shared" ref="G54:J54" si="34">EOMONTH(F54,12)</f>
        <v>45291</v>
      </c>
      <c r="H54" s="17">
        <f t="shared" si="34"/>
        <v>45657</v>
      </c>
      <c r="I54" s="17">
        <f t="shared" si="34"/>
        <v>46022</v>
      </c>
      <c r="J54" s="17">
        <f t="shared" si="34"/>
        <v>46387</v>
      </c>
    </row>
    <row r="56" spans="2:10" x14ac:dyDescent="0.25">
      <c r="B56" s="23" t="s">
        <v>66</v>
      </c>
      <c r="C56" s="37">
        <f>[2]operations!C8</f>
        <v>5648</v>
      </c>
      <c r="D56" s="37">
        <f>[2]operations!D8</f>
        <v>5371</v>
      </c>
      <c r="E56" s="37">
        <f>[2]operations!E8</f>
        <v>6428</v>
      </c>
      <c r="F56" s="21">
        <f>F4*F7</f>
        <v>6749.4</v>
      </c>
      <c r="G56" s="21">
        <f>G4*G7</f>
        <v>7165.6129999999994</v>
      </c>
      <c r="H56" s="21">
        <f>H4*H7</f>
        <v>7534.1302400000004</v>
      </c>
      <c r="I56" s="21">
        <f>I4*I7</f>
        <v>7878.0796640000008</v>
      </c>
      <c r="J56" s="21">
        <f>J4*J7</f>
        <v>8193.202850560001</v>
      </c>
    </row>
    <row r="57" spans="2:10" ht="16.5" thickBot="1" x14ac:dyDescent="0.3">
      <c r="B57" s="23" t="s">
        <v>67</v>
      </c>
      <c r="C57" s="37">
        <f>[2]operations!C9</f>
        <v>7470</v>
      </c>
      <c r="D57" s="37">
        <f>[2]operations!D9</f>
        <v>7385</v>
      </c>
      <c r="E57" s="37">
        <f>[2]operations!E9</f>
        <v>7870</v>
      </c>
      <c r="F57" s="21">
        <f>F12*F9</f>
        <v>8349.2830000000013</v>
      </c>
      <c r="G57" s="21">
        <f>G12*G9</f>
        <v>8857.7543347000028</v>
      </c>
      <c r="H57" s="21">
        <f>H12*H9</f>
        <v>9397.1915736832325</v>
      </c>
      <c r="I57" s="21">
        <f>I12*I9</f>
        <v>9969.4805405205407</v>
      </c>
      <c r="J57" s="21">
        <f>J12*J9</f>
        <v>10576.621905438242</v>
      </c>
    </row>
    <row r="58" spans="2:10" x14ac:dyDescent="0.25">
      <c r="B58" s="2" t="s">
        <v>1</v>
      </c>
      <c r="C58" s="3">
        <f>SUM(C56:C57)</f>
        <v>13118</v>
      </c>
      <c r="D58" s="3">
        <f t="shared" ref="D58:E58" si="35">SUM(D56:D57)</f>
        <v>12756</v>
      </c>
      <c r="E58" s="3">
        <f t="shared" si="35"/>
        <v>14298</v>
      </c>
      <c r="F58" s="26">
        <f>SUM(F56:F57)</f>
        <v>15098.683000000001</v>
      </c>
      <c r="G58" s="26">
        <f t="shared" ref="G58:J58" si="36">SUM(G56:G57)</f>
        <v>16023.367334700002</v>
      </c>
      <c r="H58" s="26">
        <f t="shared" si="36"/>
        <v>16931.321813683233</v>
      </c>
      <c r="I58" s="26">
        <f t="shared" si="36"/>
        <v>17847.560204520541</v>
      </c>
      <c r="J58" s="26">
        <f t="shared" si="36"/>
        <v>18769.824755998241</v>
      </c>
    </row>
    <row r="59" spans="2:10" x14ac:dyDescent="0.25">
      <c r="C59" s="37"/>
      <c r="D59" s="37"/>
      <c r="E59" s="37"/>
      <c r="F59" s="33">
        <f>F58/E58-1</f>
        <v>5.5999650300741388E-2</v>
      </c>
      <c r="G59" s="33">
        <f t="shared" ref="G59:J59" si="37">G58/F58-1</f>
        <v>6.1242714659285324E-2</v>
      </c>
      <c r="H59" s="33">
        <f t="shared" si="37"/>
        <v>5.6664398937979588E-2</v>
      </c>
      <c r="I59" s="33">
        <f t="shared" si="37"/>
        <v>5.4114994736963906E-2</v>
      </c>
      <c r="J59" s="33">
        <f t="shared" si="37"/>
        <v>5.1674544918699938E-2</v>
      </c>
    </row>
    <row r="60" spans="2:10" x14ac:dyDescent="0.25">
      <c r="C60" s="37"/>
      <c r="D60" s="37"/>
      <c r="E60" s="37"/>
      <c r="F60" s="40"/>
      <c r="G60" s="40"/>
      <c r="H60" s="40"/>
      <c r="I60" s="40"/>
      <c r="J60" s="40"/>
    </row>
    <row r="61" spans="2:10" x14ac:dyDescent="0.25">
      <c r="B61" s="23" t="s">
        <v>2</v>
      </c>
      <c r="C61" s="37">
        <f>-[2]operations!C12</f>
        <v>-4640</v>
      </c>
      <c r="D61" s="37">
        <f>-[2]operations!D12</f>
        <v>-4439</v>
      </c>
      <c r="E61" s="37">
        <f>-[2]operations!E12</f>
        <v>-5293</v>
      </c>
      <c r="F61" s="21">
        <f t="shared" ref="F61:J63" si="38">-F15*F56</f>
        <v>-5560.2322377862847</v>
      </c>
      <c r="G61" s="21">
        <f t="shared" si="38"/>
        <v>-5903.1132257831059</v>
      </c>
      <c r="H61" s="21">
        <f t="shared" si="38"/>
        <v>-6206.701905966238</v>
      </c>
      <c r="I61" s="21">
        <f t="shared" si="38"/>
        <v>-6490.0513408038269</v>
      </c>
      <c r="J61" s="21">
        <f t="shared" si="38"/>
        <v>-6749.6533944359808</v>
      </c>
    </row>
    <row r="62" spans="2:10" x14ac:dyDescent="0.25">
      <c r="B62" s="23" t="s">
        <v>3</v>
      </c>
      <c r="C62" s="37">
        <f>-[2]operations!C13</f>
        <v>-4652</v>
      </c>
      <c r="D62" s="37">
        <f>-[2]operations!D13</f>
        <v>-4538</v>
      </c>
      <c r="E62" s="37">
        <f>-[2]operations!E13</f>
        <v>-4812</v>
      </c>
      <c r="F62" s="21">
        <f t="shared" si="38"/>
        <v>-5145.0573959015182</v>
      </c>
      <c r="G62" s="21">
        <f t="shared" si="38"/>
        <v>-5458.3913913119222</v>
      </c>
      <c r="H62" s="21">
        <f t="shared" si="38"/>
        <v>-5790.8074270428178</v>
      </c>
      <c r="I62" s="21">
        <f t="shared" si="38"/>
        <v>-6143.4675993497249</v>
      </c>
      <c r="J62" s="21">
        <f t="shared" si="38"/>
        <v>-6517.6047761501231</v>
      </c>
    </row>
    <row r="63" spans="2:10" ht="16.5" thickBot="1" x14ac:dyDescent="0.3">
      <c r="B63" s="23" t="s">
        <v>4</v>
      </c>
      <c r="C63" s="37">
        <f>-SUM([2]operations!C14:C15)</f>
        <v>-1973</v>
      </c>
      <c r="D63" s="37">
        <f>-SUM([2]operations!D14:D15)</f>
        <v>-2076</v>
      </c>
      <c r="E63" s="37">
        <f>-SUM([2]operations!E14:E15)</f>
        <v>-2107</v>
      </c>
      <c r="F63" s="21">
        <f t="shared" si="38"/>
        <v>-2317.7194848023287</v>
      </c>
      <c r="G63" s="21">
        <f t="shared" si="38"/>
        <v>-2459.6629178703433</v>
      </c>
      <c r="H63" s="21">
        <f t="shared" si="38"/>
        <v>-2599.0382387015034</v>
      </c>
      <c r="I63" s="21">
        <f t="shared" si="38"/>
        <v>-2739.6851793100027</v>
      </c>
      <c r="J63" s="21">
        <f t="shared" si="38"/>
        <v>-2881.2571641713539</v>
      </c>
    </row>
    <row r="64" spans="2:10" x14ac:dyDescent="0.25">
      <c r="B64" s="2" t="s">
        <v>5</v>
      </c>
      <c r="C64" s="3">
        <f>C58+SUM(C61:C63)</f>
        <v>1853</v>
      </c>
      <c r="D64" s="3">
        <f t="shared" ref="D64:E64" si="39">D58+SUM(D61:D63)</f>
        <v>1703</v>
      </c>
      <c r="E64" s="3">
        <f t="shared" si="39"/>
        <v>2086</v>
      </c>
      <c r="F64" s="26">
        <f>F58+SUM(F61:F63)</f>
        <v>2075.6738815098688</v>
      </c>
      <c r="G64" s="26">
        <f t="shared" ref="G64:J64" si="40">G58+SUM(G61:G63)</f>
        <v>2202.1997997346316</v>
      </c>
      <c r="H64" s="26">
        <f t="shared" si="40"/>
        <v>2334.7742419726728</v>
      </c>
      <c r="I64" s="26">
        <f t="shared" si="40"/>
        <v>2474.3560850569866</v>
      </c>
      <c r="J64" s="26">
        <f t="shared" si="40"/>
        <v>2621.3094212407814</v>
      </c>
    </row>
    <row r="65" spans="2:10" x14ac:dyDescent="0.25">
      <c r="C65" s="37"/>
      <c r="D65" s="37"/>
      <c r="E65" s="37"/>
    </row>
    <row r="66" spans="2:10" x14ac:dyDescent="0.25">
      <c r="B66" s="23" t="s">
        <v>6</v>
      </c>
      <c r="C66" s="37">
        <f>[2]operations!C17</f>
        <v>-39</v>
      </c>
      <c r="D66" s="37">
        <f>[2]operations!D17</f>
        <v>-64</v>
      </c>
      <c r="E66" s="37">
        <f>[2]operations!E17</f>
        <v>22</v>
      </c>
      <c r="F66" s="31">
        <f>E66</f>
        <v>22</v>
      </c>
      <c r="G66" s="31">
        <f t="shared" ref="G66:J66" si="41">F66</f>
        <v>22</v>
      </c>
      <c r="H66" s="31">
        <f t="shared" si="41"/>
        <v>22</v>
      </c>
      <c r="I66" s="31">
        <f t="shared" si="41"/>
        <v>22</v>
      </c>
      <c r="J66" s="31">
        <f t="shared" si="41"/>
        <v>22</v>
      </c>
    </row>
    <row r="67" spans="2:10" x14ac:dyDescent="0.25">
      <c r="B67" s="23" t="s">
        <v>7</v>
      </c>
      <c r="C67" s="37">
        <f>-[2]operations!C19</f>
        <v>33</v>
      </c>
      <c r="D67" s="37">
        <f>-[2]operations!D19</f>
        <v>-6</v>
      </c>
      <c r="E67" s="37">
        <f>-[2]operations!E19</f>
        <v>-11</v>
      </c>
      <c r="F67" s="31">
        <f t="shared" ref="F67" si="42">E67</f>
        <v>-11</v>
      </c>
      <c r="G67" s="31">
        <f t="shared" ref="G67:J67" si="43">F67</f>
        <v>-11</v>
      </c>
      <c r="H67" s="31">
        <f t="shared" si="43"/>
        <v>-11</v>
      </c>
      <c r="I67" s="31">
        <f t="shared" si="43"/>
        <v>-11</v>
      </c>
      <c r="J67" s="31">
        <f t="shared" si="43"/>
        <v>-11</v>
      </c>
    </row>
    <row r="68" spans="2:10" ht="16.5" thickBot="1" x14ac:dyDescent="0.3">
      <c r="B68" s="23" t="s">
        <v>8</v>
      </c>
      <c r="C68" s="37">
        <f>-[2]operations!C20</f>
        <v>14</v>
      </c>
      <c r="D68" s="37">
        <f>-[2]operations!D20</f>
        <v>-122</v>
      </c>
      <c r="E68" s="37">
        <f>-[2]operations!E20</f>
        <v>-136</v>
      </c>
      <c r="F68" s="31">
        <f>-F43*E93</f>
        <v>-156.77500000000001</v>
      </c>
      <c r="G68" s="31">
        <f t="shared" ref="G68:J68" si="44">-G43*F93</f>
        <v>-162.90839364196449</v>
      </c>
      <c r="H68" s="31">
        <f t="shared" si="44"/>
        <v>-190.42117772834291</v>
      </c>
      <c r="I68" s="31">
        <f t="shared" si="44"/>
        <v>-211.55587010773587</v>
      </c>
      <c r="J68" s="31">
        <f t="shared" si="44"/>
        <v>-205.44556313907376</v>
      </c>
    </row>
    <row r="69" spans="2:10" x14ac:dyDescent="0.25">
      <c r="B69" s="2" t="s">
        <v>9</v>
      </c>
      <c r="C69" s="3">
        <f>C64+SUM(C66:C68)</f>
        <v>1861</v>
      </c>
      <c r="D69" s="3">
        <f t="shared" ref="D69:E69" si="45">D64+SUM(D66:D68)</f>
        <v>1511</v>
      </c>
      <c r="E69" s="3">
        <f t="shared" si="45"/>
        <v>1961</v>
      </c>
      <c r="F69" s="34">
        <f>F64+SUM(F66:F68)</f>
        <v>1929.8988815098687</v>
      </c>
      <c r="G69" s="34">
        <f t="shared" ref="G69:J69" si="46">G64+SUM(G66:G68)</f>
        <v>2050.2914060926669</v>
      </c>
      <c r="H69" s="34">
        <f t="shared" si="46"/>
        <v>2155.3530642443297</v>
      </c>
      <c r="I69" s="34">
        <f t="shared" si="46"/>
        <v>2273.8002149492509</v>
      </c>
      <c r="J69" s="34">
        <f t="shared" si="46"/>
        <v>2426.8638581017076</v>
      </c>
    </row>
    <row r="70" spans="2:10" x14ac:dyDescent="0.25">
      <c r="C70" s="37"/>
      <c r="D70" s="37"/>
      <c r="E70" s="37"/>
      <c r="F70" s="24"/>
      <c r="G70" s="24"/>
      <c r="H70" s="24"/>
      <c r="I70" s="24"/>
      <c r="J70" s="24"/>
    </row>
    <row r="71" spans="2:10" x14ac:dyDescent="0.25">
      <c r="B71" s="22" t="s">
        <v>10</v>
      </c>
      <c r="C71" s="37">
        <f>-[2]operations!C22</f>
        <v>-594</v>
      </c>
      <c r="D71" s="37">
        <f>-[2]operations!D22</f>
        <v>-455</v>
      </c>
      <c r="E71" s="37">
        <f>-[2]operations!E22</f>
        <v>-541</v>
      </c>
      <c r="F71" s="21">
        <f>-F69*F20</f>
        <v>-576.51738748006414</v>
      </c>
      <c r="G71" s="21">
        <f>-G69*G20</f>
        <v>-612.48216491456992</v>
      </c>
      <c r="H71" s="21">
        <f>-H69*H20</f>
        <v>-643.86716298997851</v>
      </c>
      <c r="I71" s="21">
        <f>-I69*I20</f>
        <v>-679.2508002018069</v>
      </c>
      <c r="J71" s="21">
        <f>-J69*J20</f>
        <v>-724.9753987877167</v>
      </c>
    </row>
    <row r="72" spans="2:10" x14ac:dyDescent="0.25">
      <c r="C72" s="37"/>
      <c r="D72" s="37"/>
      <c r="E72" s="37"/>
      <c r="F72" s="24"/>
      <c r="G72" s="24"/>
      <c r="H72" s="24"/>
      <c r="I72" s="24"/>
      <c r="J72" s="24"/>
    </row>
    <row r="73" spans="2:10" x14ac:dyDescent="0.25">
      <c r="B73" s="1" t="s">
        <v>11</v>
      </c>
      <c r="C73" s="4">
        <f>C69+C71</f>
        <v>1267</v>
      </c>
      <c r="D73" s="4">
        <f t="shared" ref="D73:E73" si="47">D69+D71</f>
        <v>1056</v>
      </c>
      <c r="E73" s="4">
        <f t="shared" si="47"/>
        <v>1420</v>
      </c>
      <c r="F73" s="31">
        <f>SUM(F69,F71)</f>
        <v>1353.3814940298046</v>
      </c>
      <c r="G73" s="31">
        <f t="shared" ref="G73:J73" si="48">SUM(G69,G71)</f>
        <v>1437.809241178097</v>
      </c>
      <c r="H73" s="31">
        <f t="shared" si="48"/>
        <v>1511.4859012543511</v>
      </c>
      <c r="I73" s="31">
        <f t="shared" si="48"/>
        <v>1594.549414747444</v>
      </c>
      <c r="J73" s="31">
        <f t="shared" si="48"/>
        <v>1701.888459313991</v>
      </c>
    </row>
    <row r="74" spans="2:10" ht="16.5" thickBot="1" x14ac:dyDescent="0.3">
      <c r="B74" s="23" t="s">
        <v>13</v>
      </c>
      <c r="C74" s="37">
        <f>-[2]operations!C24</f>
        <v>-151</v>
      </c>
      <c r="D74" s="37">
        <f>-[2]operations!D24</f>
        <v>-150</v>
      </c>
      <c r="E74" s="37">
        <f>-[2]operations!E24</f>
        <v>-174</v>
      </c>
      <c r="F74" s="21">
        <f>-F73*F21</f>
        <v>-173.12448365976624</v>
      </c>
      <c r="G74" s="21">
        <f>-G73*G21</f>
        <v>-183.92447626797281</v>
      </c>
      <c r="H74" s="21">
        <f>-H73*H21</f>
        <v>-193.34919043005127</v>
      </c>
      <c r="I74" s="21">
        <f>-I73*I21</f>
        <v>-203.9746703467591</v>
      </c>
      <c r="J74" s="21">
        <f>-J73*J21</f>
        <v>-217.70547481622441</v>
      </c>
    </row>
    <row r="75" spans="2:10" x14ac:dyDescent="0.25">
      <c r="B75" s="2" t="s">
        <v>12</v>
      </c>
      <c r="C75" s="35">
        <f>SUM(C73,C74)</f>
        <v>1116</v>
      </c>
      <c r="D75" s="35">
        <f t="shared" ref="D75:E75" si="49">SUM(D73,D74)</f>
        <v>906</v>
      </c>
      <c r="E75" s="35">
        <f t="shared" si="49"/>
        <v>1246</v>
      </c>
      <c r="F75" s="36">
        <f>SUM(F73:F74)</f>
        <v>1180.2570103700384</v>
      </c>
      <c r="G75" s="36">
        <f t="shared" ref="G75:J75" si="50">SUM(G73:G74)</f>
        <v>1253.8847649101242</v>
      </c>
      <c r="H75" s="36">
        <f t="shared" si="50"/>
        <v>1318.1367108242998</v>
      </c>
      <c r="I75" s="36">
        <f t="shared" si="50"/>
        <v>1390.5747444006849</v>
      </c>
      <c r="J75" s="36">
        <f t="shared" si="50"/>
        <v>1484.1829844977665</v>
      </c>
    </row>
    <row r="78" spans="2:10" x14ac:dyDescent="0.25">
      <c r="B78" s="5" t="s">
        <v>14</v>
      </c>
      <c r="C78" s="16">
        <v>43830</v>
      </c>
      <c r="D78" s="16">
        <f>EOMONTH(C78,12)</f>
        <v>44196</v>
      </c>
      <c r="E78" s="16">
        <f>EOMONTH(D78,12)</f>
        <v>44561</v>
      </c>
      <c r="F78" s="16">
        <f>EOMONTH(E78,12)</f>
        <v>44926</v>
      </c>
      <c r="G78" s="16">
        <f t="shared" ref="G78:J78" si="51">EOMONTH(F78,12)</f>
        <v>45291</v>
      </c>
      <c r="H78" s="16">
        <f t="shared" si="51"/>
        <v>45657</v>
      </c>
      <c r="I78" s="16">
        <f t="shared" si="51"/>
        <v>46022</v>
      </c>
      <c r="J78" s="16">
        <f t="shared" si="51"/>
        <v>46387</v>
      </c>
    </row>
    <row r="80" spans="2:10" x14ac:dyDescent="0.25">
      <c r="B80" s="1" t="s">
        <v>15</v>
      </c>
    </row>
    <row r="81" spans="2:11" x14ac:dyDescent="0.25">
      <c r="B81" s="23" t="s">
        <v>16</v>
      </c>
      <c r="C81" s="37"/>
      <c r="D81" s="41">
        <f>SUM('[2]consolidated balance sheets'!C7:C8)</f>
        <v>1799</v>
      </c>
      <c r="E81" s="41">
        <f>SUM('[2]consolidated balance sheets'!D7:D8)</f>
        <v>3475</v>
      </c>
      <c r="F81" s="60">
        <f>E81+F128</f>
        <v>3000.0000000000005</v>
      </c>
      <c r="G81" s="60">
        <f t="shared" ref="G81:J81" si="52">F81+G128</f>
        <v>0</v>
      </c>
      <c r="H81" s="60">
        <f t="shared" si="52"/>
        <v>1.2967404927621828E-13</v>
      </c>
      <c r="I81" s="60">
        <f t="shared" si="52"/>
        <v>2.042810365310288E-13</v>
      </c>
      <c r="J81" s="60">
        <f t="shared" si="52"/>
        <v>5.0137671792072069E-13</v>
      </c>
    </row>
    <row r="82" spans="2:11" x14ac:dyDescent="0.25">
      <c r="B82" s="23" t="s">
        <v>17</v>
      </c>
      <c r="C82" s="37"/>
      <c r="D82" s="37">
        <f>'[2]consolidated balance sheets'!C9</f>
        <v>3148</v>
      </c>
      <c r="E82" s="37">
        <f>'[2]consolidated balance sheets'!D9</f>
        <v>3232</v>
      </c>
      <c r="F82" s="49">
        <f>F58*F23</f>
        <v>3569.5659148170112</v>
      </c>
      <c r="G82" s="49">
        <f>G58*G23</f>
        <v>3788.1758215956597</v>
      </c>
      <c r="H82" s="49">
        <f>H58*H23</f>
        <v>4002.8305275977646</v>
      </c>
      <c r="I82" s="49">
        <f>I58*I23</f>
        <v>4219.4436805316755</v>
      </c>
      <c r="J82" s="49">
        <f>J58*J23</f>
        <v>4437.4815125332352</v>
      </c>
    </row>
    <row r="83" spans="2:11" x14ac:dyDescent="0.25">
      <c r="B83" s="23" t="s">
        <v>18</v>
      </c>
      <c r="C83" s="37"/>
      <c r="D83" s="37">
        <f>SUM('[2]consolidated balance sheets'!C10:C12)</f>
        <v>1546</v>
      </c>
      <c r="E83" s="37">
        <f>SUM('[2]consolidated balance sheets'!D10:D12)</f>
        <v>1554</v>
      </c>
      <c r="F83" s="49">
        <f>-SUM(F61:F62)*F24</f>
        <v>1744.979044295344</v>
      </c>
      <c r="G83" s="49">
        <f>-SUM(G61:G62)*G24</f>
        <v>1851.9431184848772</v>
      </c>
      <c r="H83" s="49">
        <f>-SUM(H61:H62)*H24</f>
        <v>1955.6128872924944</v>
      </c>
      <c r="I83" s="49">
        <f>-SUM(I61:I62)*I24</f>
        <v>2059.2834533783689</v>
      </c>
      <c r="J83" s="49">
        <f>-SUM(J61:J62)*J24</f>
        <v>2162.583944490043</v>
      </c>
    </row>
    <row r="84" spans="2:11" x14ac:dyDescent="0.25">
      <c r="B84" s="23" t="s">
        <v>19</v>
      </c>
      <c r="C84" s="37"/>
      <c r="D84" s="37">
        <f>SUM('[2]consolidated balance sheets'!C17,'[2]consolidated balance sheets'!C18,'[2]consolidated balance sheets'!C15)</f>
        <v>3031</v>
      </c>
      <c r="E84" s="37">
        <f>SUM('[2]consolidated balance sheets'!D17,'[2]consolidated balance sheets'!D18,'[2]consolidated balance sheets'!D15)</f>
        <v>2860</v>
      </c>
      <c r="F84" s="37">
        <f>E84-F115-F110</f>
        <v>2898.3273594316743</v>
      </c>
      <c r="G84" s="37">
        <f>F84-G115-G110</f>
        <v>2939.0019904006663</v>
      </c>
      <c r="H84" s="37">
        <f t="shared" ref="H84:J84" si="53">G84-H115-H110</f>
        <v>2981.9814248855405</v>
      </c>
      <c r="I84" s="37">
        <f t="shared" si="53"/>
        <v>3027.2866912413615</v>
      </c>
      <c r="J84" s="37">
        <f t="shared" si="53"/>
        <v>3074.9330866185401</v>
      </c>
    </row>
    <row r="85" spans="2:11" x14ac:dyDescent="0.25">
      <c r="B85" s="23" t="s">
        <v>20</v>
      </c>
      <c r="C85" s="37"/>
      <c r="D85" s="37">
        <f>'[2]consolidated balance sheets'!C16</f>
        <v>542</v>
      </c>
      <c r="E85" s="37">
        <f>'[2]consolidated balance sheets'!D16</f>
        <v>526</v>
      </c>
      <c r="F85" s="49">
        <f>-F63*F25</f>
        <v>591.85637258590486</v>
      </c>
      <c r="G85" s="49">
        <f>-G63*G25</f>
        <v>628.10326353146309</v>
      </c>
      <c r="H85" s="49">
        <f>-H63*H25</f>
        <v>663.69435743045676</v>
      </c>
      <c r="I85" s="49">
        <f>-I63*I25</f>
        <v>699.61017408975852</v>
      </c>
      <c r="J85" s="49">
        <f>-J63*J25</f>
        <v>735.76221145633917</v>
      </c>
    </row>
    <row r="86" spans="2:11" ht="16.5" thickBot="1" x14ac:dyDescent="0.3">
      <c r="B86" s="23" t="s">
        <v>21</v>
      </c>
      <c r="C86" s="37"/>
      <c r="D86" s="37">
        <f>SUM('[2]consolidated balance sheets'!C14,'[2]consolidated balance sheets'!C19)</f>
        <v>644</v>
      </c>
      <c r="E86" s="37">
        <f>SUM('[2]consolidated balance sheets'!D14,'[2]consolidated balance sheets'!D19)</f>
        <v>632</v>
      </c>
      <c r="F86" s="50">
        <f>E86-SUM(F111,F116)</f>
        <v>624.73220750568532</v>
      </c>
      <c r="G86" s="50">
        <f t="shared" ref="G86:J86" si="54">F86-SUM(G111,G116)</f>
        <v>612.42611206999197</v>
      </c>
      <c r="H86" s="50">
        <f t="shared" si="54"/>
        <v>595.17286921281323</v>
      </c>
      <c r="I86" s="50">
        <f t="shared" si="54"/>
        <v>572.92734260395036</v>
      </c>
      <c r="J86" s="50">
        <f t="shared" si="54"/>
        <v>545.65669766219526</v>
      </c>
    </row>
    <row r="87" spans="2:11" x14ac:dyDescent="0.25">
      <c r="B87" s="2" t="s">
        <v>22</v>
      </c>
      <c r="C87" s="42"/>
      <c r="D87" s="11">
        <f>SUM(D81:D86)</f>
        <v>10710</v>
      </c>
      <c r="E87" s="11">
        <f>SUM(E81:E86)</f>
        <v>12279</v>
      </c>
      <c r="F87" s="11">
        <f t="shared" ref="F87:J87" si="55">SUM(F81:F86)</f>
        <v>12429.46089863562</v>
      </c>
      <c r="G87" s="11">
        <f t="shared" si="55"/>
        <v>9819.6503060826581</v>
      </c>
      <c r="H87" s="11">
        <f t="shared" si="55"/>
        <v>10199.29206641907</v>
      </c>
      <c r="I87" s="11">
        <f t="shared" si="55"/>
        <v>10578.551341845116</v>
      </c>
      <c r="J87" s="11">
        <f t="shared" si="55"/>
        <v>10956.417452760354</v>
      </c>
      <c r="K87" s="11"/>
    </row>
    <row r="88" spans="2:11" x14ac:dyDescent="0.25">
      <c r="F88" s="50"/>
      <c r="G88" s="50"/>
      <c r="H88" s="50"/>
      <c r="I88" s="50"/>
      <c r="J88" s="50"/>
    </row>
    <row r="89" spans="2:11" x14ac:dyDescent="0.25">
      <c r="B89" s="1" t="s">
        <v>31</v>
      </c>
      <c r="F89" s="50"/>
      <c r="G89" s="50"/>
      <c r="H89" s="50"/>
      <c r="I89" s="50"/>
      <c r="J89" s="50"/>
    </row>
    <row r="90" spans="2:11" x14ac:dyDescent="0.25">
      <c r="B90" s="23" t="s">
        <v>23</v>
      </c>
      <c r="D90" s="12">
        <f>'[2]consolidated balance sheets'!C23</f>
        <v>1453</v>
      </c>
      <c r="E90" s="12">
        <f>'[2]consolidated balance sheets'!D23</f>
        <v>1556</v>
      </c>
      <c r="F90" s="51">
        <f>-SUM(F61:F62)*F27</f>
        <v>1690.5860747723204</v>
      </c>
      <c r="G90" s="51">
        <f>-SUM(G61:G62)*G27</f>
        <v>1794.2159578456508</v>
      </c>
      <c r="H90" s="51">
        <f>-SUM(H61:H62)*H27</f>
        <v>1894.6542227600571</v>
      </c>
      <c r="I90" s="51">
        <f>-SUM(I61:I62)*I27</f>
        <v>1995.0932601006562</v>
      </c>
      <c r="J90" s="51">
        <f>-SUM(J61:J62)*J27</f>
        <v>2095.1737581223733</v>
      </c>
    </row>
    <row r="91" spans="2:11" x14ac:dyDescent="0.25">
      <c r="B91" s="23" t="s">
        <v>24</v>
      </c>
      <c r="D91" s="44">
        <f>'[2]consolidated balance sheets'!C24</f>
        <v>1977</v>
      </c>
      <c r="E91" s="44">
        <f>'[2]consolidated balance sheets'!D24</f>
        <v>1993</v>
      </c>
      <c r="F91" s="49">
        <f>-SUM(F61:F63)*F28</f>
        <v>2227.3616970823355</v>
      </c>
      <c r="G91" s="49">
        <f>-SUM(G61:G63)*G28</f>
        <v>2363.8729648612029</v>
      </c>
      <c r="H91" s="49">
        <f>-SUM(H61:H63)*H28</f>
        <v>2496.4883826048986</v>
      </c>
      <c r="I91" s="49">
        <f>-SUM(I61:I63)*I28</f>
        <v>2629.322125598836</v>
      </c>
      <c r="J91" s="49">
        <f>-SUM(J61:J63)*J28</f>
        <v>2761.9257726171077</v>
      </c>
    </row>
    <row r="92" spans="2:11" x14ac:dyDescent="0.25">
      <c r="B92" s="23" t="s">
        <v>25</v>
      </c>
      <c r="D92" s="44">
        <f>'[2]consolidated balance sheets'!C25</f>
        <v>2542</v>
      </c>
      <c r="E92" s="44">
        <f>'[2]consolidated balance sheets'!D25</f>
        <v>2674</v>
      </c>
      <c r="F92" s="49">
        <f>-SUM(F61:F63)*F29</f>
        <v>2923.3254030492999</v>
      </c>
      <c r="G92" s="49">
        <f>-SUM(G61:G63)*G29</f>
        <v>3102.4911206887714</v>
      </c>
      <c r="H92" s="49">
        <f>-SUM(H61:H63)*H29</f>
        <v>3276.5436870204849</v>
      </c>
      <c r="I92" s="49">
        <f>-SUM(I61:I63)*I29</f>
        <v>3450.8827967326442</v>
      </c>
      <c r="J92" s="49">
        <f>-SUM(J61:J63)*J29</f>
        <v>3624.9199144460708</v>
      </c>
    </row>
    <row r="93" spans="2:11" x14ac:dyDescent="0.25">
      <c r="B93" s="23" t="s">
        <v>26</v>
      </c>
      <c r="D93" s="44">
        <f>SUM('[2]consolidated balance sheets'!C22,'[2]consolidated balance sheets'!C27)</f>
        <v>7374</v>
      </c>
      <c r="E93" s="44">
        <f>SUM('[2]consolidated balance sheets'!D22,'[2]consolidated balance sheets'!D27)</f>
        <v>6271</v>
      </c>
      <c r="F93" s="49">
        <f>E93+F119</f>
        <v>6033.6442089616485</v>
      </c>
      <c r="G93" s="49">
        <f t="shared" ref="G93:J93" si="56">F93+G119</f>
        <v>5440.605077952654</v>
      </c>
      <c r="H93" s="49">
        <f t="shared" si="56"/>
        <v>5288.8967526933966</v>
      </c>
      <c r="I93" s="49">
        <f t="shared" si="56"/>
        <v>5136.1390784768437</v>
      </c>
      <c r="J93" s="49">
        <f t="shared" si="56"/>
        <v>4976.8221703684294</v>
      </c>
    </row>
    <row r="94" spans="2:11" x14ac:dyDescent="0.25">
      <c r="B94" s="23" t="s">
        <v>27</v>
      </c>
      <c r="D94" s="44">
        <f>'[2]consolidated balance sheets'!C30</f>
        <v>367</v>
      </c>
      <c r="E94" s="44">
        <f>'[2]consolidated balance sheets'!D30</f>
        <v>336</v>
      </c>
      <c r="F94" s="49">
        <f>E94+(F85-E85)</f>
        <v>401.85637258590486</v>
      </c>
      <c r="G94" s="49">
        <f t="shared" ref="G94:J94" si="57">F94+(G85-F85)</f>
        <v>438.10326353146309</v>
      </c>
      <c r="H94" s="49">
        <f t="shared" si="57"/>
        <v>473.69435743045676</v>
      </c>
      <c r="I94" s="49">
        <f t="shared" si="57"/>
        <v>509.61017408975852</v>
      </c>
      <c r="J94" s="49">
        <f t="shared" si="57"/>
        <v>545.76221145633917</v>
      </c>
    </row>
    <row r="95" spans="2:11" ht="16.5" thickBot="1" x14ac:dyDescent="0.3">
      <c r="B95" s="23" t="s">
        <v>28</v>
      </c>
      <c r="D95" s="44">
        <f>SUM('[2]consolidated balance sheets'!C29,'[2]consolidated balance sheets'!C31,'[2]consolidated balance sheets'!C32)</f>
        <v>1609</v>
      </c>
      <c r="E95" s="44">
        <f>SUM('[2]consolidated balance sheets'!D29,'[2]consolidated balance sheets'!D31,'[2]consolidated balance sheets'!D32)</f>
        <v>1431</v>
      </c>
      <c r="F95" s="49">
        <f>-SUM(F61:F63)*F30</f>
        <v>1710.9053842508199</v>
      </c>
      <c r="G95" s="49">
        <f>-SUM(G61:G63)*G30</f>
        <v>1815.7639096352293</v>
      </c>
      <c r="H95" s="49">
        <f>-SUM(H61:H63)*H30</f>
        <v>1917.629912157214</v>
      </c>
      <c r="I95" s="49">
        <f>-SUM(I61:I63)*I30</f>
        <v>2019.663617054006</v>
      </c>
      <c r="J95" s="49">
        <f>-SUM(J61:J63)*J30</f>
        <v>2121.5205781178693</v>
      </c>
    </row>
    <row r="96" spans="2:11" ht="16.5" thickTop="1" x14ac:dyDescent="0.25">
      <c r="B96" s="7" t="s">
        <v>29</v>
      </c>
      <c r="C96" s="45"/>
      <c r="D96" s="8">
        <f>SUM(D90:D95)</f>
        <v>15322</v>
      </c>
      <c r="E96" s="8">
        <f>SUM(E90:E95)</f>
        <v>14261</v>
      </c>
      <c r="F96" s="8">
        <f t="shared" ref="F96:J96" si="58">SUM(F90:F95)</f>
        <v>14987.679140702328</v>
      </c>
      <c r="G96" s="8">
        <f t="shared" si="58"/>
        <v>14955.05229451497</v>
      </c>
      <c r="H96" s="8">
        <f t="shared" si="58"/>
        <v>15347.907314666509</v>
      </c>
      <c r="I96" s="8">
        <f t="shared" si="58"/>
        <v>15740.711052052746</v>
      </c>
      <c r="J96" s="8">
        <f t="shared" si="58"/>
        <v>16126.12440512819</v>
      </c>
    </row>
    <row r="98" spans="2:10" x14ac:dyDescent="0.25">
      <c r="B98" s="22" t="s">
        <v>30</v>
      </c>
      <c r="D98" s="46">
        <f>'[2]consolidated balance sheets'!C43</f>
        <v>-3862</v>
      </c>
      <c r="E98" s="46">
        <f>'[2]consolidated balance sheets'!D43</f>
        <v>-3625</v>
      </c>
      <c r="F98" s="56">
        <f>E98+F108+F120+F121+F123+F126</f>
        <v>-4203.3183499844999</v>
      </c>
      <c r="G98" s="56">
        <f t="shared" ref="G98:J98" si="59">F98+G108+G120+G121+G123+G126</f>
        <v>-6782.7332149112717</v>
      </c>
      <c r="H98" s="56">
        <f t="shared" si="59"/>
        <v>-6798.2919209460015</v>
      </c>
      <c r="I98" s="56">
        <f t="shared" si="59"/>
        <v>-6814.3107228214294</v>
      </c>
      <c r="J98" s="56">
        <f t="shared" si="59"/>
        <v>-6824.4988681152809</v>
      </c>
    </row>
    <row r="99" spans="2:10" ht="16.5" thickBot="1" x14ac:dyDescent="0.3">
      <c r="B99" s="22" t="s">
        <v>32</v>
      </c>
      <c r="D99" s="44">
        <f>SUM('[2]consolidated balance sheets'!C35,'[2]consolidated balance sheets'!C44)</f>
        <v>661</v>
      </c>
      <c r="E99" s="44">
        <f>SUM('[2]consolidated balance sheets'!D35,'[2]consolidated balance sheets'!D44)</f>
        <v>641</v>
      </c>
      <c r="F99" s="61">
        <f>E99+F109+F122</f>
        <v>643.10010791779098</v>
      </c>
      <c r="G99" s="61">
        <f t="shared" ref="G99:J99" si="60">F99+G109+G122</f>
        <v>645.33122647895902</v>
      </c>
      <c r="H99" s="61">
        <f t="shared" si="60"/>
        <v>647.6766726985627</v>
      </c>
      <c r="I99" s="61">
        <f t="shared" si="60"/>
        <v>650.15101261379903</v>
      </c>
      <c r="J99" s="61">
        <f t="shared" si="60"/>
        <v>652.7919157474455</v>
      </c>
    </row>
    <row r="100" spans="2:10" ht="16.5" thickTop="1" x14ac:dyDescent="0.25">
      <c r="B100" s="7" t="s">
        <v>33</v>
      </c>
      <c r="C100" s="45"/>
      <c r="D100" s="9">
        <f>SUM(D98:D99)</f>
        <v>-3201</v>
      </c>
      <c r="E100" s="9">
        <f>SUM(E98:E99)</f>
        <v>-2984</v>
      </c>
      <c r="F100" s="9">
        <f t="shared" ref="F100:J100" si="61">SUM(F98:F99)</f>
        <v>-3560.2182420667091</v>
      </c>
      <c r="G100" s="9">
        <f t="shared" si="61"/>
        <v>-6137.4019884323125</v>
      </c>
      <c r="H100" s="9">
        <f t="shared" si="61"/>
        <v>-6150.615248247439</v>
      </c>
      <c r="I100" s="9">
        <f t="shared" si="61"/>
        <v>-6164.1597102076303</v>
      </c>
      <c r="J100" s="9">
        <f t="shared" si="61"/>
        <v>-6171.7069523678356</v>
      </c>
    </row>
    <row r="101" spans="2:10" ht="16.5" thickBot="1" x14ac:dyDescent="0.3"/>
    <row r="102" spans="2:10" x14ac:dyDescent="0.25">
      <c r="B102" s="2" t="s">
        <v>34</v>
      </c>
      <c r="C102" s="43"/>
      <c r="D102" s="10">
        <f>D96+D100</f>
        <v>12121</v>
      </c>
      <c r="E102" s="10">
        <f>E96+E100</f>
        <v>11277</v>
      </c>
      <c r="F102" s="10">
        <f>F96+F100</f>
        <v>11427.46089863562</v>
      </c>
      <c r="G102" s="10">
        <f>G96+G100</f>
        <v>8817.6503060826581</v>
      </c>
      <c r="H102" s="10">
        <f>H96+H100</f>
        <v>9197.2920664190697</v>
      </c>
      <c r="I102" s="10">
        <f t="shared" ref="I102:J102" si="62">I96+I100</f>
        <v>9576.5513418451155</v>
      </c>
      <c r="J102" s="10">
        <f t="shared" si="62"/>
        <v>9954.4174527603536</v>
      </c>
    </row>
    <row r="104" spans="2:10" x14ac:dyDescent="0.25">
      <c r="B104" s="22" t="s">
        <v>35</v>
      </c>
      <c r="D104" s="41">
        <f>D87-D102</f>
        <v>-1411</v>
      </c>
      <c r="E104" s="41">
        <f>E87-E102</f>
        <v>1002</v>
      </c>
      <c r="F104" s="41">
        <f t="shared" ref="F104:I104" si="63">F87-F102</f>
        <v>1002</v>
      </c>
      <c r="G104" s="41">
        <f t="shared" si="63"/>
        <v>1002</v>
      </c>
      <c r="H104" s="41">
        <f t="shared" si="63"/>
        <v>1002</v>
      </c>
      <c r="I104" s="41">
        <f t="shared" si="63"/>
        <v>1002</v>
      </c>
      <c r="J104" s="41">
        <f>J87-J102</f>
        <v>1002</v>
      </c>
    </row>
    <row r="106" spans="2:10" x14ac:dyDescent="0.25">
      <c r="B106" s="13" t="s">
        <v>36</v>
      </c>
      <c r="C106" s="14">
        <v>43830</v>
      </c>
      <c r="D106" s="14">
        <f>EOMONTH(C106,12)</f>
        <v>44196</v>
      </c>
      <c r="E106" s="14">
        <f>EOMONTH(D106,12)</f>
        <v>44561</v>
      </c>
      <c r="F106" s="15" t="s">
        <v>38</v>
      </c>
      <c r="G106" s="15" t="s">
        <v>39</v>
      </c>
      <c r="H106" s="15" t="s">
        <v>40</v>
      </c>
      <c r="I106" s="15" t="s">
        <v>41</v>
      </c>
      <c r="J106" s="15" t="s">
        <v>42</v>
      </c>
    </row>
    <row r="107" spans="2:10" x14ac:dyDescent="0.25">
      <c r="B107" s="22" t="s">
        <v>37</v>
      </c>
    </row>
    <row r="108" spans="2:10" x14ac:dyDescent="0.25">
      <c r="B108" s="1" t="s">
        <v>57</v>
      </c>
      <c r="C108" s="41">
        <f>C75</f>
        <v>1116</v>
      </c>
      <c r="D108" s="41">
        <f>D75</f>
        <v>906</v>
      </c>
      <c r="E108" s="41">
        <f t="shared" ref="E108" si="64">E75</f>
        <v>1246</v>
      </c>
      <c r="F108" s="57">
        <f>F75</f>
        <v>1180.2570103700384</v>
      </c>
      <c r="G108" s="57">
        <f t="shared" ref="G108:I108" si="65">G75</f>
        <v>1253.8847649101242</v>
      </c>
      <c r="H108" s="57">
        <f t="shared" si="65"/>
        <v>1318.1367108242998</v>
      </c>
      <c r="I108" s="57">
        <f t="shared" si="65"/>
        <v>1390.5747444006849</v>
      </c>
      <c r="J108" s="57">
        <f>J75</f>
        <v>1484.1829844977665</v>
      </c>
    </row>
    <row r="109" spans="2:10" x14ac:dyDescent="0.25">
      <c r="B109" s="22" t="s">
        <v>48</v>
      </c>
      <c r="C109" s="41">
        <f>-C74</f>
        <v>151</v>
      </c>
      <c r="D109" s="41">
        <f>-D74</f>
        <v>150</v>
      </c>
      <c r="E109" s="41">
        <f t="shared" ref="E109:J109" si="66">-E74</f>
        <v>174</v>
      </c>
      <c r="F109" s="41">
        <f t="shared" si="66"/>
        <v>173.12448365976624</v>
      </c>
      <c r="G109" s="41">
        <f t="shared" si="66"/>
        <v>183.92447626797281</v>
      </c>
      <c r="H109" s="41">
        <f t="shared" si="66"/>
        <v>193.34919043005127</v>
      </c>
      <c r="I109" s="41">
        <f t="shared" si="66"/>
        <v>203.9746703467591</v>
      </c>
      <c r="J109" s="41">
        <f t="shared" si="66"/>
        <v>217.70547481622441</v>
      </c>
    </row>
    <row r="110" spans="2:10" x14ac:dyDescent="0.25">
      <c r="B110" s="22" t="s">
        <v>43</v>
      </c>
      <c r="C110" s="41">
        <f>'[2]cash flows'!C9</f>
        <v>180</v>
      </c>
      <c r="D110" s="41">
        <f>'[2]cash flows'!D9</f>
        <v>191</v>
      </c>
      <c r="E110" s="41">
        <f>'[1]securities registered purs'!E9</f>
        <v>0</v>
      </c>
      <c r="F110" s="39">
        <f>F58*F33</f>
        <v>144.41865014045112</v>
      </c>
      <c r="G110" s="39">
        <f>G58*G33</f>
        <v>153.26324032248192</v>
      </c>
      <c r="H110" s="39">
        <f>H58*H33</f>
        <v>161.94780971464246</v>
      </c>
      <c r="I110" s="39">
        <f>I58*I33</f>
        <v>170.71161458501314</v>
      </c>
      <c r="J110" s="39">
        <f>J58*J33</f>
        <v>179.53305958103022</v>
      </c>
    </row>
    <row r="111" spans="2:10" x14ac:dyDescent="0.25">
      <c r="B111" s="22" t="s">
        <v>49</v>
      </c>
      <c r="C111" s="41">
        <f>SUM('[2]cash flows'!C10,'[2]cash flows'!C11,'[2]cash flows'!C12,'[2]cash flows'!C24,'[2]cash flows'!C25)</f>
        <v>54</v>
      </c>
      <c r="D111" s="41">
        <f>SUM('[2]cash flows'!D10,'[2]cash flows'!D11,'[2]cash flows'!D12,'[2]cash flows'!D24,'[2]cash flows'!D25)</f>
        <v>156</v>
      </c>
      <c r="E111" s="41">
        <f>SUM('[1]securities registered purs'!E10,'[1]securities registered purs'!E11,'[1]securities registered purs'!E12,,'[1]securities registered purs'!E24,'[1]securities registered purs'!E25)</f>
        <v>0</v>
      </c>
      <c r="F111" s="39">
        <f>F58*F34</f>
        <v>82.267792494314705</v>
      </c>
      <c r="G111" s="39">
        <f>G58*G34</f>
        <v>87.306095435693322</v>
      </c>
      <c r="H111" s="39">
        <f>H58*H34</f>
        <v>92.253242857178762</v>
      </c>
      <c r="I111" s="39">
        <f>I58*I34</f>
        <v>97.245526608862832</v>
      </c>
      <c r="J111" s="39">
        <f>J58*J34</f>
        <v>102.27064494175515</v>
      </c>
    </row>
    <row r="112" spans="2:10" ht="16.5" thickBot="1" x14ac:dyDescent="0.3">
      <c r="B112" s="22" t="s">
        <v>50</v>
      </c>
      <c r="C112" s="41">
        <f>SUM('[2]cash flows'!C16:C21)</f>
        <v>-32</v>
      </c>
      <c r="D112" s="41">
        <f>SUM('[2]cash flows'!D16:D21)</f>
        <v>77</v>
      </c>
      <c r="E112" s="41">
        <f>SUM('[1]securities registered purs'!E16:E21)</f>
        <v>0</v>
      </c>
      <c r="F112" s="21">
        <f>E82-F82+E83-F83+E85-F85+SUM(F90:F92)-SUM(E90:E92)+SUM(F94:F95)-SUM(E94:E95)</f>
        <v>369.63360004242077</v>
      </c>
      <c r="G112" s="21">
        <f t="shared" ref="G112:J112" si="67">F82-G82+F83-G83+F85-G85+SUM(G90:G92)-SUM(F90:F92)+SUM(G94:G95)-SUM(F94:F95)</f>
        <v>198.59141290789603</v>
      </c>
      <c r="H112" s="21">
        <f t="shared" si="67"/>
        <v>190.64777670207832</v>
      </c>
      <c r="I112" s="21">
        <f t="shared" si="67"/>
        <v>189.36187592370243</v>
      </c>
      <c r="J112" s="21">
        <f t="shared" si="67"/>
        <v>187.23990070404398</v>
      </c>
    </row>
    <row r="113" spans="2:10" x14ac:dyDescent="0.25">
      <c r="B113" s="2" t="s">
        <v>44</v>
      </c>
      <c r="C113" s="11">
        <f>SUM(C108:C112)</f>
        <v>1469</v>
      </c>
      <c r="D113" s="11">
        <f>SUM(D108:D112)</f>
        <v>1480</v>
      </c>
      <c r="E113" s="11">
        <f t="shared" ref="D113:E113" si="68">SUM(E108:E112)</f>
        <v>1420</v>
      </c>
      <c r="F113" s="58">
        <f>SUM(F108:F112)</f>
        <v>1949.7015367069912</v>
      </c>
      <c r="G113" s="58">
        <f t="shared" ref="G113:J113" si="69">SUM(G108:G112)</f>
        <v>1876.9699898441681</v>
      </c>
      <c r="H113" s="58">
        <f t="shared" si="69"/>
        <v>1956.3347305282507</v>
      </c>
      <c r="I113" s="58">
        <f t="shared" si="69"/>
        <v>2051.8684318650221</v>
      </c>
      <c r="J113" s="58">
        <f t="shared" si="69"/>
        <v>2170.9320645408202</v>
      </c>
    </row>
    <row r="114" spans="2:10" x14ac:dyDescent="0.25">
      <c r="C114" s="41"/>
      <c r="D114" s="41"/>
      <c r="E114" s="41"/>
    </row>
    <row r="115" spans="2:10" x14ac:dyDescent="0.25">
      <c r="B115" s="22" t="s">
        <v>45</v>
      </c>
      <c r="C115" s="41">
        <f>'[2]cash flows'!C28</f>
        <v>-145</v>
      </c>
      <c r="D115" s="41">
        <f>'[2]cash flows'!D28</f>
        <v>-183</v>
      </c>
      <c r="E115" s="41">
        <f>'[2]cash flows'!E28</f>
        <v>-156</v>
      </c>
      <c r="F115" s="39">
        <f>-F58*F32</f>
        <v>-182.7460095721255</v>
      </c>
      <c r="G115" s="39">
        <f>-G58*G32</f>
        <v>-193.93787129147421</v>
      </c>
      <c r="H115" s="39">
        <f>-H58*H32</f>
        <v>-204.92724419951682</v>
      </c>
      <c r="I115" s="39">
        <f>-I58*I32</f>
        <v>-216.01688094083417</v>
      </c>
      <c r="J115" s="39">
        <f>-J58*J32</f>
        <v>-227.17945495820877</v>
      </c>
    </row>
    <row r="116" spans="2:10" ht="16.5" thickBot="1" x14ac:dyDescent="0.3">
      <c r="B116" s="22" t="s">
        <v>46</v>
      </c>
      <c r="C116" s="41">
        <f>SUM('[2]cash flows'!C29,'[2]cash flows'!C32,'[2]cash flows'!C33)</f>
        <v>-58</v>
      </c>
      <c r="D116" s="41">
        <f>SUM('[2]cash flows'!D29,'[2]cash flows'!D32,'[2]cash flows'!D33)</f>
        <v>-119</v>
      </c>
      <c r="E116" s="41">
        <f>SUM('[2]cash flows'!E29,'[2]cash flows'!E32,'[2]cash flows'!E33)</f>
        <v>27</v>
      </c>
      <c r="F116" s="53">
        <f>F36</f>
        <v>-75</v>
      </c>
      <c r="G116" s="53">
        <f>G36</f>
        <v>-75</v>
      </c>
      <c r="H116" s="53">
        <f>H36</f>
        <v>-75</v>
      </c>
      <c r="I116" s="53">
        <f>I36</f>
        <v>-75</v>
      </c>
      <c r="J116" s="53">
        <f>J36</f>
        <v>-75</v>
      </c>
    </row>
    <row r="117" spans="2:10" x14ac:dyDescent="0.25">
      <c r="B117" s="2" t="s">
        <v>47</v>
      </c>
      <c r="C117" s="11">
        <f>SUM(C115:C116)</f>
        <v>-203</v>
      </c>
      <c r="D117" s="11">
        <f t="shared" ref="D117:E117" si="70">SUM(D115:D116)</f>
        <v>-302</v>
      </c>
      <c r="E117" s="11">
        <f t="shared" si="70"/>
        <v>-129</v>
      </c>
      <c r="F117" s="59">
        <f>SUM(F115:F116)</f>
        <v>-257.7460095721255</v>
      </c>
      <c r="G117" s="59">
        <f t="shared" ref="G117:J117" si="71">SUM(G115:G116)</f>
        <v>-268.93787129147421</v>
      </c>
      <c r="H117" s="59">
        <f t="shared" si="71"/>
        <v>-279.92724419951685</v>
      </c>
      <c r="I117" s="59">
        <f t="shared" si="71"/>
        <v>-291.0168809408342</v>
      </c>
      <c r="J117" s="59">
        <f t="shared" si="71"/>
        <v>-302.17945495820879</v>
      </c>
    </row>
    <row r="118" spans="2:10" x14ac:dyDescent="0.25">
      <c r="C118" s="41"/>
      <c r="D118" s="41"/>
      <c r="E118" s="41"/>
    </row>
    <row r="119" spans="2:10" x14ac:dyDescent="0.25">
      <c r="B119" s="22" t="s">
        <v>51</v>
      </c>
      <c r="C119" s="41">
        <f>SUM('[2]cash flows'!C36:C39,'[2]cash flows'!C41)</f>
        <v>6</v>
      </c>
      <c r="D119" s="41">
        <f>SUM('[2]cash flows'!D36:D39,'[2]cash flows'!D41)</f>
        <v>5947</v>
      </c>
      <c r="E119" s="41">
        <f>SUM('[2]cash flows'!E36:E39,'[2]cash flows'!E41)</f>
        <v>1375</v>
      </c>
      <c r="F119" s="39">
        <f>F45</f>
        <v>-237.35579103835198</v>
      </c>
      <c r="G119" s="39">
        <f t="shared" ref="G119:J119" si="72">G45</f>
        <v>-593.03913100899445</v>
      </c>
      <c r="H119" s="39">
        <f t="shared" si="72"/>
        <v>-151.70832525925718</v>
      </c>
      <c r="I119" s="39">
        <f t="shared" si="72"/>
        <v>-152.75767421655272</v>
      </c>
      <c r="J119" s="39">
        <f t="shared" si="72"/>
        <v>-159.31690810841465</v>
      </c>
    </row>
    <row r="120" spans="2:10" x14ac:dyDescent="0.25">
      <c r="B120" s="22" t="s">
        <v>52</v>
      </c>
      <c r="C120" s="41" t="str">
        <f>'[2]cash flows'!C43</f>
        <v>—</v>
      </c>
      <c r="D120" s="41">
        <f>'[2]cash flows'!D43</f>
        <v>-260</v>
      </c>
      <c r="E120" s="41">
        <f>'[2]cash flows'!E43</f>
        <v>-393</v>
      </c>
      <c r="F120" s="56">
        <f>-F46*F75</f>
        <v>-413.08995362951345</v>
      </c>
      <c r="G120" s="56">
        <f t="shared" ref="G120:J120" si="73">-G46*G75</f>
        <v>-463.93736301674596</v>
      </c>
      <c r="H120" s="56">
        <f t="shared" si="73"/>
        <v>-487.71058300499095</v>
      </c>
      <c r="I120" s="56">
        <f t="shared" si="73"/>
        <v>-542.32415031626715</v>
      </c>
      <c r="J120" s="56">
        <f t="shared" si="73"/>
        <v>-593.67319379910657</v>
      </c>
    </row>
    <row r="121" spans="2:10" x14ac:dyDescent="0.25">
      <c r="B121" s="22" t="s">
        <v>53</v>
      </c>
      <c r="C121" s="41" t="str">
        <f>'[2]cash flows'!C44</f>
        <v>—</v>
      </c>
      <c r="D121" s="41" t="str">
        <f>'[2]cash flows'!D44</f>
        <v>—</v>
      </c>
      <c r="E121" s="41">
        <f>'[2]cash flows'!E44</f>
        <v>-725</v>
      </c>
      <c r="F121" s="39">
        <f>F47</f>
        <v>-1345.0161492173279</v>
      </c>
      <c r="G121" s="39">
        <f t="shared" ref="G121:J121" si="74">G47</f>
        <v>-3360.5550757176356</v>
      </c>
      <c r="H121" s="39">
        <f t="shared" si="74"/>
        <v>-859.68050980245732</v>
      </c>
      <c r="I121" s="39">
        <f t="shared" si="74"/>
        <v>-865.62682056046538</v>
      </c>
      <c r="J121" s="39">
        <f t="shared" si="74"/>
        <v>-902.79581261434964</v>
      </c>
    </row>
    <row r="122" spans="2:10" x14ac:dyDescent="0.25">
      <c r="B122" s="22" t="s">
        <v>54</v>
      </c>
      <c r="C122" s="41">
        <f>'[2]cash flows'!C45</f>
        <v>-163</v>
      </c>
      <c r="D122" s="41">
        <f>'[2]cash flows'!D45</f>
        <v>-149</v>
      </c>
      <c r="E122" s="41">
        <f>'[2]cash flows'!E45</f>
        <v>-155</v>
      </c>
      <c r="F122" s="56">
        <f>-F48*F109</f>
        <v>-171.02437574197526</v>
      </c>
      <c r="G122" s="56">
        <f t="shared" ref="G122:J122" si="75">-G48*G109</f>
        <v>-181.69335770680479</v>
      </c>
      <c r="H122" s="56">
        <f t="shared" si="75"/>
        <v>-191.00374421044765</v>
      </c>
      <c r="I122" s="56">
        <f t="shared" si="75"/>
        <v>-201.5003304315228</v>
      </c>
      <c r="J122" s="56">
        <f t="shared" si="75"/>
        <v>-215.06457168257796</v>
      </c>
    </row>
    <row r="123" spans="2:10" ht="16.5" thickBot="1" x14ac:dyDescent="0.3">
      <c r="B123" s="22" t="s">
        <v>55</v>
      </c>
      <c r="C123" s="41">
        <f>SUM('[2]cash flows'!C40,'[2]cash flows'!C46,'[2]cash flows'!C47)</f>
        <v>-976</v>
      </c>
      <c r="D123" s="41">
        <f>SUM('[2]cash flows'!D40,'[2]cash flows'!D46,'[2]cash flows'!D47)</f>
        <v>-6382</v>
      </c>
      <c r="E123" s="41">
        <f>SUM('[2]cash flows'!E40,'[2]cash flows'!E46,'[2]cash flows'!E47)</f>
        <v>-44</v>
      </c>
      <c r="F123" s="54">
        <f>MAX(F119,)*F50</f>
        <v>0</v>
      </c>
      <c r="G123" s="54">
        <f t="shared" ref="G123:J123" si="76">MAX(G119,)*G50</f>
        <v>0</v>
      </c>
      <c r="H123" s="54">
        <f t="shared" si="76"/>
        <v>0</v>
      </c>
      <c r="I123" s="54">
        <f t="shared" si="76"/>
        <v>0</v>
      </c>
      <c r="J123" s="54">
        <f t="shared" si="76"/>
        <v>0</v>
      </c>
    </row>
    <row r="124" spans="2:10" x14ac:dyDescent="0.25">
      <c r="B124" s="2" t="s">
        <v>56</v>
      </c>
      <c r="C124" s="11">
        <f>SUM(C119:C123)</f>
        <v>-1133</v>
      </c>
      <c r="D124" s="11">
        <f t="shared" ref="D124:J124" si="77">SUM(D119:D123)</f>
        <v>-844</v>
      </c>
      <c r="E124" s="11">
        <f t="shared" si="77"/>
        <v>58</v>
      </c>
      <c r="F124" s="11">
        <f>SUM(F119:F123)</f>
        <v>-2166.4862696271684</v>
      </c>
      <c r="G124" s="11">
        <f t="shared" si="77"/>
        <v>-4599.224927450181</v>
      </c>
      <c r="H124" s="11">
        <f t="shared" si="77"/>
        <v>-1690.1031622771529</v>
      </c>
      <c r="I124" s="11">
        <f t="shared" si="77"/>
        <v>-1762.208975524808</v>
      </c>
      <c r="J124" s="11">
        <f t="shared" si="77"/>
        <v>-1870.8504862044488</v>
      </c>
    </row>
    <row r="125" spans="2:10" x14ac:dyDescent="0.25">
      <c r="C125" s="41"/>
      <c r="D125" s="41"/>
      <c r="E125" s="41"/>
    </row>
    <row r="126" spans="2:10" x14ac:dyDescent="0.25">
      <c r="B126" s="1" t="s">
        <v>58</v>
      </c>
      <c r="C126" s="41">
        <f>'[2]cash flows'!C54</f>
        <v>-20</v>
      </c>
      <c r="D126" s="41">
        <f>'[2]cash flows'!D54</f>
        <v>59</v>
      </c>
      <c r="E126" s="41">
        <f>'[2]cash flows'!E54</f>
        <v>-43</v>
      </c>
      <c r="F126" s="39">
        <f>-F58*F51</f>
        <v>-0.46925750769655472</v>
      </c>
      <c r="G126" s="39">
        <f t="shared" ref="G126:J126" si="78">-G58*G51</f>
        <v>-8.807191102514226</v>
      </c>
      <c r="H126" s="39">
        <f t="shared" si="78"/>
        <v>13.695675948419323</v>
      </c>
      <c r="I126" s="39">
        <f t="shared" si="78"/>
        <v>1.3574246006201811</v>
      </c>
      <c r="J126" s="39">
        <f t="shared" si="78"/>
        <v>2.0978766218375555</v>
      </c>
    </row>
    <row r="127" spans="2:10" x14ac:dyDescent="0.25">
      <c r="C127" s="41"/>
      <c r="D127" s="41"/>
      <c r="E127" s="41"/>
    </row>
    <row r="128" spans="2:10" x14ac:dyDescent="0.25">
      <c r="B128" s="1" t="s">
        <v>59</v>
      </c>
      <c r="C128" s="18">
        <f>SUM(C113,C117,C124,C126)</f>
        <v>113</v>
      </c>
      <c r="D128" s="18">
        <f t="shared" ref="D128:J128" si="79">SUM(D113,D117,D124,D126)</f>
        <v>393</v>
      </c>
      <c r="E128" s="18">
        <f t="shared" si="79"/>
        <v>1306</v>
      </c>
      <c r="F128" s="18">
        <f t="shared" si="79"/>
        <v>-474.99999999999937</v>
      </c>
      <c r="G128" s="18">
        <f t="shared" si="79"/>
        <v>-3000.0000000000014</v>
      </c>
      <c r="H128" s="18">
        <f t="shared" si="79"/>
        <v>1.2967404927621828E-13</v>
      </c>
      <c r="I128" s="18">
        <f t="shared" si="79"/>
        <v>7.460698725481052E-14</v>
      </c>
      <c r="J128" s="18">
        <f t="shared" si="79"/>
        <v>2.9709568138969189E-13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3-statement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 Somosa</dc:creator>
  <cp:lastModifiedBy>Johann Somosa</cp:lastModifiedBy>
  <dcterms:created xsi:type="dcterms:W3CDTF">2025-01-27T05:39:59Z</dcterms:created>
  <dcterms:modified xsi:type="dcterms:W3CDTF">2025-06-08T03:58:02Z</dcterms:modified>
</cp:coreProperties>
</file>