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omments3.xml" ContentType="application/vnd.openxmlformats-officedocument.spreadsheetml.comments+xml"/>
  <Override PartName="/xl/comments4.xml" ContentType="application/vnd.openxmlformats-officedocument.spreadsheetml.comments+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ann/Desktop/"/>
    </mc:Choice>
  </mc:AlternateContent>
  <xr:revisionPtr revIDLastSave="0" documentId="8_{3A68A1F3-6940-5449-88AD-5911381F8485}" xr6:coauthVersionLast="47" xr6:coauthVersionMax="47" xr10:uidLastSave="{00000000-0000-0000-0000-000000000000}"/>
  <bookViews>
    <workbookView xWindow="0" yWindow="500" windowWidth="28800" windowHeight="16140" activeTab="1" xr2:uid="{1B8B9D79-75B8-479A-ABF5-592396A2DF61}"/>
  </bookViews>
  <sheets>
    <sheet name="DCF" sheetId="15" r:id="rId1"/>
    <sheet name="3statementmodelReve" sheetId="2" r:id="rId2"/>
    <sheet name="Depreciation Schedule" sheetId="13" r:id="rId3"/>
    <sheet name="Balance Sheet Schedule" sheetId="8" r:id="rId4"/>
    <sheet name="Income Statement Schedule" sheetId="1" r:id="rId5"/>
    <sheet name="Table211 (Page 165)" sheetId="14" r:id="rId6"/>
    <sheet name="Cash Flow Schedule" sheetId="9" r:id="rId7"/>
    <sheet name="Reconciliation of Net Earnings" sheetId="10" r:id="rId8"/>
    <sheet name="Correl Test" sheetId="12" r:id="rId9"/>
    <sheet name="Page165" sheetId="5" r:id="rId10"/>
    <sheet name="Page166" sheetId="6" r:id="rId11"/>
    <sheet name="Page164" sheetId="3" r:id="rId12"/>
    <sheet name="Page163" sheetId="4" r:id="rId13"/>
    <sheet name="Page167" sheetId="7" r:id="rId14"/>
    <sheet name="Table185 (Page 153)" sheetId="11" r:id="rId15"/>
  </sheets>
  <definedNames>
    <definedName name="ExternalData_1" localSheetId="11" hidden="1">Page164!$A$1:$D$19</definedName>
    <definedName name="ExternalData_1" localSheetId="14" hidden="1">'Table185 (Page 153)'!$A$1:$D$13</definedName>
    <definedName name="ExternalData_1" localSheetId="5" hidden="1">'Table211 (Page 165)'!$A$1:$C$32</definedName>
    <definedName name="ExternalData_2" localSheetId="12" hidden="1">Page163!$A$1:$D$19</definedName>
    <definedName name="ExternalData_3" localSheetId="3" hidden="1">'Balance Sheet Schedule'!$B$5:$D$72</definedName>
    <definedName name="ExternalData_3" localSheetId="4" hidden="1">'Income Statement Schedule'!$B$5:$D$25</definedName>
    <definedName name="ExternalData_3" localSheetId="9" hidden="1">Page165!$A$1:$C$49</definedName>
    <definedName name="ExternalData_4" localSheetId="10" hidden="1">Page166!$A$1:$D$51</definedName>
    <definedName name="ExternalData_5" localSheetId="13" hidden="1">Page167!$A$1:$P$28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15" l="1"/>
  <c r="C24" i="15"/>
  <c r="C49" i="15"/>
  <c r="C46" i="15"/>
  <c r="H33" i="15"/>
  <c r="H39" i="15"/>
  <c r="C43" i="15"/>
  <c r="C44" i="15"/>
  <c r="C45" i="15"/>
  <c r="E20" i="15"/>
  <c r="F20" i="15"/>
  <c r="G20" i="15"/>
  <c r="H20" i="15"/>
  <c r="D20" i="15"/>
  <c r="D16" i="15"/>
  <c r="D17" i="15" s="1"/>
  <c r="C26" i="15"/>
  <c r="C5" i="15" s="1"/>
  <c r="G7" i="15"/>
  <c r="G4" i="15"/>
  <c r="C25" i="15" s="1"/>
  <c r="C27" i="15"/>
  <c r="E19" i="15"/>
  <c r="F19" i="15"/>
  <c r="G19" i="15"/>
  <c r="H19" i="15"/>
  <c r="D19" i="15"/>
  <c r="E18" i="15"/>
  <c r="F18" i="15"/>
  <c r="G18" i="15"/>
  <c r="H18" i="15"/>
  <c r="D18" i="15"/>
  <c r="E16" i="15"/>
  <c r="E17" i="15" s="1"/>
  <c r="F16" i="15"/>
  <c r="F17" i="15" s="1"/>
  <c r="G16" i="15"/>
  <c r="G17" i="15" s="1"/>
  <c r="H16" i="15"/>
  <c r="J4" i="2"/>
  <c r="K4" i="2" s="1"/>
  <c r="J5" i="2"/>
  <c r="K5" i="2" s="1"/>
  <c r="K75" i="2" s="1"/>
  <c r="J8" i="2"/>
  <c r="K8" i="2" s="1"/>
  <c r="J13" i="2"/>
  <c r="K13" i="2"/>
  <c r="J25" i="2"/>
  <c r="K25" i="2" s="1"/>
  <c r="J33" i="2"/>
  <c r="K33" i="2" s="1"/>
  <c r="J34" i="2"/>
  <c r="K34" i="2" s="1"/>
  <c r="J37" i="2"/>
  <c r="K37" i="2" s="1"/>
  <c r="K160" i="2" s="1"/>
  <c r="J38" i="2"/>
  <c r="J39" i="2"/>
  <c r="J43" i="2"/>
  <c r="K43" i="2" s="1"/>
  <c r="J65" i="2"/>
  <c r="K65" i="2" s="1"/>
  <c r="J67" i="2"/>
  <c r="K67" i="2"/>
  <c r="J74" i="2"/>
  <c r="K74" i="2" s="1"/>
  <c r="J79" i="2"/>
  <c r="K79" i="2" s="1"/>
  <c r="J112" i="2"/>
  <c r="K112" i="2" s="1"/>
  <c r="J114" i="2"/>
  <c r="K114" i="2" s="1"/>
  <c r="K194" i="2" s="1"/>
  <c r="J122" i="2"/>
  <c r="K122" i="2" s="1"/>
  <c r="K162" i="2" s="1"/>
  <c r="J137" i="2"/>
  <c r="J142" i="2"/>
  <c r="J144" i="2" s="1"/>
  <c r="J146" i="2"/>
  <c r="J151" i="2"/>
  <c r="K151" i="2" s="1"/>
  <c r="J160" i="2"/>
  <c r="J162" i="2"/>
  <c r="J189" i="2"/>
  <c r="K189" i="2" s="1"/>
  <c r="J192" i="2"/>
  <c r="K192" i="2"/>
  <c r="J194" i="2"/>
  <c r="D19" i="2"/>
  <c r="F39" i="2"/>
  <c r="F38" i="2"/>
  <c r="C187" i="2"/>
  <c r="D187" i="2"/>
  <c r="F189" i="2"/>
  <c r="G189" i="2" s="1"/>
  <c r="H189" i="2" s="1"/>
  <c r="I189" i="2" s="1"/>
  <c r="F192" i="2"/>
  <c r="G192" i="2"/>
  <c r="H192" i="2"/>
  <c r="I192" i="2"/>
  <c r="F122" i="2"/>
  <c r="G122" i="2" s="1"/>
  <c r="H122" i="2" s="1"/>
  <c r="I122" i="2" s="1"/>
  <c r="C131" i="2"/>
  <c r="D131" i="2"/>
  <c r="F112" i="2"/>
  <c r="G112" i="2" s="1"/>
  <c r="F114" i="2"/>
  <c r="G114" i="2" s="1"/>
  <c r="G194" i="2" s="1"/>
  <c r="C87" i="2"/>
  <c r="C124" i="2"/>
  <c r="C115" i="2"/>
  <c r="C107" i="2"/>
  <c r="C95" i="2"/>
  <c r="B21" i="14" a="1"/>
  <c r="B21" i="14" s="1"/>
  <c r="C21" i="14"/>
  <c r="F142" i="2"/>
  <c r="F144" i="2" s="1"/>
  <c r="F120" i="2" s="1"/>
  <c r="E28" i="13"/>
  <c r="F28" i="13"/>
  <c r="G28" i="13" s="1"/>
  <c r="H28" i="13" s="1"/>
  <c r="I28" i="13" s="1"/>
  <c r="J28" i="13" s="1"/>
  <c r="K28" i="13" s="1"/>
  <c r="L28" i="13" s="1"/>
  <c r="M28" i="13" s="1"/>
  <c r="N28" i="13" s="1"/>
  <c r="O28" i="13" s="1"/>
  <c r="D28" i="13"/>
  <c r="E27" i="13"/>
  <c r="F27" i="13"/>
  <c r="G27" i="13" s="1"/>
  <c r="H27" i="13" s="1"/>
  <c r="I27" i="13" s="1"/>
  <c r="J27" i="13" s="1"/>
  <c r="K27" i="13" s="1"/>
  <c r="L27" i="13" s="1"/>
  <c r="M27" i="13" s="1"/>
  <c r="N27" i="13" s="1"/>
  <c r="O27" i="13" s="1"/>
  <c r="D27" i="13"/>
  <c r="F18" i="13"/>
  <c r="G18" i="13"/>
  <c r="H18" i="13"/>
  <c r="I18" i="13"/>
  <c r="J18" i="13"/>
  <c r="K18" i="13"/>
  <c r="L18" i="13"/>
  <c r="M18" i="13"/>
  <c r="N18" i="13"/>
  <c r="O18" i="13"/>
  <c r="D18" i="13"/>
  <c r="E18" i="13"/>
  <c r="F16" i="13"/>
  <c r="G16" i="13"/>
  <c r="H16" i="13"/>
  <c r="I16" i="13"/>
  <c r="J16" i="13"/>
  <c r="K16" i="13"/>
  <c r="L16" i="13"/>
  <c r="M16" i="13"/>
  <c r="N16" i="13"/>
  <c r="O16" i="13"/>
  <c r="E16" i="13"/>
  <c r="I15" i="13"/>
  <c r="J15" i="13"/>
  <c r="K15" i="13"/>
  <c r="L15" i="13"/>
  <c r="M15" i="13"/>
  <c r="N15" i="13"/>
  <c r="O15" i="13"/>
  <c r="H15" i="13"/>
  <c r="E14" i="13"/>
  <c r="F14" i="13"/>
  <c r="G14" i="13"/>
  <c r="H14" i="13"/>
  <c r="I14" i="13"/>
  <c r="J14" i="13"/>
  <c r="K14" i="13"/>
  <c r="L14" i="13"/>
  <c r="M14" i="13"/>
  <c r="N14" i="13"/>
  <c r="O14" i="13"/>
  <c r="D14" i="13"/>
  <c r="E22" i="13"/>
  <c r="G9" i="13"/>
  <c r="I9" i="13"/>
  <c r="J9" i="13"/>
  <c r="K9" i="13"/>
  <c r="L9" i="13"/>
  <c r="M9" i="13"/>
  <c r="N9" i="13"/>
  <c r="O9" i="13"/>
  <c r="C9" i="13"/>
  <c r="F8" i="13"/>
  <c r="F9" i="13" s="1"/>
  <c r="E7" i="13"/>
  <c r="E9" i="13" s="1"/>
  <c r="H6" i="13"/>
  <c r="H9" i="13" s="1"/>
  <c r="D5" i="13"/>
  <c r="D9" i="13" s="1"/>
  <c r="C29" i="13"/>
  <c r="C18" i="13"/>
  <c r="C22" i="13" s="1"/>
  <c r="C34" i="13" s="1"/>
  <c r="D1" i="13"/>
  <c r="E1" i="13" s="1"/>
  <c r="F1" i="13" s="1"/>
  <c r="G1" i="13" s="1"/>
  <c r="H1" i="13" s="1"/>
  <c r="I1" i="13" s="1"/>
  <c r="J1" i="13" s="1"/>
  <c r="K1" i="13" s="1"/>
  <c r="L1" i="13" s="1"/>
  <c r="M1" i="13" s="1"/>
  <c r="N1" i="13" s="1"/>
  <c r="O1" i="13" s="1"/>
  <c r="H31" i="15" l="1"/>
  <c r="C28" i="15"/>
  <c r="G21" i="15"/>
  <c r="F21" i="15"/>
  <c r="E21" i="15"/>
  <c r="H17" i="15"/>
  <c r="H21" i="15" s="1"/>
  <c r="D21" i="15"/>
  <c r="J75" i="2"/>
  <c r="K142" i="2"/>
  <c r="K144" i="2" s="1"/>
  <c r="K120" i="2" s="1"/>
  <c r="J120" i="2"/>
  <c r="K9" i="2"/>
  <c r="K28" i="2"/>
  <c r="J28" i="2"/>
  <c r="J9" i="2"/>
  <c r="F194" i="2"/>
  <c r="C133" i="2"/>
  <c r="C97" i="2"/>
  <c r="C134" i="2" s="1"/>
  <c r="H114" i="2"/>
  <c r="C126" i="2"/>
  <c r="H112" i="2"/>
  <c r="I112" i="2" s="1"/>
  <c r="C132" i="2"/>
  <c r="G142" i="2"/>
  <c r="G144" i="2" s="1"/>
  <c r="G120" i="2" s="1"/>
  <c r="D22" i="13"/>
  <c r="D29" i="13" s="1"/>
  <c r="F22" i="13"/>
  <c r="F34" i="13" s="1"/>
  <c r="I22" i="13"/>
  <c r="I34" i="13" s="1"/>
  <c r="G22" i="13"/>
  <c r="G39" i="13" s="1"/>
  <c r="C39" i="13"/>
  <c r="E34" i="13"/>
  <c r="E39" i="13"/>
  <c r="C4" i="15" l="1"/>
  <c r="F37" i="15"/>
  <c r="F38" i="15" s="1"/>
  <c r="G37" i="15"/>
  <c r="G38" i="15" s="1"/>
  <c r="H37" i="15"/>
  <c r="H38" i="15" s="1"/>
  <c r="C37" i="15"/>
  <c r="C38" i="15" s="1"/>
  <c r="D37" i="15"/>
  <c r="D38" i="15" s="1"/>
  <c r="E37" i="15"/>
  <c r="E38" i="15" s="1"/>
  <c r="H34" i="15"/>
  <c r="J27" i="2"/>
  <c r="K27" i="2"/>
  <c r="J161" i="2"/>
  <c r="J191" i="2"/>
  <c r="K191" i="2"/>
  <c r="K161" i="2"/>
  <c r="I114" i="2"/>
  <c r="I194" i="2" s="1"/>
  <c r="H194" i="2"/>
  <c r="C128" i="2"/>
  <c r="H142" i="2"/>
  <c r="H144" i="2" s="1"/>
  <c r="H120" i="2" s="1"/>
  <c r="F39" i="13"/>
  <c r="G34" i="13"/>
  <c r="D34" i="13"/>
  <c r="D39" i="13"/>
  <c r="I39" i="13"/>
  <c r="H22" i="13"/>
  <c r="K22" i="13"/>
  <c r="E29" i="13"/>
  <c r="C40" i="15" l="1"/>
  <c r="K64" i="2"/>
  <c r="K66" i="2"/>
  <c r="K29" i="2"/>
  <c r="K31" i="2" s="1"/>
  <c r="K35" i="2" s="1"/>
  <c r="J64" i="2"/>
  <c r="J66" i="2"/>
  <c r="J40" i="2" s="1"/>
  <c r="J29" i="2"/>
  <c r="I142" i="2"/>
  <c r="I144" i="2" s="1"/>
  <c r="I120" i="2" s="1"/>
  <c r="K34" i="13"/>
  <c r="K39" i="13"/>
  <c r="O22" i="13"/>
  <c r="M22" i="13"/>
  <c r="H39" i="13"/>
  <c r="H34" i="13"/>
  <c r="J22" i="13"/>
  <c r="F29" i="13"/>
  <c r="J69" i="2" l="1"/>
  <c r="J85" i="2" s="1"/>
  <c r="J30" i="2"/>
  <c r="J86" i="2"/>
  <c r="K86" i="2" s="1"/>
  <c r="J102" i="2"/>
  <c r="J90" i="2"/>
  <c r="J101" i="2"/>
  <c r="J111" i="2"/>
  <c r="J103" i="2"/>
  <c r="J113" i="2"/>
  <c r="K113" i="2" s="1"/>
  <c r="J167" i="2"/>
  <c r="K167" i="2" s="1"/>
  <c r="J82" i="2"/>
  <c r="J92" i="2"/>
  <c r="J104" i="2"/>
  <c r="K104" i="2" s="1"/>
  <c r="J49" i="2"/>
  <c r="J83" i="2"/>
  <c r="K83" i="2" s="1"/>
  <c r="J93" i="2"/>
  <c r="K93" i="2" s="1"/>
  <c r="J105" i="2"/>
  <c r="J158" i="2"/>
  <c r="K158" i="2" s="1"/>
  <c r="J51" i="2"/>
  <c r="J84" i="2"/>
  <c r="J94" i="2"/>
  <c r="J106" i="2"/>
  <c r="K106" i="2" s="1"/>
  <c r="J159" i="2"/>
  <c r="K159" i="2" s="1"/>
  <c r="J52" i="2"/>
  <c r="K52" i="2" s="1"/>
  <c r="J107" i="2"/>
  <c r="K40" i="2"/>
  <c r="J164" i="2"/>
  <c r="K164" i="2"/>
  <c r="J31" i="2"/>
  <c r="J35" i="2" s="1"/>
  <c r="K68" i="2" s="1"/>
  <c r="K69" i="2"/>
  <c r="J34" i="13"/>
  <c r="J39" i="13"/>
  <c r="N22" i="13"/>
  <c r="L22" i="13"/>
  <c r="M34" i="13"/>
  <c r="M39" i="13"/>
  <c r="O34" i="13"/>
  <c r="O39" i="13"/>
  <c r="G29" i="13"/>
  <c r="K107" i="2" l="1"/>
  <c r="K111" i="2"/>
  <c r="J188" i="2"/>
  <c r="J183" i="2"/>
  <c r="J170" i="2"/>
  <c r="K94" i="2"/>
  <c r="K170" i="2" s="1"/>
  <c r="K82" i="2"/>
  <c r="J180" i="2"/>
  <c r="K180" i="2"/>
  <c r="J172" i="2"/>
  <c r="K103" i="2"/>
  <c r="K172" i="2" s="1"/>
  <c r="K90" i="2"/>
  <c r="K179" i="2" s="1"/>
  <c r="J179" i="2"/>
  <c r="J173" i="2"/>
  <c r="J19" i="2"/>
  <c r="K105" i="2"/>
  <c r="J178" i="2"/>
  <c r="K92" i="2"/>
  <c r="K178" i="2" s="1"/>
  <c r="K101" i="2"/>
  <c r="K190" i="2" s="1"/>
  <c r="J190" i="2"/>
  <c r="K102" i="2"/>
  <c r="K171" i="2" s="1"/>
  <c r="J171" i="2"/>
  <c r="K30" i="2"/>
  <c r="J11" i="2"/>
  <c r="J71" i="2"/>
  <c r="J41" i="2"/>
  <c r="J45" i="2" s="1"/>
  <c r="J68" i="2"/>
  <c r="J168" i="2"/>
  <c r="K84" i="2"/>
  <c r="K16" i="2" s="1"/>
  <c r="J16" i="2"/>
  <c r="J138" i="2"/>
  <c r="J21" i="2"/>
  <c r="J177" i="2"/>
  <c r="K51" i="2"/>
  <c r="J17" i="2"/>
  <c r="J169" i="2"/>
  <c r="K85" i="2"/>
  <c r="K169" i="2"/>
  <c r="J139" i="2"/>
  <c r="J157" i="2"/>
  <c r="K49" i="2"/>
  <c r="J22" i="2"/>
  <c r="L39" i="13"/>
  <c r="L34" i="13"/>
  <c r="N39" i="13"/>
  <c r="N34" i="13"/>
  <c r="H29" i="13"/>
  <c r="K11" i="2" l="1"/>
  <c r="K71" i="2"/>
  <c r="J184" i="2"/>
  <c r="J140" i="2"/>
  <c r="J91" i="2" s="1"/>
  <c r="K188" i="2"/>
  <c r="K17" i="2"/>
  <c r="K131" i="2"/>
  <c r="K21" i="2"/>
  <c r="K138" i="2"/>
  <c r="K177" i="2"/>
  <c r="K184" i="2" s="1"/>
  <c r="K168" i="2"/>
  <c r="J147" i="2"/>
  <c r="J149" i="2" s="1"/>
  <c r="J121" i="2" s="1"/>
  <c r="J154" i="2"/>
  <c r="J174" i="2" s="1"/>
  <c r="J47" i="2"/>
  <c r="J14" i="2"/>
  <c r="J123" i="2" s="1"/>
  <c r="J70" i="2"/>
  <c r="K183" i="2"/>
  <c r="K19" i="2"/>
  <c r="K173" i="2"/>
  <c r="K139" i="2"/>
  <c r="K157" i="2"/>
  <c r="K22" i="2"/>
  <c r="J131" i="2"/>
  <c r="I29" i="13"/>
  <c r="K137" i="2" l="1"/>
  <c r="K140" i="2" s="1"/>
  <c r="K91" i="2" s="1"/>
  <c r="K95" i="2" s="1"/>
  <c r="J95" i="2"/>
  <c r="K146" i="2"/>
  <c r="J124" i="2"/>
  <c r="J193" i="2"/>
  <c r="J195" i="2" s="1"/>
  <c r="J197" i="2" s="1"/>
  <c r="J81" i="2" s="1"/>
  <c r="J199" i="2"/>
  <c r="J200" i="2" s="1"/>
  <c r="J110" i="2" s="1"/>
  <c r="J29" i="13"/>
  <c r="J187" i="2" l="1"/>
  <c r="K39" i="2"/>
  <c r="J115" i="2"/>
  <c r="J133" i="2"/>
  <c r="J126" i="2"/>
  <c r="J87" i="2"/>
  <c r="K38" i="2"/>
  <c r="K41" i="2" s="1"/>
  <c r="K45" i="2" s="1"/>
  <c r="K29" i="13"/>
  <c r="K147" i="2" l="1"/>
  <c r="K149" i="2" s="1"/>
  <c r="K121" i="2" s="1"/>
  <c r="K154" i="2"/>
  <c r="K174" i="2" s="1"/>
  <c r="K47" i="2"/>
  <c r="K14" i="2"/>
  <c r="K123" i="2" s="1"/>
  <c r="K193" i="2" s="1"/>
  <c r="K195" i="2" s="1"/>
  <c r="K197" i="2" s="1"/>
  <c r="K81" i="2" s="1"/>
  <c r="K87" i="2" s="1"/>
  <c r="K70" i="2"/>
  <c r="J97" i="2"/>
  <c r="J132" i="2"/>
  <c r="L29" i="13"/>
  <c r="J128" i="2" l="1"/>
  <c r="J134" i="2"/>
  <c r="K199" i="2"/>
  <c r="K200" i="2" s="1"/>
  <c r="K110" i="2" s="1"/>
  <c r="K97" i="2"/>
  <c r="K132" i="2"/>
  <c r="K124" i="2"/>
  <c r="M29" i="13"/>
  <c r="K187" i="2" l="1"/>
  <c r="K115" i="2"/>
  <c r="K126" i="2"/>
  <c r="K133" i="2"/>
  <c r="K128" i="2"/>
  <c r="K134" i="2"/>
  <c r="O29" i="13"/>
  <c r="N29" i="13"/>
  <c r="K28" i="8"/>
  <c r="L28" i="8"/>
  <c r="L38" i="8"/>
  <c r="K38" i="8"/>
  <c r="L34" i="8"/>
  <c r="K34" i="8"/>
  <c r="K35" i="8"/>
  <c r="K36" i="8"/>
  <c r="K37" i="8"/>
  <c r="L35" i="8"/>
  <c r="L36" i="8"/>
  <c r="L37" i="8"/>
  <c r="K32" i="8"/>
  <c r="L32" i="8"/>
  <c r="L20" i="8"/>
  <c r="L21" i="8"/>
  <c r="L22" i="8"/>
  <c r="L23" i="8"/>
  <c r="L25" i="8"/>
  <c r="K25" i="8"/>
  <c r="K21" i="8"/>
  <c r="K22" i="8"/>
  <c r="K23" i="8"/>
  <c r="K20" i="8"/>
  <c r="E69" i="2"/>
  <c r="D66" i="2"/>
  <c r="E66" i="2"/>
  <c r="D69" i="2"/>
  <c r="C66" i="2"/>
  <c r="E95" i="2"/>
  <c r="E124" i="2"/>
  <c r="F137" i="2"/>
  <c r="F146" i="2"/>
  <c r="F37" i="2"/>
  <c r="G37" i="2" s="1"/>
  <c r="D22" i="2"/>
  <c r="E22" i="2"/>
  <c r="C22" i="2"/>
  <c r="D21" i="2"/>
  <c r="E21" i="2"/>
  <c r="C21" i="2"/>
  <c r="E19" i="2"/>
  <c r="E17" i="2"/>
  <c r="D17" i="2"/>
  <c r="E16" i="2"/>
  <c r="D16" i="2"/>
  <c r="F13" i="2"/>
  <c r="G13" i="2"/>
  <c r="H13" i="2"/>
  <c r="I13" i="2"/>
  <c r="H67" i="2"/>
  <c r="I67" i="2"/>
  <c r="F67" i="2"/>
  <c r="G67" i="2"/>
  <c r="C30" i="2"/>
  <c r="C11" i="2" s="1"/>
  <c r="D74" i="2"/>
  <c r="E74" i="2"/>
  <c r="C74" i="2"/>
  <c r="D4" i="2"/>
  <c r="E4" i="2" s="1"/>
  <c r="F4" i="2" s="1"/>
  <c r="G4" i="2" s="1"/>
  <c r="H4" i="2" s="1"/>
  <c r="I4" i="2" s="1"/>
  <c r="C75" i="2"/>
  <c r="C5" i="2" s="1"/>
  <c r="C8" i="2" s="1"/>
  <c r="D39" i="12"/>
  <c r="D38" i="12"/>
  <c r="D37" i="12"/>
  <c r="D75" i="2"/>
  <c r="D5" i="2" s="1"/>
  <c r="E75" i="2"/>
  <c r="E5" i="2" s="1"/>
  <c r="C71" i="2" l="1"/>
  <c r="D115" i="2"/>
  <c r="F74" i="2"/>
  <c r="G74" i="2" s="1"/>
  <c r="E8" i="2"/>
  <c r="F5" i="2"/>
  <c r="E6" i="2"/>
  <c r="D8" i="2"/>
  <c r="D6" i="2"/>
  <c r="H37" i="2"/>
  <c r="H160" i="2" s="1"/>
  <c r="D5" i="12"/>
  <c r="C5" i="12"/>
  <c r="C39" i="12" s="1"/>
  <c r="C4" i="12"/>
  <c r="C38" i="12" s="1"/>
  <c r="C3" i="12"/>
  <c r="C37" i="12" s="1"/>
  <c r="D3" i="12"/>
  <c r="D4" i="12"/>
  <c r="C31" i="2"/>
  <c r="C65" i="2" s="1"/>
  <c r="D30" i="2"/>
  <c r="D71" i="2" s="1"/>
  <c r="E30" i="2"/>
  <c r="E71" i="2" s="1"/>
  <c r="G13" i="1"/>
  <c r="G12" i="1"/>
  <c r="G11" i="1"/>
  <c r="G10" i="1"/>
  <c r="G160" i="2"/>
  <c r="F160" i="2"/>
  <c r="D178" i="2"/>
  <c r="E178" i="2"/>
  <c r="C178" i="2"/>
  <c r="D195" i="2"/>
  <c r="E195" i="2"/>
  <c r="C195" i="2"/>
  <c r="G26" i="9"/>
  <c r="F19" i="10"/>
  <c r="E19" i="10"/>
  <c r="E13" i="10"/>
  <c r="F9" i="10"/>
  <c r="E9" i="10"/>
  <c r="D151" i="2"/>
  <c r="E151" i="2" s="1"/>
  <c r="F151" i="2" s="1"/>
  <c r="G151" i="2" s="1"/>
  <c r="H151" i="2" s="1"/>
  <c r="I151" i="2" s="1"/>
  <c r="D124" i="2"/>
  <c r="D67" i="8"/>
  <c r="D68" i="8" s="1"/>
  <c r="F51" i="2"/>
  <c r="F138" i="2" s="1"/>
  <c r="D79" i="2"/>
  <c r="E79" i="2" s="1"/>
  <c r="F79" i="2" s="1"/>
  <c r="G79" i="2" s="1"/>
  <c r="H79" i="2" s="1"/>
  <c r="I79" i="2" s="1"/>
  <c r="D25" i="2"/>
  <c r="E25" i="2" s="1"/>
  <c r="F25" i="2" s="1"/>
  <c r="G25" i="2" s="1"/>
  <c r="H25" i="2" s="1"/>
  <c r="I25" i="2" s="1"/>
  <c r="D133" i="2" l="1"/>
  <c r="G5" i="2"/>
  <c r="F75" i="2"/>
  <c r="D126" i="2"/>
  <c r="E115" i="2"/>
  <c r="F161" i="2"/>
  <c r="F8" i="2"/>
  <c r="F28" i="2" s="1"/>
  <c r="E11" i="2"/>
  <c r="D11" i="2"/>
  <c r="D9" i="2"/>
  <c r="E184" i="2"/>
  <c r="H74" i="2"/>
  <c r="I74" i="2" s="1"/>
  <c r="C184" i="2"/>
  <c r="D184" i="2"/>
  <c r="I37" i="2"/>
  <c r="I160" i="2" s="1"/>
  <c r="F177" i="2"/>
  <c r="E9" i="2"/>
  <c r="C6" i="12"/>
  <c r="D64" i="2"/>
  <c r="D31" i="2"/>
  <c r="E64" i="2"/>
  <c r="E31" i="2"/>
  <c r="C35" i="2"/>
  <c r="C41" i="2" s="1"/>
  <c r="C13" i="2" s="1"/>
  <c r="F191" i="2"/>
  <c r="D95" i="2"/>
  <c r="E87" i="2"/>
  <c r="D87" i="2"/>
  <c r="D132" i="2" s="1"/>
  <c r="D11" i="1"/>
  <c r="E11" i="1"/>
  <c r="C11" i="1"/>
  <c r="F43" i="2"/>
  <c r="E97" i="2" l="1"/>
  <c r="E132" i="2"/>
  <c r="E126" i="2"/>
  <c r="E128" i="2" s="1"/>
  <c r="E133" i="2"/>
  <c r="E134" i="2"/>
  <c r="H5" i="2"/>
  <c r="G75" i="2"/>
  <c r="D97" i="2"/>
  <c r="E35" i="2"/>
  <c r="E41" i="2" s="1"/>
  <c r="E67" i="2" s="1"/>
  <c r="E65" i="2"/>
  <c r="D35" i="2"/>
  <c r="D68" i="2" s="1"/>
  <c r="D65" i="2"/>
  <c r="G8" i="2"/>
  <c r="H8" i="2" s="1"/>
  <c r="H9" i="2" s="1"/>
  <c r="F9" i="2"/>
  <c r="E13" i="2"/>
  <c r="G43" i="2"/>
  <c r="H43" i="2" s="1"/>
  <c r="I43" i="2" s="1"/>
  <c r="C67" i="2"/>
  <c r="D41" i="2" l="1"/>
  <c r="D128" i="2"/>
  <c r="D134" i="2"/>
  <c r="F65" i="2"/>
  <c r="G65" i="2" s="1"/>
  <c r="H65" i="2" s="1"/>
  <c r="I65" i="2" s="1"/>
  <c r="E68" i="2"/>
  <c r="I5" i="2"/>
  <c r="I75" i="2" s="1"/>
  <c r="H75" i="2"/>
  <c r="H28" i="2"/>
  <c r="G28" i="2"/>
  <c r="G9" i="2"/>
  <c r="I8" i="2"/>
  <c r="D13" i="2"/>
  <c r="D67" i="2"/>
  <c r="C45" i="2"/>
  <c r="E45" i="2"/>
  <c r="E70" i="2" s="1"/>
  <c r="D45" i="2"/>
  <c r="D70" i="2" s="1"/>
  <c r="I28" i="2" l="1"/>
  <c r="I27" i="2" s="1"/>
  <c r="I29" i="2" s="1"/>
  <c r="G27" i="2"/>
  <c r="G29" i="2" s="1"/>
  <c r="H27" i="2"/>
  <c r="H29" i="2" s="1"/>
  <c r="I9" i="2"/>
  <c r="C154" i="2"/>
  <c r="C14" i="2"/>
  <c r="D154" i="2"/>
  <c r="D174" i="2" s="1"/>
  <c r="D14" i="2"/>
  <c r="E154" i="2"/>
  <c r="E174" i="2" s="1"/>
  <c r="E14" i="2"/>
  <c r="D47" i="2"/>
  <c r="E47" i="2"/>
  <c r="C47" i="2"/>
  <c r="C70" i="2"/>
  <c r="H64" i="2" l="1"/>
  <c r="I64" i="2"/>
  <c r="H69" i="2"/>
  <c r="I69" i="2"/>
  <c r="D197" i="2"/>
  <c r="D199" i="2"/>
  <c r="D200" i="2" s="1"/>
  <c r="C174" i="2"/>
  <c r="C197" i="2" s="1"/>
  <c r="E197" i="2"/>
  <c r="E199" i="2"/>
  <c r="E200" i="2" s="1"/>
  <c r="E187" i="2" s="1"/>
  <c r="G161" i="2" l="1"/>
  <c r="G191" i="2"/>
  <c r="H161" i="2" l="1"/>
  <c r="H191" i="2"/>
  <c r="I191" i="2"/>
  <c r="I161" i="2" l="1"/>
  <c r="F27" i="2" l="1"/>
  <c r="F29" i="2" s="1"/>
  <c r="F21" i="2" l="1"/>
  <c r="F69" i="2"/>
  <c r="F85" i="2" s="1"/>
  <c r="G69" i="2"/>
  <c r="F64" i="2"/>
  <c r="F167" i="2" s="1"/>
  <c r="F84" i="2"/>
  <c r="F16" i="2" s="1"/>
  <c r="F106" i="2"/>
  <c r="F102" i="2"/>
  <c r="F171" i="2" s="1"/>
  <c r="F111" i="2"/>
  <c r="F31" i="2"/>
  <c r="G64" i="2"/>
  <c r="G51" i="2" s="1"/>
  <c r="F52" i="2" l="1"/>
  <c r="F113" i="2"/>
  <c r="F158" i="2"/>
  <c r="F159" i="2"/>
  <c r="G159" i="2" s="1"/>
  <c r="H159" i="2" s="1"/>
  <c r="I159" i="2" s="1"/>
  <c r="F168" i="2"/>
  <c r="F86" i="2"/>
  <c r="G86" i="2" s="1"/>
  <c r="F49" i="2"/>
  <c r="G49" i="2" s="1"/>
  <c r="H49" i="2" s="1"/>
  <c r="I49" i="2" s="1"/>
  <c r="F94" i="2"/>
  <c r="G94" i="2" s="1"/>
  <c r="F93" i="2"/>
  <c r="G93" i="2" s="1"/>
  <c r="H93" i="2" s="1"/>
  <c r="I93" i="2" s="1"/>
  <c r="F92" i="2"/>
  <c r="F178" i="2" s="1"/>
  <c r="F101" i="2"/>
  <c r="G101" i="2" s="1"/>
  <c r="F105" i="2"/>
  <c r="F173" i="2" s="1"/>
  <c r="F104" i="2"/>
  <c r="G104" i="2" s="1"/>
  <c r="H104" i="2" s="1"/>
  <c r="I104" i="2" s="1"/>
  <c r="F90" i="2"/>
  <c r="G90" i="2" s="1"/>
  <c r="F30" i="2"/>
  <c r="F71" i="2" s="1"/>
  <c r="F83" i="2"/>
  <c r="G83" i="2" s="1"/>
  <c r="H83" i="2" s="1"/>
  <c r="I83" i="2" s="1"/>
  <c r="G85" i="2"/>
  <c r="H85" i="2" s="1"/>
  <c r="I85" i="2" s="1"/>
  <c r="F162" i="2"/>
  <c r="F34" i="2"/>
  <c r="G34" i="2" s="1"/>
  <c r="H34" i="2" s="1"/>
  <c r="I34" i="2" s="1"/>
  <c r="F33" i="2"/>
  <c r="G33" i="2" s="1"/>
  <c r="H33" i="2" s="1"/>
  <c r="I33" i="2" s="1"/>
  <c r="F103" i="2"/>
  <c r="G103" i="2" s="1"/>
  <c r="F82" i="2"/>
  <c r="F188" i="2"/>
  <c r="G111" i="2"/>
  <c r="G188" i="2" s="1"/>
  <c r="G102" i="2"/>
  <c r="G171" i="2" s="1"/>
  <c r="H51" i="2"/>
  <c r="G21" i="2"/>
  <c r="G138" i="2"/>
  <c r="G177" i="2"/>
  <c r="G52" i="2"/>
  <c r="H52" i="2" s="1"/>
  <c r="I52" i="2" s="1"/>
  <c r="G84" i="2"/>
  <c r="G106" i="2"/>
  <c r="H106" i="2" s="1"/>
  <c r="I106" i="2" s="1"/>
  <c r="G113" i="2"/>
  <c r="H113" i="2" s="1"/>
  <c r="I113" i="2" s="1"/>
  <c r="G167" i="2"/>
  <c r="H167" i="2" s="1"/>
  <c r="I167" i="2" s="1"/>
  <c r="G158" i="2"/>
  <c r="H158" i="2" s="1"/>
  <c r="I158" i="2" s="1"/>
  <c r="G170" i="2" l="1"/>
  <c r="F170" i="2"/>
  <c r="G183" i="2"/>
  <c r="F183" i="2"/>
  <c r="F179" i="2"/>
  <c r="G179" i="2"/>
  <c r="G92" i="2"/>
  <c r="F180" i="2"/>
  <c r="F184" i="2" s="1"/>
  <c r="G168" i="2"/>
  <c r="H94" i="2"/>
  <c r="G30" i="2"/>
  <c r="G71" i="2" s="1"/>
  <c r="F11" i="2"/>
  <c r="G105" i="2"/>
  <c r="G173" i="2" s="1"/>
  <c r="F190" i="2"/>
  <c r="H86" i="2"/>
  <c r="G82" i="2"/>
  <c r="G180" i="2" s="1"/>
  <c r="F107" i="2"/>
  <c r="G107" i="2" s="1"/>
  <c r="F139" i="2"/>
  <c r="F140" i="2" s="1"/>
  <c r="F91" i="2" s="1"/>
  <c r="F157" i="2"/>
  <c r="F22" i="2"/>
  <c r="F172" i="2"/>
  <c r="G172" i="2"/>
  <c r="H103" i="2"/>
  <c r="H90" i="2"/>
  <c r="G16" i="2"/>
  <c r="H84" i="2"/>
  <c r="H168" i="2" s="1"/>
  <c r="G190" i="2"/>
  <c r="H101" i="2"/>
  <c r="H162" i="2"/>
  <c r="H138" i="2"/>
  <c r="H177" i="2"/>
  <c r="H21" i="2"/>
  <c r="I51" i="2"/>
  <c r="G162" i="2"/>
  <c r="H102" i="2"/>
  <c r="H171" i="2" s="1"/>
  <c r="H111" i="2"/>
  <c r="H188" i="2" s="1"/>
  <c r="G139" i="2"/>
  <c r="G22" i="2"/>
  <c r="G157" i="2"/>
  <c r="H105" i="2" l="1"/>
  <c r="H173" i="2" s="1"/>
  <c r="H170" i="2"/>
  <c r="H82" i="2"/>
  <c r="H180" i="2"/>
  <c r="H92" i="2"/>
  <c r="G178" i="2"/>
  <c r="G184" i="2" s="1"/>
  <c r="H183" i="2"/>
  <c r="H179" i="2"/>
  <c r="G11" i="2"/>
  <c r="H30" i="2"/>
  <c r="H71" i="2" s="1"/>
  <c r="I94" i="2"/>
  <c r="I170" i="2" s="1"/>
  <c r="I86" i="2"/>
  <c r="G137" i="2"/>
  <c r="G140" i="2" s="1"/>
  <c r="G91" i="2" s="1"/>
  <c r="F95" i="2"/>
  <c r="G31" i="2"/>
  <c r="I102" i="2"/>
  <c r="I171" i="2" s="1"/>
  <c r="I177" i="2"/>
  <c r="I138" i="2"/>
  <c r="I21" i="2"/>
  <c r="I82" i="2"/>
  <c r="H107" i="2"/>
  <c r="H172" i="2"/>
  <c r="I103" i="2"/>
  <c r="I172" i="2" s="1"/>
  <c r="I84" i="2"/>
  <c r="I16" i="2" s="1"/>
  <c r="H16" i="2"/>
  <c r="H139" i="2"/>
  <c r="H157" i="2"/>
  <c r="H22" i="2"/>
  <c r="I111" i="2"/>
  <c r="I188" i="2" s="1"/>
  <c r="H190" i="2"/>
  <c r="I101" i="2"/>
  <c r="I190" i="2" s="1"/>
  <c r="I90" i="2"/>
  <c r="I179" i="2" s="1"/>
  <c r="I162" i="2"/>
  <c r="I105" i="2"/>
  <c r="I173" i="2" s="1"/>
  <c r="I92" i="2" l="1"/>
  <c r="I178" i="2" s="1"/>
  <c r="H178" i="2"/>
  <c r="H184" i="2" s="1"/>
  <c r="I180" i="2"/>
  <c r="I168" i="2"/>
  <c r="H11" i="2"/>
  <c r="I30" i="2"/>
  <c r="I11" i="2" s="1"/>
  <c r="I183" i="2"/>
  <c r="H137" i="2"/>
  <c r="H140" i="2" s="1"/>
  <c r="H91" i="2" s="1"/>
  <c r="I137" i="2" s="1"/>
  <c r="G95" i="2"/>
  <c r="I107" i="2"/>
  <c r="I22" i="2"/>
  <c r="I157" i="2"/>
  <c r="I139" i="2"/>
  <c r="I71" i="2" l="1"/>
  <c r="I184" i="2"/>
  <c r="H95" i="2"/>
  <c r="I140" i="2"/>
  <c r="I91" i="2" s="1"/>
  <c r="I95" i="2" s="1"/>
  <c r="H31" i="2" l="1"/>
  <c r="I31" i="2" l="1"/>
  <c r="G19" i="2" l="1"/>
  <c r="G66" i="2"/>
  <c r="H19" i="2"/>
  <c r="H66" i="2"/>
  <c r="H35" i="2"/>
  <c r="F19" i="2"/>
  <c r="I19" i="2"/>
  <c r="I66" i="2"/>
  <c r="I35" i="2"/>
  <c r="F35" i="2"/>
  <c r="F68" i="2" s="1"/>
  <c r="G35" i="2"/>
  <c r="G68" i="2" s="1"/>
  <c r="F66" i="2"/>
  <c r="I68" i="2" l="1"/>
  <c r="H68" i="2"/>
  <c r="F17" i="2"/>
  <c r="G169" i="2"/>
  <c r="E131" i="2"/>
  <c r="F169" i="2"/>
  <c r="F40" i="2"/>
  <c r="F164" i="2" l="1"/>
  <c r="G40" i="2"/>
  <c r="G17" i="2"/>
  <c r="H169" i="2"/>
  <c r="F131" i="2"/>
  <c r="H131" i="2" l="1"/>
  <c r="I169" i="2"/>
  <c r="H17" i="2"/>
  <c r="G131" i="2"/>
  <c r="H40" i="2"/>
  <c r="G164" i="2"/>
  <c r="I40" i="2" l="1"/>
  <c r="H164" i="2"/>
  <c r="I131" i="2"/>
  <c r="I17" i="2"/>
  <c r="I164" i="2" l="1"/>
  <c r="F41" i="2"/>
  <c r="F45" i="2" s="1"/>
  <c r="F14" i="2" s="1"/>
  <c r="F123" i="2" s="1"/>
  <c r="F193" i="2" l="1"/>
  <c r="F195" i="2" s="1"/>
  <c r="F70" i="2"/>
  <c r="F47" i="2"/>
  <c r="F154" i="2"/>
  <c r="F174" i="2" s="1"/>
  <c r="F147" i="2"/>
  <c r="F149" i="2" s="1"/>
  <c r="F121" i="2" s="1"/>
  <c r="F197" i="2" l="1"/>
  <c r="F81" i="2" s="1"/>
  <c r="G38" i="2" s="1"/>
  <c r="F87" i="2"/>
  <c r="F124" i="2"/>
  <c r="G146" i="2"/>
  <c r="F199" i="2"/>
  <c r="F200" i="2" s="1"/>
  <c r="F110" i="2" s="1"/>
  <c r="G39" i="2" s="1"/>
  <c r="G41" i="2" l="1"/>
  <c r="G45" i="2" s="1"/>
  <c r="G14" i="2" s="1"/>
  <c r="G123" i="2" s="1"/>
  <c r="G193" i="2" s="1"/>
  <c r="G47" i="2"/>
  <c r="G154" i="2"/>
  <c r="G174" i="2" s="1"/>
  <c r="G70" i="2"/>
  <c r="G147" i="2"/>
  <c r="G149" i="2" s="1"/>
  <c r="G121" i="2" s="1"/>
  <c r="F97" i="2"/>
  <c r="F132" i="2"/>
  <c r="F187" i="2"/>
  <c r="F115" i="2"/>
  <c r="G195" i="2" l="1"/>
  <c r="G199" i="2"/>
  <c r="G200" i="2" s="1"/>
  <c r="G110" i="2" s="1"/>
  <c r="H39" i="2" s="1"/>
  <c r="H146" i="2"/>
  <c r="G124" i="2"/>
  <c r="G197" i="2"/>
  <c r="G81" i="2" s="1"/>
  <c r="G187" i="2"/>
  <c r="G115" i="2"/>
  <c r="F134" i="2"/>
  <c r="F126" i="2"/>
  <c r="F128" i="2" s="1"/>
  <c r="F133" i="2"/>
  <c r="H38" i="2" l="1"/>
  <c r="H41" i="2" s="1"/>
  <c r="H45" i="2" s="1"/>
  <c r="G87" i="2"/>
  <c r="G126" i="2"/>
  <c r="G133" i="2"/>
  <c r="G132" i="2" l="1"/>
  <c r="G97" i="2"/>
  <c r="G134" i="2" s="1"/>
  <c r="H70" i="2"/>
  <c r="H14" i="2"/>
  <c r="H123" i="2" s="1"/>
  <c r="H47" i="2"/>
  <c r="H147" i="2"/>
  <c r="H149" i="2" s="1"/>
  <c r="H121" i="2" s="1"/>
  <c r="H154" i="2"/>
  <c r="H174" i="2" s="1"/>
  <c r="H124" i="2" l="1"/>
  <c r="I146" i="2"/>
  <c r="H193" i="2"/>
  <c r="H195" i="2" s="1"/>
  <c r="H197" i="2" s="1"/>
  <c r="H81" i="2" s="1"/>
  <c r="G128" i="2"/>
  <c r="I38" i="2" l="1"/>
  <c r="H87" i="2"/>
  <c r="H199" i="2"/>
  <c r="H200" i="2" s="1"/>
  <c r="H110" i="2" s="1"/>
  <c r="I39" i="2" s="1"/>
  <c r="I41" i="2" l="1"/>
  <c r="I45" i="2" s="1"/>
  <c r="H187" i="2"/>
  <c r="H115" i="2"/>
  <c r="H97" i="2"/>
  <c r="H132" i="2"/>
  <c r="I47" i="2"/>
  <c r="I70" i="2"/>
  <c r="I154" i="2"/>
  <c r="I174" i="2" s="1"/>
  <c r="I14" i="2"/>
  <c r="I123" i="2" s="1"/>
  <c r="I193" i="2" s="1"/>
  <c r="I195" i="2" s="1"/>
  <c r="I147" i="2"/>
  <c r="I149" i="2" s="1"/>
  <c r="I121" i="2" s="1"/>
  <c r="I197" i="2" l="1"/>
  <c r="I81" i="2" s="1"/>
  <c r="I87" i="2" s="1"/>
  <c r="I132" i="2" s="1"/>
  <c r="I97" i="2"/>
  <c r="I199" i="2"/>
  <c r="I200" i="2" s="1"/>
  <c r="I110" i="2" s="1"/>
  <c r="H134" i="2"/>
  <c r="H133" i="2"/>
  <c r="H126" i="2"/>
  <c r="H128" i="2" s="1"/>
  <c r="I124" i="2"/>
  <c r="I115" i="2" l="1"/>
  <c r="I187" i="2"/>
  <c r="I133" i="2" l="1"/>
  <c r="I126" i="2"/>
  <c r="I128" i="2" s="1"/>
  <c r="I13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Johann</author>
    <author>Johann Somosa</author>
  </authors>
  <commentList>
    <comment ref="B5" authorId="0" shapeId="0" xr:uid="{9054149A-5CAD-48DA-97D7-5DB666D7F670}">
      <text>
        <r>
          <rPr>
            <b/>
            <sz val="9"/>
            <color rgb="FF000000"/>
            <rFont val="Tahoma"/>
            <family val="2"/>
          </rPr>
          <t xml:space="preserve">Johann:
</t>
        </r>
        <r>
          <rPr>
            <b/>
            <sz val="9"/>
            <color rgb="FF000000"/>
            <rFont val="Tahoma"/>
            <family val="2"/>
          </rPr>
          <t xml:space="preserve">
</t>
        </r>
        <r>
          <rPr>
            <sz val="9"/>
            <color rgb="FF000000"/>
            <rFont val="Tahoma"/>
            <family val="2"/>
          </rPr>
          <t xml:space="preserve">The Company’s revenue that is generated from (1)physically settled derivative sales contracts and (2)revenue from sales of other products and (3)services.
</t>
        </r>
        <r>
          <rPr>
            <sz val="9"/>
            <color rgb="FF000000"/>
            <rFont val="Tahoma"/>
            <family val="2"/>
          </rPr>
          <t xml:space="preserve">
</t>
        </r>
        <r>
          <rPr>
            <sz val="9"/>
            <color rgb="FF000000"/>
            <rFont val="Tahoma"/>
            <family val="2"/>
          </rPr>
          <t xml:space="preserve">The Company’s operations are organized, managed, and classified into three reportable business segments: Ag Services and Oilseeds, Carbohydrate Solutions, and Nutrition. Based on analysis conducted within this model, the Company's 'Ag Services and Oilseeds' business segment, accounts for, on average, 78% of the company's total revenue.
</t>
        </r>
        <r>
          <rPr>
            <sz val="9"/>
            <color rgb="FF000000"/>
            <rFont val="Tahoma"/>
            <family val="2"/>
          </rPr>
          <t xml:space="preserve">
</t>
        </r>
        <r>
          <rPr>
            <sz val="9"/>
            <color rgb="FF000000"/>
            <rFont val="Tahoma"/>
            <family val="2"/>
          </rPr>
          <t xml:space="preserve">For this 3statement model, we focus on the company's 'ag services and oilseeds' as our main revenue driver. </t>
        </r>
        <r>
          <rPr>
            <sz val="9"/>
            <color rgb="FF000000"/>
            <rFont val="Tahoma"/>
            <family val="34"/>
          </rPr>
          <t xml:space="preserve">Revenues and cost of products sold in agricultural merchandising and processing businesses are significantly correlated to the underlying commodity prices and volumes. </t>
        </r>
        <r>
          <rPr>
            <sz val="9"/>
            <color rgb="FF000000"/>
            <rFont val="Tahoma"/>
            <family val="34"/>
          </rPr>
          <t xml:space="preserve">
</t>
        </r>
        <r>
          <rPr>
            <sz val="9"/>
            <color rgb="FF000000"/>
            <rFont val="Tahoma"/>
            <family val="2"/>
          </rPr>
          <t xml:space="preserve">
</t>
        </r>
        <r>
          <rPr>
            <sz val="9"/>
            <color rgb="FF000000"/>
            <rFont val="Tahoma"/>
            <family val="2"/>
          </rPr>
          <t xml:space="preserve">
</t>
        </r>
        <r>
          <rPr>
            <sz val="9"/>
            <color rgb="FF000000"/>
            <rFont val="Tahoma"/>
            <family val="2"/>
          </rPr>
          <t xml:space="preserve">The  Company’s 10k states, "operations are such that most products are efficiently processed near the source of raw materials. Consequently, the Company has many plants strategically located in agricultural commodity producing areas. The annual volume of commodities processed will vary depending upon availability of raw materials and demand for finished products."
</t>
        </r>
        <r>
          <rPr>
            <sz val="9"/>
            <color rgb="FF000000"/>
            <rFont val="Tahoma"/>
            <family val="2"/>
          </rPr>
          <t xml:space="preserve">
</t>
        </r>
        <r>
          <rPr>
            <sz val="9"/>
            <color rgb="FF000000"/>
            <rFont val="Tahoma"/>
            <family val="2"/>
          </rPr>
          <t xml:space="preserve">The Company's 10k statement doesn't explicity state the volumes for units of sold commodities. As a work around, the company's storage capacities are the drivers for revenue. The reason for this is as states, isolating the availability of raw materials from demand for finished products, and assuming efficient utilization, we assume storage capacity drives annual volume of commodities.To support this driver, a correlation test and assumptions must be made. Correlation result between revenue and storage capacity for raw agriculture materials was 0.921.
</t>
        </r>
        <r>
          <rPr>
            <sz val="9"/>
            <color rgb="FF000000"/>
            <rFont val="Tahoma"/>
            <family val="2"/>
          </rPr>
          <t xml:space="preserve">
</t>
        </r>
        <r>
          <rPr>
            <sz val="9"/>
            <color rgb="FF000000"/>
            <rFont val="Tahoma"/>
            <family val="2"/>
          </rPr>
          <t xml:space="preserve">The accumulation of the storage capacity was composed of (1)Processing facilities and (2)Procurement facilities, measured in million metric tons.
</t>
        </r>
        <r>
          <rPr>
            <sz val="9"/>
            <color rgb="FF000000"/>
            <rFont val="Tahoma"/>
            <family val="2"/>
          </rPr>
          <t xml:space="preserve">
</t>
        </r>
      </text>
    </comment>
    <comment ref="B8" authorId="0" shapeId="0" xr:uid="{C8D9065D-6A33-4561-ACB9-0DA5F3C4C6BA}">
      <text>
        <r>
          <rPr>
            <b/>
            <sz val="9"/>
            <color rgb="FF000000"/>
            <rFont val="Tahoma"/>
            <family val="2"/>
          </rPr>
          <t xml:space="preserve">Johann:
</t>
        </r>
        <r>
          <rPr>
            <b/>
            <sz val="9"/>
            <color rgb="FF000000"/>
            <rFont val="Tahoma"/>
            <family val="2"/>
          </rPr>
          <t>Revenue per metric ton =</t>
        </r>
        <r>
          <rPr>
            <sz val="9"/>
            <color rgb="FF000000"/>
            <rFont val="Tahoma"/>
            <family val="2"/>
          </rPr>
          <t xml:space="preserve"> Revenue of Agservices and Oilseeds / weight in metric tons</t>
        </r>
      </text>
    </comment>
    <comment ref="F8" authorId="0" shapeId="0" xr:uid="{179119DB-847D-43E5-BA07-4626FA41E489}">
      <text>
        <r>
          <rPr>
            <b/>
            <sz val="9"/>
            <color rgb="FF000000"/>
            <rFont val="Tahoma"/>
            <family val="2"/>
          </rPr>
          <t>Johann:</t>
        </r>
        <r>
          <rPr>
            <sz val="9"/>
            <color rgb="FF000000"/>
            <rFont val="Tahoma"/>
            <family val="2"/>
          </rPr>
          <t xml:space="preserve">
</t>
        </r>
        <r>
          <rPr>
            <sz val="9"/>
            <color rgb="FF000000"/>
            <rFont val="Tahoma"/>
            <family val="2"/>
          </rPr>
          <t xml:space="preserve">To use the average for the margin revenue per metric ton, we assume: 
</t>
        </r>
        <r>
          <rPr>
            <sz val="9"/>
            <color rgb="FF000000"/>
            <rFont val="Tahoma"/>
            <family val="2"/>
          </rPr>
          <t xml:space="preserve">- Prices are fixed
</t>
        </r>
        <r>
          <rPr>
            <sz val="9"/>
            <color rgb="FF000000"/>
            <rFont val="Tahoma"/>
            <family val="2"/>
          </rPr>
          <t xml:space="preserve">- Oversupply will be compensated with discounts
</t>
        </r>
        <r>
          <rPr>
            <sz val="9"/>
            <color rgb="FF000000"/>
            <rFont val="Tahoma"/>
            <family val="2"/>
          </rPr>
          <t xml:space="preserve">- Utilization doesn't fail
</t>
        </r>
        <r>
          <rPr>
            <sz val="9"/>
            <color rgb="FF000000"/>
            <rFont val="Tahoma"/>
            <family val="2"/>
          </rPr>
          <t xml:space="preserve">- Product mix doesn't shift
</t>
        </r>
        <r>
          <rPr>
            <sz val="9"/>
            <color rgb="FF000000"/>
            <rFont val="Tahoma"/>
            <family val="2"/>
          </rPr>
          <t>- Costs for raw materials don't rise (can be pushed)</t>
        </r>
      </text>
    </comment>
    <comment ref="B27" authorId="0" shapeId="0" xr:uid="{B0A63B56-B966-436B-9508-A282FBF4634F}">
      <text>
        <r>
          <rPr>
            <b/>
            <sz val="9"/>
            <color rgb="FF000000"/>
            <rFont val="Tahoma"/>
            <family val="2"/>
          </rPr>
          <t>Johann:</t>
        </r>
        <r>
          <rPr>
            <sz val="9"/>
            <color rgb="FF000000"/>
            <rFont val="Tahoma"/>
            <family val="2"/>
          </rPr>
          <t xml:space="preserve">
</t>
        </r>
        <r>
          <rPr>
            <sz val="9"/>
            <color rgb="FF000000"/>
            <rFont val="Tahoma"/>
            <family val="2"/>
          </rPr>
          <t xml:space="preserve">The Company’s revenue that is generated from (1)physically settled derivative sales contracts and (2)revenue from sales of other products and (3)services.
</t>
        </r>
        <r>
          <rPr>
            <sz val="9"/>
            <color rgb="FF000000"/>
            <rFont val="Tahoma"/>
            <family val="2"/>
          </rPr>
          <t xml:space="preserve">
</t>
        </r>
        <r>
          <rPr>
            <sz val="9"/>
            <color rgb="FF000000"/>
            <rFont val="Tahoma"/>
            <family val="2"/>
          </rPr>
          <t xml:space="preserve">The Company’s operations are organized, managed, and classified into three reportable business segments: Ag Services and Oilseeds, Carbohydrate Solutions, and Nutrition. 
</t>
        </r>
        <r>
          <rPr>
            <sz val="9"/>
            <color rgb="FF000000"/>
            <rFont val="Tahoma"/>
            <family val="2"/>
          </rPr>
          <t xml:space="preserve">
</t>
        </r>
        <r>
          <rPr>
            <sz val="9"/>
            <color rgb="FF000000"/>
            <rFont val="Tahoma"/>
            <family val="2"/>
          </rPr>
          <t>Followed by the "Revenue" are the dissagregated revenues, known as the business segments, provided to display a granular view of the drivers of the Company's revenue performance.</t>
        </r>
      </text>
    </comment>
    <comment ref="E27" authorId="0" shapeId="0" xr:uid="{0B476DF6-15CC-403E-863C-C93E32FCC96B}">
      <text>
        <r>
          <rPr>
            <b/>
            <sz val="9"/>
            <color rgb="FF000000"/>
            <rFont val="Tahoma"/>
            <family val="2"/>
          </rPr>
          <t>Johann:</t>
        </r>
        <r>
          <rPr>
            <sz val="9"/>
            <color rgb="FF000000"/>
            <rFont val="Tahoma"/>
            <family val="2"/>
          </rPr>
          <t xml:space="preserve">
</t>
        </r>
        <r>
          <rPr>
            <sz val="9"/>
            <color rgb="FF000000"/>
            <rFont val="Tahoma"/>
            <family val="2"/>
          </rPr>
          <t xml:space="preserve">According 10K report, lower sales in FY24 was driven by lower
</t>
        </r>
        <r>
          <rPr>
            <sz val="9"/>
            <color rgb="FF000000"/>
            <rFont val="Tahoma"/>
            <family val="2"/>
          </rPr>
          <t>results in the Ag Services and Oilseeds segment and the Nutrition segment.</t>
        </r>
      </text>
    </comment>
    <comment ref="F27" authorId="0" shapeId="0" xr:uid="{ED90F49F-FCF6-4E60-B193-BDD2CAFE0A13}">
      <text>
        <r>
          <rPr>
            <b/>
            <sz val="9"/>
            <color indexed="81"/>
            <rFont val="Tahoma"/>
            <family val="2"/>
          </rPr>
          <t>Johann:</t>
        </r>
        <r>
          <rPr>
            <sz val="9"/>
            <color indexed="81"/>
            <rFont val="Tahoma"/>
            <family val="2"/>
          </rPr>
          <t xml:space="preserve">
</t>
        </r>
      </text>
    </comment>
    <comment ref="B28" authorId="0" shapeId="0" xr:uid="{DFF944BA-AB05-4806-AD7E-E13278E57BA7}">
      <text>
        <r>
          <rPr>
            <b/>
            <sz val="9"/>
            <color rgb="FF000000"/>
            <rFont val="Tahoma"/>
            <family val="2"/>
          </rPr>
          <t>Johann:</t>
        </r>
        <r>
          <rPr>
            <sz val="9"/>
            <color rgb="FF000000"/>
            <rFont val="Tahoma"/>
            <family val="2"/>
          </rPr>
          <t xml:space="preserve">
</t>
        </r>
        <r>
          <rPr>
            <sz val="9"/>
            <color rgb="FF000000"/>
            <rFont val="Tahoma"/>
            <family val="2"/>
          </rPr>
          <t xml:space="preserve">The Ag Services and Oilseeds segment generates revenue from (1)the sale of commodities, (2)from service fees for the transportation of goods, (3) from the sale of products manufactured in its global processing facilities, and (4)from its structured trade finance activities. 
</t>
        </r>
        <r>
          <rPr>
            <sz val="9"/>
            <color rgb="FF000000"/>
            <rFont val="Tahoma"/>
            <family val="2"/>
          </rPr>
          <t xml:space="preserve">
</t>
        </r>
        <r>
          <rPr>
            <sz val="9"/>
            <color rgb="FF000000"/>
            <rFont val="Tahoma"/>
            <family val="2"/>
          </rPr>
          <t xml:space="preserve">The Company engages in various structured trade finance activities to leverage its global trade flows whereby the Company obtains letters of credit (LCs) to guarantee payments on both global purchases and sales of grain.
</t>
        </r>
        <r>
          <rPr>
            <sz val="9"/>
            <color rgb="FF000000"/>
            <rFont val="Tahoma"/>
            <family val="2"/>
          </rPr>
          <t xml:space="preserve">
</t>
        </r>
        <r>
          <rPr>
            <sz val="9"/>
            <color rgb="FF000000"/>
            <rFont val="Tahoma"/>
            <family val="2"/>
          </rPr>
          <t xml:space="preserve">According to the Company's management team, "The net return related to structured trade finance activities is included in revenue and was not significant for the years ended December 31, 2024, 2023, and 2022."
</t>
        </r>
        <r>
          <rPr>
            <sz val="9"/>
            <color rgb="FF000000"/>
            <rFont val="Tahoma"/>
            <family val="2"/>
          </rPr>
          <t xml:space="preserve">
</t>
        </r>
        <r>
          <rPr>
            <sz val="9"/>
            <color rgb="FF000000"/>
            <rFont val="Tahoma"/>
            <family val="2"/>
          </rPr>
          <t xml:space="preserve">The overall increase in oilseeds processed volumes was primarily related to improved crush capacity in North America, driven by the Company's new facility in Spiritwood, North Dakota, and in EMEA in 2024 compared to lower crush rates in the previous year due to inclement weather, unplanned downtime, and reduced capacity due to the Russian-Ukraine war. The overall increase in corn processed volumes was related to increased plant reliability in 2024 compared to lower volumes in the previous year driven by unplanned downtime at the Decatur, Illinois plant.  
</t>
        </r>
      </text>
    </comment>
    <comment ref="F28" authorId="0" shapeId="0" xr:uid="{B86F63B4-365B-47E8-9ECA-C7DA72F1B328}">
      <text>
        <r>
          <rPr>
            <b/>
            <sz val="9"/>
            <color indexed="81"/>
            <rFont val="Tahoma"/>
            <family val="2"/>
          </rPr>
          <t>Johann:</t>
        </r>
        <r>
          <rPr>
            <sz val="9"/>
            <color indexed="81"/>
            <rFont val="Tahoma"/>
            <family val="2"/>
          </rPr>
          <t xml:space="preserve">
Assuming Revenue per metric ton margin is consistent, we estimate the average.
Revenue Agservices and Oilseed = Revenue per metric ton x storage capacity for raw agriculture materials (in metric tons)</t>
        </r>
      </text>
    </comment>
    <comment ref="B33" authorId="0" shapeId="0" xr:uid="{6E34FC7B-A983-4CF8-AE4C-53029685A9CC}">
      <text>
        <r>
          <rPr>
            <b/>
            <sz val="9"/>
            <color indexed="81"/>
            <rFont val="Tahoma"/>
            <family val="2"/>
          </rPr>
          <t>Johann:</t>
        </r>
        <r>
          <rPr>
            <sz val="9"/>
            <color indexed="81"/>
            <rFont val="Tahoma"/>
            <family val="2"/>
          </rPr>
          <t xml:space="preserve">
Costs associated with research and development are expensed as incurred and recorded within selling, general, and administrative expenses. </t>
        </r>
      </text>
    </comment>
    <comment ref="B34" authorId="0" shapeId="0" xr:uid="{E8002E6B-30CE-4615-8218-995BB25A1090}">
      <text>
        <r>
          <rPr>
            <b/>
            <sz val="9"/>
            <color rgb="FF000000"/>
            <rFont val="Tahoma"/>
            <family val="2"/>
          </rPr>
          <t>Johann:</t>
        </r>
        <r>
          <rPr>
            <sz val="9"/>
            <color rgb="FF000000"/>
            <rFont val="Tahoma"/>
            <family val="2"/>
          </rPr>
          <t xml:space="preserve">
</t>
        </r>
        <r>
          <rPr>
            <sz val="9"/>
            <color rgb="FF000000"/>
            <rFont val="Tahoma"/>
            <family val="2"/>
          </rPr>
          <t xml:space="preserve">According to Company's 10K, operating expenses are composed of: 
</t>
        </r>
        <r>
          <rPr>
            <sz val="9"/>
            <color rgb="FF000000"/>
            <rFont val="Tahoma"/>
            <family val="2"/>
          </rPr>
          <t xml:space="preserve">- Selling, general, and administrative expenses
</t>
        </r>
        <r>
          <rPr>
            <sz val="9"/>
            <color rgb="FF000000"/>
            <rFont val="Tahoma"/>
            <family val="2"/>
          </rPr>
          <t xml:space="preserve">- Asset impairment, exit, and restructuring costs
</t>
        </r>
        <r>
          <rPr>
            <sz val="9"/>
            <color rgb="FF000000"/>
            <rFont val="Tahoma"/>
            <family val="2"/>
          </rPr>
          <t>- D&amp;A</t>
        </r>
      </text>
    </comment>
    <comment ref="B39" authorId="0" shapeId="0" xr:uid="{C1EFB494-0BF6-4E2A-9187-5DE6F756CAB8}">
      <text>
        <r>
          <rPr>
            <b/>
            <sz val="9"/>
            <color rgb="FF000000"/>
            <rFont val="Tahoma"/>
            <family val="2"/>
          </rPr>
          <t>Johann:</t>
        </r>
        <r>
          <rPr>
            <sz val="9"/>
            <color rgb="FF000000"/>
            <rFont val="Tahoma"/>
            <family val="2"/>
          </rPr>
          <t xml:space="preserve">
</t>
        </r>
        <r>
          <rPr>
            <sz val="9"/>
            <color rgb="FF000000"/>
            <rFont val="Tahoma"/>
            <family val="2"/>
          </rPr>
          <t>The Company classifies interest on income tax-related balances as interest expense and classifies tax-related penalties as selling, general, and administrative expenses.</t>
        </r>
      </text>
    </comment>
    <comment ref="B49" authorId="1" shapeId="0" xr:uid="{69788042-541F-064D-8E6B-73D3A0318A98}">
      <text>
        <r>
          <rPr>
            <b/>
            <sz val="10"/>
            <color rgb="FF000000"/>
            <rFont val="Tahoma"/>
            <family val="2"/>
          </rPr>
          <t>Johann Somosa:</t>
        </r>
        <r>
          <rPr>
            <sz val="10"/>
            <color rgb="FF000000"/>
            <rFont val="Tahoma"/>
            <family val="2"/>
          </rPr>
          <t xml:space="preserve">
</t>
        </r>
        <r>
          <rPr>
            <sz val="10"/>
            <color rgb="FF000000"/>
            <rFont val="Tahoma"/>
            <family val="2"/>
          </rPr>
          <t xml:space="preserve">Derived in the 10k, section "Reconciliation of Net Earnings", D&amp;A is embedded within the selling, general, and administrative expenses. 
</t>
        </r>
        <r>
          <rPr>
            <sz val="10"/>
            <color rgb="FF000000"/>
            <rFont val="Tahoma"/>
            <family val="2"/>
          </rPr>
          <t xml:space="preserve">
</t>
        </r>
      </text>
    </comment>
    <comment ref="B50" authorId="1" shapeId="0" xr:uid="{12FFF7B6-ACAD-B241-81A0-FA0D98E1D6FB}">
      <text>
        <r>
          <rPr>
            <b/>
            <sz val="10"/>
            <color rgb="FF000000"/>
            <rFont val="Tahoma"/>
            <family val="2"/>
          </rPr>
          <t>Johann Somosa:</t>
        </r>
        <r>
          <rPr>
            <sz val="10"/>
            <color rgb="FF000000"/>
            <rFont val="Tahoma"/>
            <family val="2"/>
          </rPr>
          <t xml:space="preserve">
</t>
        </r>
        <r>
          <rPr>
            <sz val="10"/>
            <color rgb="FF000000"/>
            <rFont val="Tahoma"/>
            <family val="2"/>
          </rPr>
          <t>The Company's 10k states, "</t>
        </r>
        <r>
          <rPr>
            <sz val="10"/>
            <color rgb="FF000000"/>
            <rFont val="Calibri"/>
            <family val="2"/>
            <scheme val="minor"/>
          </rPr>
          <t xml:space="preserve">Aggregate amortization expense was $266 million, $234 million, and $235 million for the years ended December 31, 2024, 2023, and 2022, respectively, of which $89 million, $72 million, and $69 million, respectively, were for amortization of capitalized software and related costs. </t>
        </r>
        <r>
          <rPr>
            <sz val="10"/>
            <color rgb="FF000000"/>
            <rFont val="Tahoma"/>
            <family val="2"/>
          </rPr>
          <t xml:space="preserve">(ADM 10k report pg. 193)
</t>
        </r>
        <r>
          <rPr>
            <sz val="10"/>
            <color rgb="FF000000"/>
            <rFont val="Tahoma"/>
            <family val="2"/>
          </rPr>
          <t xml:space="preserve">
</t>
        </r>
        <r>
          <rPr>
            <sz val="10"/>
            <color rgb="FF000000"/>
            <rFont val="Tahoma"/>
            <family val="2"/>
          </rPr>
          <t>Amortization is recorded on consolidated financial statements on the 10k report of pg. 214.</t>
        </r>
      </text>
    </comment>
    <comment ref="F51" authorId="0" shapeId="0" xr:uid="{92120F8E-273E-489C-930A-9381E7C324D3}">
      <text>
        <r>
          <rPr>
            <b/>
            <sz val="9"/>
            <color rgb="FF000000"/>
            <rFont val="Tahoma"/>
            <family val="2"/>
          </rPr>
          <t>Johann:</t>
        </r>
        <r>
          <rPr>
            <sz val="9"/>
            <color rgb="FF000000"/>
            <rFont val="Tahoma"/>
            <family val="2"/>
          </rPr>
          <t xml:space="preserve">
</t>
        </r>
        <r>
          <rPr>
            <sz val="9"/>
            <color rgb="FF000000"/>
            <rFont val="Tahoma"/>
            <family val="2"/>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 ref="B74" authorId="0" shapeId="0" xr:uid="{991293B6-8678-4691-A92A-BFF66C8FD247}">
      <text>
        <r>
          <rPr>
            <b/>
            <sz val="9"/>
            <color rgb="FF000000"/>
            <rFont val="Tahoma"/>
            <family val="2"/>
          </rPr>
          <t>Johann:</t>
        </r>
        <r>
          <rPr>
            <sz val="9"/>
            <color rgb="FF000000"/>
            <rFont val="Tahoma"/>
            <family val="2"/>
          </rPr>
          <t xml:space="preserve">
</t>
        </r>
        <r>
          <rPr>
            <sz val="9"/>
            <color rgb="FF000000"/>
            <rFont val="Tahoma"/>
            <family val="2"/>
          </rPr>
          <t>Forecast for margin of revenue for Agservices and oilseed segment assumes the segment proportionally and consistently contributes to the Company.</t>
        </r>
      </text>
    </comment>
    <comment ref="B75" authorId="0" shapeId="0" xr:uid="{A32A8BE2-9170-4F15-A95D-702C535FCE3C}">
      <text>
        <r>
          <rPr>
            <b/>
            <sz val="9"/>
            <color rgb="FF000000"/>
            <rFont val="Tahoma"/>
            <family val="2"/>
          </rPr>
          <t>Johann:</t>
        </r>
        <r>
          <rPr>
            <sz val="9"/>
            <color rgb="FF000000"/>
            <rFont val="Tahoma"/>
            <family val="2"/>
          </rPr>
          <t xml:space="preserve">
</t>
        </r>
        <r>
          <rPr>
            <sz val="9"/>
            <color rgb="FF000000"/>
            <rFont val="Tahoma"/>
            <family val="2"/>
          </rPr>
          <t xml:space="preserve">The Company’s operations are such that most products are efficiently processed near the source of rawmaterials.Consequently, the Company has many plants strategically located in agricultural commodity producing areas.The annual volume of commodities processed will vary depending upon availability of rawmaterials anddemand for finished products.
</t>
        </r>
        <r>
          <rPr>
            <sz val="9"/>
            <color rgb="FF000000"/>
            <rFont val="Tahoma"/>
            <family val="2"/>
          </rPr>
          <t xml:space="preserve">
</t>
        </r>
        <r>
          <rPr>
            <sz val="9"/>
            <color rgb="FF000000"/>
            <rFont val="Tahoma"/>
            <family val="2"/>
          </rPr>
          <t xml:space="preserve">The Company owns approximately 150warehouses and terminals primarily used as bulk storage facilities and has 68
</t>
        </r>
        <r>
          <rPr>
            <sz val="9"/>
            <color rgb="FF000000"/>
            <rFont val="Tahoma"/>
            <family val="2"/>
          </rPr>
          <t xml:space="preserve"> innovationcenters.</t>
        </r>
      </text>
    </comment>
    <comment ref="B81" authorId="0" shapeId="0" xr:uid="{8D760438-1502-4DAF-8E0B-19184826771E}">
      <text>
        <r>
          <rPr>
            <b/>
            <sz val="9"/>
            <color rgb="FF000000"/>
            <rFont val="Tahoma"/>
            <family val="2"/>
          </rPr>
          <t>Johann:</t>
        </r>
        <r>
          <rPr>
            <sz val="9"/>
            <color rgb="FF000000"/>
            <rFont val="Tahoma"/>
            <family val="2"/>
          </rPr>
          <t xml:space="preserve">
</t>
        </r>
        <r>
          <rPr>
            <sz val="9"/>
            <color rgb="FF000000"/>
            <rFont val="Tahoma"/>
            <family val="2"/>
          </rPr>
          <t xml:space="preserve">- The Company considers all non-segregated, highly-liquid investments with a maturity of three months or less at the time of purchase to be cash equivalents.
</t>
        </r>
        <r>
          <rPr>
            <sz val="9"/>
            <color rgb="FF000000"/>
            <rFont val="Tahoma"/>
            <family val="2"/>
          </rPr>
          <t xml:space="preserve">
</t>
        </r>
        <r>
          <rPr>
            <sz val="9"/>
            <color rgb="FF000000"/>
            <rFont val="Tahoma"/>
            <family val="2"/>
          </rPr>
          <t xml:space="preserve">- The Company's objective is to have sufficient liquidity, balance sheet strength, and financial flexibility to fund the operating and capital requirements of a capital intensive agricultural commodity-based business. 
</t>
        </r>
        <r>
          <rPr>
            <sz val="9"/>
            <color rgb="FF000000"/>
            <rFont val="Tahoma"/>
            <family val="2"/>
          </rPr>
          <t xml:space="preserve">
</t>
        </r>
        <r>
          <rPr>
            <sz val="9"/>
            <color rgb="FF000000"/>
            <rFont val="Tahoma"/>
            <family val="2"/>
          </rPr>
          <t xml:space="preserve">- Company's sources of funds are generated by operations and lines of credit. </t>
        </r>
      </text>
    </comment>
    <comment ref="F81" authorId="0" shapeId="0" xr:uid="{1716AC47-2577-40BA-BA15-9451DA739DBF}">
      <text>
        <r>
          <rPr>
            <b/>
            <sz val="9"/>
            <color rgb="FF000000"/>
            <rFont val="Tahoma"/>
            <family val="2"/>
          </rPr>
          <t>Johann:</t>
        </r>
        <r>
          <rPr>
            <sz val="9"/>
            <color rgb="FF000000"/>
            <rFont val="Tahoma"/>
            <family val="2"/>
          </rPr>
          <t xml:space="preserve">
</t>
        </r>
        <r>
          <rPr>
            <sz val="9"/>
            <color rgb="FF000000"/>
            <rFont val="Tahoma"/>
            <family val="2"/>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 ref="F82" authorId="0" shapeId="0" xr:uid="{AFC211C8-661B-499B-A768-86E31145EAF5}">
      <text>
        <r>
          <rPr>
            <b/>
            <sz val="9"/>
            <color rgb="FF000000"/>
            <rFont val="Tahoma"/>
            <family val="2"/>
          </rPr>
          <t>Johann:</t>
        </r>
        <r>
          <rPr>
            <sz val="9"/>
            <color rgb="FF000000"/>
            <rFont val="Tahoma"/>
            <family val="2"/>
          </rPr>
          <t xml:space="preserve">
</t>
        </r>
        <r>
          <rPr>
            <sz val="9"/>
            <color rgb="FF000000"/>
            <rFont val="Tahoma"/>
            <family val="2"/>
          </rPr>
          <t xml:space="preserve">Assumption: Given that interest rates doesn't exceed borrowing rates, and company relies on available cash to invest into short-term marketable securities, securities are tied to revenue growth.
</t>
        </r>
      </text>
    </comment>
    <comment ref="B83" authorId="0" shapeId="0" xr:uid="{5B6B09AE-272E-4909-B650-07AD06FB65DB}">
      <text>
        <r>
          <rPr>
            <b/>
            <sz val="9"/>
            <color indexed="81"/>
            <rFont val="Tahoma"/>
            <family val="2"/>
          </rPr>
          <t>Johann:</t>
        </r>
        <r>
          <rPr>
            <sz val="9"/>
            <color indexed="81"/>
            <rFont val="Tahoma"/>
            <family val="2"/>
          </rPr>
          <t xml:space="preserve">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t>
        </r>
      </text>
    </comment>
    <comment ref="F83" authorId="0" shapeId="0" xr:uid="{A398D747-3D88-40EE-823F-40C4BF25B9C1}">
      <text>
        <r>
          <rPr>
            <b/>
            <sz val="9"/>
            <color rgb="FF000000"/>
            <rFont val="Tahoma"/>
            <family val="2"/>
          </rPr>
          <t>Johann:</t>
        </r>
        <r>
          <rPr>
            <sz val="9"/>
            <color rgb="FF000000"/>
            <rFont val="Tahoma"/>
            <family val="2"/>
          </rPr>
          <t xml:space="preserve">
</t>
        </r>
        <r>
          <rPr>
            <sz val="9"/>
            <color rgb="FF000000"/>
            <rFont val="Tahoma"/>
            <family val="2"/>
          </rPr>
          <t>Assumption: Since segregated cash and investments are tied to physically settled derivative sales contracts, segregated cash and investments will be tied to revenue growth.</t>
        </r>
      </text>
    </comment>
    <comment ref="B84" authorId="0" shapeId="0" xr:uid="{7B899E9B-7048-4AE1-81B7-8B9D1D70251E}">
      <text>
        <r>
          <rPr>
            <b/>
            <sz val="9"/>
            <color indexed="81"/>
            <rFont val="Tahoma"/>
            <family val="2"/>
          </rPr>
          <t>Johann:</t>
        </r>
        <r>
          <rPr>
            <sz val="9"/>
            <color indexed="81"/>
            <rFont val="Tahoma"/>
            <family val="2"/>
          </rPr>
          <t xml:space="preserve">
This value includes an allowance for estimated uncollectible accounts to reflect any loss anticipated on the accounts receivable balances including any accrued interest receivables thereon.</t>
        </r>
      </text>
    </comment>
    <comment ref="B91" authorId="0" shapeId="0" xr:uid="{20DF16A3-4C6B-904D-A5D9-33B70640A1FE}">
      <text>
        <r>
          <rPr>
            <b/>
            <sz val="9"/>
            <color rgb="FF000000"/>
            <rFont val="Tahoma"/>
            <family val="2"/>
          </rPr>
          <t>Johann:</t>
        </r>
        <r>
          <rPr>
            <sz val="9"/>
            <color rgb="FF000000"/>
            <rFont val="Tahoma"/>
            <family val="2"/>
          </rPr>
          <t xml:space="preserve">
</t>
        </r>
        <r>
          <rPr>
            <sz val="9"/>
            <color rgb="FF000000"/>
            <rFont val="Tahoma"/>
            <family val="2"/>
          </rPr>
          <t>The Company uses the straight-line method in computing depreciation for financial reporting purposes and generally uses accelerated methods for income tax purposes.</t>
        </r>
      </text>
    </comment>
    <comment ref="B120" authorId="0" shapeId="0" xr:uid="{A40A2F16-3624-4398-8D38-9A035534F3DD}">
      <text>
        <r>
          <rPr>
            <b/>
            <sz val="9"/>
            <color rgb="FF000000"/>
            <rFont val="Tahoma"/>
            <family val="2"/>
          </rPr>
          <t>Johann:</t>
        </r>
        <r>
          <rPr>
            <sz val="9"/>
            <color rgb="FF000000"/>
            <rFont val="Tahoma"/>
            <family val="2"/>
          </rPr>
          <t xml:space="preserve">
</t>
        </r>
        <r>
          <rPr>
            <sz val="9"/>
            <color rgb="FF000000"/>
            <rFont val="Tahoma"/>
            <family val="2"/>
          </rPr>
          <t xml:space="preserve">Stock Repurchase program 
</t>
        </r>
        <r>
          <rPr>
            <sz val="9"/>
            <color rgb="FF000000"/>
            <rFont val="Tahoma"/>
            <family val="2"/>
          </rPr>
          <t xml:space="preserve">
</t>
        </r>
        <r>
          <rPr>
            <sz val="9"/>
            <color rgb="FF000000"/>
            <rFont val="Tahoma"/>
            <family val="2"/>
          </rPr>
          <t xml:space="preserve"> On March 12, 2024, the Company entered into an accelerated share repurchase (“ASR”) transaction agreement with Merrill Lynch International, an affiliate of BofA Securities, Inc.
</t>
        </r>
        <r>
          <rPr>
            <sz val="9"/>
            <color rgb="FF000000"/>
            <rFont val="Tahoma"/>
            <family val="2"/>
          </rPr>
          <t xml:space="preserve">
</t>
        </r>
        <r>
          <rPr>
            <sz val="10"/>
            <color rgb="FF000000"/>
            <rFont val="Calibri"/>
            <family val="2"/>
          </rPr>
          <t xml:space="preserve">On November 5, 2014, the Company’s Board of Directors approved a stock repurchase program authorizing the Company to repurchase up to 100,000,000 shares of the Company’s common stock during the period commencing January 1, 2015 and ending December 31, 2019. On August 7, 2019, the Company’s Board of Directors approved the extension of the stock repurchase program through December 31, 2024 and the repurchase of up to an additional 100,000,000 shares under the extended program. On December 11, 2024, the Company's Board of Directors approved a second extension of the stock repurchase program through December 31, 2029 and the repurchase of up to an additional 100,000,000 shares under the extended program. </t>
        </r>
        <r>
          <rPr>
            <sz val="9"/>
            <color rgb="FF000000"/>
            <rFont val="Calibri"/>
            <family val="2"/>
          </rPr>
          <t xml:space="preserve">
</t>
        </r>
      </text>
    </comment>
    <comment ref="F120" authorId="0" shapeId="0" xr:uid="{1A8D9643-BFED-4426-8957-E92B706E79D0}">
      <text>
        <r>
          <rPr>
            <b/>
            <sz val="9"/>
            <color rgb="FF000000"/>
            <rFont val="Tahoma"/>
            <family val="2"/>
          </rPr>
          <t>Johann:</t>
        </r>
        <r>
          <rPr>
            <sz val="9"/>
            <color rgb="FF000000"/>
            <rFont val="Tahoma"/>
            <family val="2"/>
          </rPr>
          <t xml:space="preserve">
</t>
        </r>
        <r>
          <rPr>
            <sz val="9"/>
            <color rgb="FF000000"/>
            <rFont val="Tahoma"/>
            <family val="2"/>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 ref="B121" authorId="0" shapeId="0" xr:uid="{972DE735-C4AD-4F64-B910-D2BED0B9BB4D}">
      <text>
        <r>
          <rPr>
            <b/>
            <sz val="9"/>
            <color rgb="FF000000"/>
            <rFont val="Tahoma"/>
            <family val="2"/>
          </rPr>
          <t>Johann:</t>
        </r>
        <r>
          <rPr>
            <sz val="9"/>
            <color rgb="FF000000"/>
            <rFont val="Tahoma"/>
            <family val="2"/>
          </rPr>
          <t xml:space="preserve">
</t>
        </r>
        <r>
          <rPr>
            <sz val="9"/>
            <color rgb="FF000000"/>
            <rFont val="Tahoma"/>
            <family val="2"/>
          </rPr>
          <t xml:space="preserve">Reinvested Earnings, otherwise known as, retained earnings.
</t>
        </r>
      </text>
    </comment>
    <comment ref="F121" authorId="0" shapeId="0" xr:uid="{FE983B95-04FB-4F5E-9ADC-8302408476E3}">
      <text>
        <r>
          <rPr>
            <b/>
            <sz val="9"/>
            <color rgb="FF000000"/>
            <rFont val="Tahoma"/>
            <family val="2"/>
          </rPr>
          <t>Johann:</t>
        </r>
        <r>
          <rPr>
            <sz val="9"/>
            <color rgb="FF000000"/>
            <rFont val="Tahoma"/>
            <family val="2"/>
          </rPr>
          <t xml:space="preserve">
</t>
        </r>
        <r>
          <rPr>
            <sz val="9"/>
            <color rgb="FF000000"/>
            <rFont val="Tahoma"/>
            <family val="2"/>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 ref="F148" authorId="1" shapeId="0" xr:uid="{5AB932C4-8DD0-1440-9819-D29558D8CB1B}">
      <text>
        <r>
          <rPr>
            <b/>
            <sz val="10"/>
            <color rgb="FF000000"/>
            <rFont val="Tahoma"/>
            <family val="2"/>
          </rPr>
          <t>Johann Somosa:</t>
        </r>
        <r>
          <rPr>
            <sz val="10"/>
            <color rgb="FF000000"/>
            <rFont val="Tahoma"/>
            <family val="2"/>
          </rPr>
          <t xml:space="preserve">
</t>
        </r>
        <r>
          <rPr>
            <sz val="10"/>
            <color rgb="FF000000"/>
            <rFont val="Calibri"/>
            <family val="2"/>
            <scheme val="minor"/>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r>
          <rPr>
            <sz val="10"/>
            <color rgb="FF000000"/>
            <rFont val="Calibri"/>
            <family val="2"/>
            <scheme val="minor"/>
          </rPr>
          <t xml:space="preserve">
</t>
        </r>
      </text>
    </comment>
    <comment ref="B162" authorId="0" shapeId="0" xr:uid="{D36A5D92-E0C5-4AFD-AE2B-2A4F497FF9E9}">
      <text>
        <r>
          <rPr>
            <b/>
            <sz val="9"/>
            <color rgb="FF000000"/>
            <rFont val="Tahoma"/>
            <family val="2"/>
          </rPr>
          <t>Johann:</t>
        </r>
        <r>
          <rPr>
            <sz val="9"/>
            <color rgb="FF000000"/>
            <rFont val="Tahoma"/>
            <family val="2"/>
          </rPr>
          <t xml:space="preserve">
</t>
        </r>
        <r>
          <rPr>
            <sz val="9"/>
            <color rgb="FF000000"/>
            <rFont val="Tahoma"/>
            <family val="2"/>
          </rPr>
          <t>"For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(ADM 10k pg. 172)</t>
        </r>
      </text>
    </comment>
    <comment ref="B163" authorId="1" shapeId="0" xr:uid="{BE57CB31-11E4-C949-A791-8F634B18902C}">
      <text>
        <r>
          <rPr>
            <b/>
            <sz val="10"/>
            <color rgb="FF000000"/>
            <rFont val="Tahoma"/>
            <family val="2"/>
          </rPr>
          <t>Johann Somosa:</t>
        </r>
        <r>
          <rPr>
            <sz val="10"/>
            <color rgb="FF000000"/>
            <rFont val="Tahoma"/>
            <family val="2"/>
          </rPr>
          <t xml:space="preserve">
</t>
        </r>
        <r>
          <rPr>
            <sz val="10"/>
            <color rgb="FF000000"/>
            <rFont val="Tahoma"/>
            <family val="2"/>
          </rPr>
          <t>Derived from worksheet, "Reconciliation of Net Earnings".</t>
        </r>
      </text>
    </comment>
    <comment ref="F192" authorId="0" shapeId="0" xr:uid="{8EDFC7A8-1A5D-4A12-8870-32E4A0E034E6}">
      <text>
        <r>
          <rPr>
            <b/>
            <sz val="9"/>
            <color rgb="FF000000"/>
            <rFont val="Tahoma"/>
            <family val="2"/>
          </rPr>
          <t>Johann:</t>
        </r>
        <r>
          <rPr>
            <sz val="9"/>
            <color rgb="FF000000"/>
            <rFont val="Tahoma"/>
            <family val="2"/>
          </rPr>
          <t xml:space="preserve">
</t>
        </r>
        <r>
          <rPr>
            <sz val="9"/>
            <color rgb="FF000000"/>
            <rFont val="Tahoma"/>
            <family val="2"/>
          </rPr>
          <t>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Johann</author>
  </authors>
  <commentList>
    <comment ref="A5" authorId="0" shapeId="0" xr:uid="{A1C426CD-8053-4CB5-A28D-AC1A6C17221A}">
      <text>
        <r>
          <rPr>
            <b/>
            <sz val="9"/>
            <color indexed="81"/>
            <rFont val="Tahoma"/>
            <family val="2"/>
          </rPr>
          <t>Johann:</t>
        </r>
        <r>
          <rPr>
            <sz val="9"/>
            <color indexed="81"/>
            <rFont val="Tahoma"/>
            <family val="2"/>
          </rPr>
          <t xml:space="preserve">
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 ref="A14" authorId="0" shapeId="0" xr:uid="{2F8166CD-0D17-4F63-B5B4-9D9E5F18873A}">
      <text>
        <r>
          <rPr>
            <b/>
            <sz val="9"/>
            <color indexed="81"/>
            <rFont val="Tahoma"/>
            <family val="2"/>
          </rPr>
          <t>Johann:</t>
        </r>
        <r>
          <rPr>
            <sz val="9"/>
            <color indexed="81"/>
            <rFont val="Tahoma"/>
            <family val="2"/>
          </rPr>
          <t xml:space="preserve">
According to management analysis in 10k report, " In 2025, the Company expects capital expenditures of $1.5 billion and additional cash outlays of approximately $1.0 billion in dividends and up to $155 million in share repurchases, subject to other strategic uses of capital and the evolution of operating cash flows and the working capital position throughout the year."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Johann</author>
  </authors>
  <commentList>
    <comment ref="E2" authorId="0" shapeId="0" xr:uid="{A4FF569D-F0D1-47B3-93F6-D835ABDB7DC3}">
      <text>
        <r>
          <rPr>
            <b/>
            <sz val="9"/>
            <color indexed="81"/>
            <rFont val="Tahoma"/>
            <family val="2"/>
          </rPr>
          <t>Johann:</t>
        </r>
        <r>
          <rPr>
            <sz val="9"/>
            <color indexed="81"/>
            <rFont val="Tahoma"/>
            <family val="2"/>
          </rPr>
          <t xml:space="preserve">
- The Company considers all non-segregated, highly-liquid investments with a maturity of three months or less at the time of purchase to be cash equivalents.
- The Company's objective is to have sufficient liquidity, balance sheet strength, and financial flexibility to fund the operating and capital requirements of a capital intensive agricultural commodity-based business. 
- Company's sources of funds are generated by operations and lines of credit. </t>
        </r>
      </text>
    </comment>
    <comment ref="E3" authorId="0" shapeId="0" xr:uid="{6CBC12AE-9917-4D05-A9A1-3EF14066CF67}">
      <text>
        <r>
          <rPr>
            <b/>
            <sz val="9"/>
            <color indexed="81"/>
            <rFont val="Tahoma"/>
            <family val="2"/>
          </rPr>
          <t>Johann:</t>
        </r>
        <r>
          <rPr>
            <sz val="9"/>
            <color indexed="81"/>
            <rFont val="Tahoma"/>
            <family val="2"/>
          </rPr>
          <t xml:space="preserve">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t>
        </r>
      </text>
    </comment>
    <comment ref="E4" authorId="0" shapeId="0" xr:uid="{9FE64B6D-4A8E-4A16-AA41-B125D258E79F}">
      <text>
        <r>
          <rPr>
            <b/>
            <sz val="9"/>
            <color indexed="81"/>
            <rFont val="Tahoma"/>
            <family val="2"/>
          </rPr>
          <t>Johann:</t>
        </r>
        <r>
          <rPr>
            <sz val="9"/>
            <color indexed="81"/>
            <rFont val="Tahoma"/>
            <family val="2"/>
          </rPr>
          <t xml:space="preserve">
This value includes an allowance for estimated uncollectible accounts to reflect any loss anticipated on the accounts receivable balances including any accrued interest receivables thereon.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Johann</author>
  </authors>
  <commentList>
    <comment ref="D2" authorId="0" shapeId="0" xr:uid="{4AF8B0A9-E12D-41CA-9826-8D7BFD91573E}">
      <text>
        <r>
          <rPr>
            <b/>
            <sz val="9"/>
            <color indexed="81"/>
            <rFont val="Tahoma"/>
            <family val="2"/>
          </rPr>
          <t>Johann:</t>
        </r>
        <r>
          <rPr>
            <sz val="9"/>
            <color indexed="81"/>
            <rFont val="Tahoma"/>
            <family val="2"/>
          </rPr>
          <t xml:space="preserve">
The Company’s operations are such that most products are efficiently processed near the source of rawmaterials.Consequently, the Company has many plants strategically located in agricultural commodity producing areas.The annual volume of commodities processed will vary depending upon availability of rawmaterials anddemand for finished products.
The Company owns approximately 150warehouses and terminals primarily used as bulk storage facilities and has 68
 innovationcenters.</t>
        </r>
      </text>
    </comment>
    <comment ref="B3" authorId="0" shapeId="0" xr:uid="{802FA31E-95E4-42DF-86EC-E0AF327D2E3E}">
      <text>
        <r>
          <rPr>
            <b/>
            <sz val="9"/>
            <color indexed="81"/>
            <rFont val="Tahoma"/>
            <family val="2"/>
          </rPr>
          <t>Johann:</t>
        </r>
        <r>
          <rPr>
            <sz val="9"/>
            <color indexed="81"/>
            <rFont val="Tahoma"/>
            <family val="2"/>
          </rPr>
          <t xml:space="preserve">
The Ag Services and Oilseeds segment generates revenue from (1)the sale of commodities, (2)from service fees for the transportation of goods, (3) from the sale of products manufactured in its global processing facilities, and (4)from its structured trade finance activities. 
The Company engages in various structured trade finance activities to leverage its global trade flows whereby the Company obtains letters of credit (LCs) to guarantee payments on both global purchases and sales of grain.
According to the Company's management team, "The net return related to structured trade finance activities is included in revenue and was not significant for the years ended December 31, 2024, 2023, and 2022."
The overall increase in oilseeds processed volumes was primarily related to improved crush capacity in North America, driven by the Company's new facility in Spiritwood, North Dakota, and in EMEA in 2024 compared to lower crush rates in the previous year due to inclement weather, unplanned downtime, and reduced capacity due to the Russian-Ukraine war. The overall increase in corn processed volumes was related to increased plant reliability in 2024 compared to lower volumes in the previous year driven by unplanned downtime at the Decatur, Illinois plant.  
</t>
        </r>
      </text>
    </comment>
    <comment ref="D36" authorId="0" shapeId="0" xr:uid="{EC4960A0-64FC-4F30-A1AE-A458F70998B4}">
      <text>
        <r>
          <rPr>
            <b/>
            <sz val="9"/>
            <color rgb="FF000000"/>
            <rFont val="Tahoma"/>
            <family val="2"/>
          </rPr>
          <t>Johann:</t>
        </r>
        <r>
          <rPr>
            <sz val="9"/>
            <color rgb="FF000000"/>
            <rFont val="Tahoma"/>
            <family val="2"/>
          </rPr>
          <t xml:space="preserve">
</t>
        </r>
        <r>
          <rPr>
            <sz val="9"/>
            <color rgb="FF000000"/>
            <rFont val="Tahoma"/>
            <family val="2"/>
          </rPr>
          <t>According to the Company's 10k report, " The overall increase in oilseeds processed volumes was primarily related to improved crush capacity in North America, driven by the Company's new facility in Spiritwood, North Dakota."</t>
        </r>
      </text>
    </comment>
    <comment ref="B37" authorId="0" shapeId="0" xr:uid="{2DA18F93-C3B7-4BA1-83F7-440372C2CBA6}">
      <text>
        <r>
          <rPr>
            <b/>
            <sz val="9"/>
            <color rgb="FF000000"/>
            <rFont val="Tahoma"/>
            <family val="2"/>
          </rPr>
          <t>Johann:</t>
        </r>
        <r>
          <rPr>
            <sz val="9"/>
            <color rgb="FF000000"/>
            <rFont val="Tahoma"/>
            <family val="2"/>
          </rPr>
          <t xml:space="preserve">
</t>
        </r>
        <r>
          <rPr>
            <sz val="9"/>
            <color rgb="FF000000"/>
            <rFont val="Tahoma"/>
            <family val="2"/>
          </rPr>
          <t xml:space="preserve">The Ag Services and Oilseeds segment generates revenue from (1)the sale of commodities, (2)from service fees for the transportation of goods, (3) from the sale of products manufactured in its global processing facilities, and (4)from its structured trade finance activities. 
</t>
        </r>
        <r>
          <rPr>
            <sz val="9"/>
            <color rgb="FF000000"/>
            <rFont val="Tahoma"/>
            <family val="2"/>
          </rPr>
          <t xml:space="preserve">
</t>
        </r>
        <r>
          <rPr>
            <sz val="9"/>
            <color rgb="FF000000"/>
            <rFont val="Tahoma"/>
            <family val="2"/>
          </rPr>
          <t xml:space="preserve">The Company engages in various structured trade finance activities to leverage its global trade flows whereby the Company obtains letters of credit (LCs) to guarantee payments on both global purchases and sales of grain.
</t>
        </r>
        <r>
          <rPr>
            <sz val="9"/>
            <color rgb="FF000000"/>
            <rFont val="Tahoma"/>
            <family val="2"/>
          </rPr>
          <t xml:space="preserve">
</t>
        </r>
        <r>
          <rPr>
            <sz val="9"/>
            <color rgb="FF000000"/>
            <rFont val="Tahoma"/>
            <family val="2"/>
          </rPr>
          <t xml:space="preserve">According to the Company's management team, "The net return related to structured trade finance activities is included in revenue and was not significant for the years ended December 31, 2024, 2023, and 2022."
</t>
        </r>
        <r>
          <rPr>
            <sz val="9"/>
            <color rgb="FF000000"/>
            <rFont val="Tahoma"/>
            <family val="2"/>
          </rPr>
          <t xml:space="preserve">
</t>
        </r>
        <r>
          <rPr>
            <sz val="9"/>
            <color rgb="FF000000"/>
            <rFont val="Tahoma"/>
            <family val="2"/>
          </rPr>
          <t xml:space="preserve">The overall increase in oilseeds processed volumes was primarily related to improved crush capacity in North America, driven by the Company's new facility in Spiritwood, North Dakota, and in EMEA in 2024 compared to lower crush rates in the previous year due to inclement weather, unplanned downtime, and reduced capacity due to the Russian-Ukraine war. The overall increase in corn processed volumes was related to increased plant reliability in 2024 compared to lower volumes in the previous year driven by unplanned downtime at the Decatur, Illinois plant.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138B1F-4650-4B84-9CDD-46105E50F77D}" keepAlive="1" name="Query - Page163" description="Connection to the 'Page163' query in the workbook." type="5" refreshedVersion="8" background="1" saveData="1">
    <dbPr connection="Provider=Microsoft.Mashup.OleDb.1;Data Source=$Workbook$;Location=Page163;Extended Properties=&quot;&quot;" command="SELECT * FROM [Page163]"/>
  </connection>
  <connection id="2" xr16:uid="{3D04764D-AD4F-409F-9F69-1D6638DFC230}" keepAlive="1" name="Query - Page163 (2)" description="Connection to the 'Page163 (2)' query in the workbook." type="5" refreshedVersion="8" background="1" saveData="1">
    <dbPr connection="Provider=Microsoft.Mashup.OleDb.1;Data Source=$Workbook$;Location=&quot;Page163 (2)&quot;;Extended Properties=&quot;&quot;" command="SELECT * FROM [Page163 (2)]"/>
  </connection>
  <connection id="3" xr16:uid="{8A0C160E-E3AD-42D6-BA8A-E01818250FE5}" keepAlive="1" name="Query - Page163 (3)" description="Connection to the 'Page163 (3)' query in the workbook." type="5" refreshedVersion="8" background="1" saveData="1">
    <dbPr connection="Provider=Microsoft.Mashup.OleDb.1;Data Source=$Workbook$;Location=&quot;Page163 (3)&quot;;Extended Properties=&quot;&quot;" command="SELECT * FROM [Page163 (3)]"/>
  </connection>
  <connection id="4" xr16:uid="{3B76BAF1-C51D-40B9-A644-8B2F8FDB877F}" keepAlive="1" name="Query - Page163 (4)" description="Connection to the 'Page163 (4)' query in the workbook." type="5" refreshedVersion="8" background="1" saveData="1">
    <dbPr connection="Provider=Microsoft.Mashup.OleDb.1;Data Source=$Workbook$;Location=&quot;Page163 (4)&quot;;Extended Properties=&quot;&quot;" command="SELECT * FROM [Page163 (4)]"/>
  </connection>
  <connection id="5" xr16:uid="{C6F7A7CF-7371-4985-AE5C-C25AA20BF480}" keepAlive="1" name="Query - Page163 (5)" description="Connection to the 'Page163 (5)' query in the workbook." type="5" refreshedVersion="8" background="1" saveData="1">
    <dbPr connection="Provider=Microsoft.Mashup.OleDb.1;Data Source=$Workbook$;Location=&quot;Page163 (5)&quot;;Extended Properties=&quot;&quot;" command="SELECT * FROM [Page163 (5)]"/>
  </connection>
  <connection id="6" xr16:uid="{79FD94CE-94FD-42E5-8775-E767BB7ED4CD}" keepAlive="1" name="Query - Page164" description="Connection to the 'Page164' query in the workbook." type="5" refreshedVersion="8" background="1" saveData="1">
    <dbPr connection="Provider=Microsoft.Mashup.OleDb.1;Data Source=$Workbook$;Location=Page164;Extended Properties=&quot;&quot;" command="SELECT * FROM [Page164]"/>
  </connection>
  <connection id="7" xr16:uid="{300A3054-9994-4446-9DCF-B2D6F0CBD557}" keepAlive="1" name="Query - Page165" description="Connection to the 'Page165' query in the workbook." type="5" refreshedVersion="8" background="1" saveData="1">
    <dbPr connection="Provider=Microsoft.Mashup.OleDb.1;Data Source=$Workbook$;Location=Page165;Extended Properties=&quot;&quot;" command="SELECT * FROM [Page165]"/>
  </connection>
  <connection id="8" xr16:uid="{28DF2260-7BA3-4FEF-A70B-6399F3B78073}" keepAlive="1" name="Query - Page166" description="Connection to the 'Page166' query in the workbook." type="5" refreshedVersion="8" background="1" saveData="1">
    <dbPr connection="Provider=Microsoft.Mashup.OleDb.1;Data Source=$Workbook$;Location=Page166;Extended Properties=&quot;&quot;" command="SELECT * FROM [Page166]"/>
  </connection>
  <connection id="9" xr16:uid="{DE43A787-9A5A-456A-B716-A4B1691AEAFE}" keepAlive="1" name="Query - Page167" description="Connection to the 'Page167' query in the workbook." type="5" refreshedVersion="8" background="1" saveData="1">
    <dbPr connection="Provider=Microsoft.Mashup.OleDb.1;Data Source=$Workbook$;Location=Page167;Extended Properties=&quot;&quot;" command="SELECT * FROM [Page167]"/>
  </connection>
  <connection id="10" xr16:uid="{728354B5-1466-489E-8335-99108FD3998C}" keepAlive="1" name="Query - Table185 (Page 153)" description="Connection to the 'Table185 (Page 153)' query in the workbook." type="5" refreshedVersion="8" background="1" saveData="1">
    <dbPr connection="Provider=Microsoft.Mashup.OleDb.1;Data Source=$Workbook$;Location=&quot;Table185 (Page 153)&quot;;Extended Properties=&quot;&quot;" command="SELECT * FROM [Table185 (Page 153)]"/>
  </connection>
  <connection id="11" xr16:uid="{EF68E944-BCAA-4D82-8B38-5BF1FAD3409B}" keepAlive="1" name="Query - Table211 (Page 165)" description="Connection to the 'Table211 (Page 165)' query in the workbook." type="5" refreshedVersion="8" background="1" saveData="1">
    <dbPr connection="Provider=Microsoft.Mashup.OleDb.1;Data Source=$Workbook$;Location=&quot;Table211 (Page 165)&quot;;Extended Properties=&quot;&quot;" command="SELECT * FROM [Table211 (Page 165)]"/>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<sst xmlns="http://schemas.openxmlformats.org/spreadsheetml/2006/main" count="1155" uniqueCount="663">
  <si>
    <t>TableofContents</t>
  </si>
  <si>
    <t>Column5</t>
  </si>
  <si>
    <t>Column7</t>
  </si>
  <si>
    <t>Column9</t>
  </si>
  <si>
    <t>Revenues</t>
  </si>
  <si>
    <t>93,935</t>
  </si>
  <si>
    <t>Costofproductssold</t>
  </si>
  <si>
    <t>86,422</t>
  </si>
  <si>
    <t>GrossProfit</t>
  </si>
  <si>
    <t>7,513</t>
  </si>
  <si>
    <t>Selling,general,andadministrativeexpenses</t>
  </si>
  <si>
    <t>3,456</t>
  </si>
  <si>
    <t>Assetimpairment,exit,andrestructuringcosts</t>
  </si>
  <si>
    <t>342</t>
  </si>
  <si>
    <t>Equityinearningsofunconsolidatedaffiliates</t>
  </si>
  <si>
    <t>(551)</t>
  </si>
  <si>
    <t>Interestandinvestmentincome</t>
  </si>
  <si>
    <t>(499)</t>
  </si>
  <si>
    <t>Interestexpense</t>
  </si>
  <si>
    <t>647</t>
  </si>
  <si>
    <t>Other(income)expense-net</t>
  </si>
  <si>
    <t>(176)</t>
  </si>
  <si>
    <t>EarningsBeforeIncomeTaxes</t>
  </si>
  <si>
    <t>4,294</t>
  </si>
  <si>
    <t>Incometaxexpense</t>
  </si>
  <si>
    <t>828</t>
  </si>
  <si>
    <t>NetEarningsIncludingNon-controllingInterests</t>
  </si>
  <si>
    <t>3,466</t>
  </si>
  <si>
    <t>Netearnings(losses)attributabletonon-controllinginterests</t>
  </si>
  <si>
    <t>(17)</t>
  </si>
  <si>
    <t>NetEarningsAttributabletoControllingInterests</t>
  </si>
  <si>
    <t>3,483</t>
  </si>
  <si>
    <t>Weightedaveragenumberofsharesoutstanding–basic</t>
  </si>
  <si>
    <t>541</t>
  </si>
  <si>
    <t>Weightedaveragenumberofsharesoutstanding–diluted</t>
  </si>
  <si>
    <t>542</t>
  </si>
  <si>
    <t>Basicearningspercommonshare</t>
  </si>
  <si>
    <t>6.44</t>
  </si>
  <si>
    <t>Dilutedearningspercommonshare</t>
  </si>
  <si>
    <t>6.43</t>
  </si>
  <si>
    <t>Assets</t>
  </si>
  <si>
    <t>CurrentAssets</t>
  </si>
  <si>
    <t>Cashandcashequivalents</t>
  </si>
  <si>
    <t>611</t>
  </si>
  <si>
    <t>1,368</t>
  </si>
  <si>
    <t>Short-termmarketablesecurities</t>
  </si>
  <si>
    <t>246</t>
  </si>
  <si>
    <t>—</t>
  </si>
  <si>
    <t>Segregatedcashandinvestments</t>
  </si>
  <si>
    <t>7,212</t>
  </si>
  <si>
    <t>7,228</t>
  </si>
  <si>
    <t>Tradereceivables-net</t>
  </si>
  <si>
    <t>3,708</t>
  </si>
  <si>
    <t>4,232</t>
  </si>
  <si>
    <t>Inventories</t>
  </si>
  <si>
    <t>11,572</t>
  </si>
  <si>
    <t>11,957</t>
  </si>
  <si>
    <t>Othercurrentassets</t>
  </si>
  <si>
    <t>4,369</t>
  </si>
  <si>
    <t>4,982</t>
  </si>
  <si>
    <t>TotalCurrentAssets</t>
  </si>
  <si>
    <t>27,718</t>
  </si>
  <si>
    <t>29,767</t>
  </si>
  <si>
    <t>InvestmentsandOtherAssets</t>
  </si>
  <si>
    <t>Investmentsinandadvancestoaffiliates</t>
  </si>
  <si>
    <t>5,276</t>
  </si>
  <si>
    <t>5,500</t>
  </si>
  <si>
    <t>Goodwillandotherintangibleassets</t>
  </si>
  <si>
    <t>6,769</t>
  </si>
  <si>
    <t>6,341</t>
  </si>
  <si>
    <t>Right-of-useassets</t>
  </si>
  <si>
    <t>1,358</t>
  </si>
  <si>
    <t>1,211</t>
  </si>
  <si>
    <t>Otherassets</t>
  </si>
  <si>
    <t>1,313</t>
  </si>
  <si>
    <t>1,304</t>
  </si>
  <si>
    <t>TotalInvestmentsandOtherAssets</t>
  </si>
  <si>
    <t>14,716</t>
  </si>
  <si>
    <t>14,356</t>
  </si>
  <si>
    <t>Property,Plant,andEquipment,net</t>
  </si>
  <si>
    <t>Landandlandimprovements</t>
  </si>
  <si>
    <t>566</t>
  </si>
  <si>
    <t>573</t>
  </si>
  <si>
    <t>Buildings</t>
  </si>
  <si>
    <t>6,143</t>
  </si>
  <si>
    <t>5,876</t>
  </si>
  <si>
    <t>Machineryandequipment</t>
  </si>
  <si>
    <t>20,636</t>
  </si>
  <si>
    <t>20,223</t>
  </si>
  <si>
    <t>Constructioninprogress</t>
  </si>
  <si>
    <t>1,553</t>
  </si>
  <si>
    <t>1,360</t>
  </si>
  <si>
    <t>28,898</t>
  </si>
  <si>
    <t>28,032</t>
  </si>
  <si>
    <t>Accumulateddepreciation</t>
  </si>
  <si>
    <t>(18,061)</t>
  </si>
  <si>
    <t>(17,524)</t>
  </si>
  <si>
    <t>NetProperty,Plant,andEquipment</t>
  </si>
  <si>
    <t>10,837</t>
  </si>
  <si>
    <t>10,508</t>
  </si>
  <si>
    <t>TotalAssets</t>
  </si>
  <si>
    <t>53,271</t>
  </si>
  <si>
    <t>54,631</t>
  </si>
  <si>
    <t>Liabilities,TemporaryEquity,andShareholders’Equity</t>
  </si>
  <si>
    <t>CurrentLiabilities</t>
  </si>
  <si>
    <t>Short-termdebt</t>
  </si>
  <si>
    <t>1,903</t>
  </si>
  <si>
    <t>105</t>
  </si>
  <si>
    <t>Tradepayables</t>
  </si>
  <si>
    <t>5,535</t>
  </si>
  <si>
    <t>6,313</t>
  </si>
  <si>
    <t>Payablestobrokeragecustomers</t>
  </si>
  <si>
    <t>7,772</t>
  </si>
  <si>
    <t>7,867</t>
  </si>
  <si>
    <t>Currentleaseliabilities</t>
  </si>
  <si>
    <t>324</t>
  </si>
  <si>
    <t>300</t>
  </si>
  <si>
    <t>Accruedexpensesandotherpayables</t>
  </si>
  <si>
    <t>3,730</t>
  </si>
  <si>
    <t>4,076</t>
  </si>
  <si>
    <t>Currentmaturitiesoflong-termdebt</t>
  </si>
  <si>
    <t>674</t>
  </si>
  <si>
    <t>1</t>
  </si>
  <si>
    <t>TotalCurrentLiabilities</t>
  </si>
  <si>
    <t>19,938</t>
  </si>
  <si>
    <t>18,662</t>
  </si>
  <si>
    <t>Long-TermLiabilities</t>
  </si>
  <si>
    <t>Long-termdebt</t>
  </si>
  <si>
    <t>7,580</t>
  </si>
  <si>
    <t>8,259</t>
  </si>
  <si>
    <t>Deferredincometaxes</t>
  </si>
  <si>
    <t>1,268</t>
  </si>
  <si>
    <t>1,309</t>
  </si>
  <si>
    <t>Non-currentleaseliabilities</t>
  </si>
  <si>
    <t>1,057</t>
  </si>
  <si>
    <t>931</t>
  </si>
  <si>
    <t>Other</t>
  </si>
  <si>
    <t>997</t>
  </si>
  <si>
    <t>1,005</t>
  </si>
  <si>
    <t>TotalLong-TermLiabilities</t>
  </si>
  <si>
    <t>10,902</t>
  </si>
  <si>
    <t>11,504</t>
  </si>
  <si>
    <t>Commitmentsandcontingencies(SeeNote20)</t>
  </si>
  <si>
    <t>TemporaryEquity-Redeemablenon-controllinginterest</t>
  </si>
  <si>
    <t>253</t>
  </si>
  <si>
    <t>320</t>
  </si>
  <si>
    <t>Shareholders’Equity</t>
  </si>
  <si>
    <t>Commonstock</t>
  </si>
  <si>
    <t>3,223</t>
  </si>
  <si>
    <t>3,154</t>
  </si>
  <si>
    <t>Reinvestedearnings</t>
  </si>
  <si>
    <t>21,933</t>
  </si>
  <si>
    <t>23,465</t>
  </si>
  <si>
    <t>Accumulatedothercomprehensiveincome(loss)</t>
  </si>
  <si>
    <t>(2,988)</t>
  </si>
  <si>
    <t>(2,487)</t>
  </si>
  <si>
    <t>Non-controllinginterests</t>
  </si>
  <si>
    <t>10</t>
  </si>
  <si>
    <t>13</t>
  </si>
  <si>
    <t>TotalShareholders’Equity</t>
  </si>
  <si>
    <t>22,178</t>
  </si>
  <si>
    <t>24,145</t>
  </si>
  <si>
    <t>TotalLiabilities,TemporaryEquity,andShareholders’Equity</t>
  </si>
  <si>
    <t>Column11</t>
  </si>
  <si>
    <t>Cashflowsfromoperatingactivities</t>
  </si>
  <si>
    <t>Netearningsincludingnon-controllinginterests</t>
  </si>
  <si>
    <t>1,779</t>
  </si>
  <si>
    <t>4,365</t>
  </si>
  <si>
    <t>Adjustmentstoreconcilenetearningstonetcashprovidedbyoperatingactivities</t>
  </si>
  <si>
    <t>Depreciationandamortization</t>
  </si>
  <si>
    <t>1,141</t>
  </si>
  <si>
    <t>1,059</t>
  </si>
  <si>
    <t>1,028</t>
  </si>
  <si>
    <t>Impairmentofgoodwill,intangibles,long-livedassets,andinvestments</t>
  </si>
  <si>
    <t>519</t>
  </si>
  <si>
    <t>309</t>
  </si>
  <si>
    <t>37</t>
  </si>
  <si>
    <t>(130)</t>
  </si>
  <si>
    <t>(23)</t>
  </si>
  <si>
    <t>(89)</t>
  </si>
  <si>
    <t>Equityinearningsofaffiliates,netofdividends</t>
  </si>
  <si>
    <t>(180)</t>
  </si>
  <si>
    <t>(143)</t>
  </si>
  <si>
    <t>(457)</t>
  </si>
  <si>
    <t>Stockcompensationexpense</t>
  </si>
  <si>
    <t>74</t>
  </si>
  <si>
    <t>112</t>
  </si>
  <si>
    <t>147</t>
  </si>
  <si>
    <t>Deferredcashflowhedges</t>
  </si>
  <si>
    <t>(40)</t>
  </si>
  <si>
    <t>15</t>
  </si>
  <si>
    <t>(84)</t>
  </si>
  <si>
    <t>(Gain)lossonsalesofassetsandbusinesses/investmentrevaluation</t>
  </si>
  <si>
    <t>(12)</t>
  </si>
  <si>
    <t>38</t>
  </si>
  <si>
    <t>(115)</t>
  </si>
  <si>
    <t>Other–net</t>
  </si>
  <si>
    <t>131</t>
  </si>
  <si>
    <t>(106)</t>
  </si>
  <si>
    <t>178</t>
  </si>
  <si>
    <t>Changesinoperatingassetsandliabilities,netofacquisitionsanddispositions</t>
  </si>
  <si>
    <t>Segregatedinvestments</t>
  </si>
  <si>
    <t>(693)</t>
  </si>
  <si>
    <t>(194)</t>
  </si>
  <si>
    <t>(1,512)</t>
  </si>
  <si>
    <t>Tradereceivables</t>
  </si>
  <si>
    <t>447</t>
  </si>
  <si>
    <t>737</t>
  </si>
  <si>
    <t>(1,682)</t>
  </si>
  <si>
    <t>162</t>
  </si>
  <si>
    <t>2,889</t>
  </si>
  <si>
    <t>(295)</t>
  </si>
  <si>
    <t>665</t>
  </si>
  <si>
    <t>694</t>
  </si>
  <si>
    <t>(279)</t>
  </si>
  <si>
    <t>(719)</t>
  </si>
  <si>
    <t>(1,544)</t>
  </si>
  <si>
    <t>1,389</t>
  </si>
  <si>
    <t>(78)</t>
  </si>
  <si>
    <t>(2,059)</t>
  </si>
  <si>
    <t>891</t>
  </si>
  <si>
    <t>(276)</t>
  </si>
  <si>
    <t>(790)</t>
  </si>
  <si>
    <t>(44)</t>
  </si>
  <si>
    <t>Netcashprovidedbyoperatingactivities</t>
  </si>
  <si>
    <t>2,790</t>
  </si>
  <si>
    <t>4,460</t>
  </si>
  <si>
    <t>3,478</t>
  </si>
  <si>
    <t>Cashflowsfrominvestingactivities</t>
  </si>
  <si>
    <t>Capitalexpenditures</t>
  </si>
  <si>
    <t>(1,563)</t>
  </si>
  <si>
    <t>(1,494)</t>
  </si>
  <si>
    <t>(1,319)</t>
  </si>
  <si>
    <t>Netassetsofbusinessesacquired</t>
  </si>
  <si>
    <t>(927)</t>
  </si>
  <si>
    <t>(22)</t>
  </si>
  <si>
    <t>Proceedsfromsalesofassets,businessesandinvestments</t>
  </si>
  <si>
    <t>66</t>
  </si>
  <si>
    <t>60</t>
  </si>
  <si>
    <t>Investmentsinaffiliates</t>
  </si>
  <si>
    <t>(58)</t>
  </si>
  <si>
    <t>(18)</t>
  </si>
  <si>
    <t>(77)</t>
  </si>
  <si>
    <t>Purchasesofmarketablesecurities</t>
  </si>
  <si>
    <t>(308)</t>
  </si>
  <si>
    <t>Proceedsfromsalesofmarketablesecurities</t>
  </si>
  <si>
    <t>84</t>
  </si>
  <si>
    <t>Costmethodinvestments</t>
  </si>
  <si>
    <t>(155)</t>
  </si>
  <si>
    <t>4</t>
  </si>
  <si>
    <t>(21)</t>
  </si>
  <si>
    <t>42</t>
  </si>
  <si>
    <t>Netcashusedininvestingactivities</t>
  </si>
  <si>
    <t>(2,702)</t>
  </si>
  <si>
    <t>(1,496)</t>
  </si>
  <si>
    <t>(1,400)</t>
  </si>
  <si>
    <t>Cashflowsfromfinancingactivities</t>
  </si>
  <si>
    <t>Long-termdebtborrowings</t>
  </si>
  <si>
    <t>27</t>
  </si>
  <si>
    <t>501</t>
  </si>
  <si>
    <t>752</t>
  </si>
  <si>
    <t>Long-termdebtpayments</t>
  </si>
  <si>
    <t>(1)</t>
  </si>
  <si>
    <t>(963)</t>
  </si>
  <si>
    <t>(482)</t>
  </si>
  <si>
    <t>Netchangeinshort-termdebt</t>
  </si>
  <si>
    <t>1,800</t>
  </si>
  <si>
    <t>(390)</t>
  </si>
  <si>
    <t>(428)</t>
  </si>
  <si>
    <t>Sharerepurchases</t>
  </si>
  <si>
    <t>(2,327)</t>
  </si>
  <si>
    <t>(2,673)</t>
  </si>
  <si>
    <t>(1,450)</t>
  </si>
  <si>
    <t>Cashdividends</t>
  </si>
  <si>
    <t>(985)</t>
  </si>
  <si>
    <t>(977)</t>
  </si>
  <si>
    <t>(899)</t>
  </si>
  <si>
    <t>Acquisitionofnon-controllinginterests</t>
  </si>
  <si>
    <t>(8)</t>
  </si>
  <si>
    <t>(36)</t>
  </si>
  <si>
    <t>(102)</t>
  </si>
  <si>
    <t>Netcashusedinfinancingactivities</t>
  </si>
  <si>
    <t>(1,530)</t>
  </si>
  <si>
    <t>(4,604)</t>
  </si>
  <si>
    <t>(2,499)</t>
  </si>
  <si>
    <t>Effectofexchangerateoncash,cashequivalents,restrictedcash,andrestrictedcashequivalents</t>
  </si>
  <si>
    <t>(24)</t>
  </si>
  <si>
    <t>(3)</t>
  </si>
  <si>
    <t>Netincrease(decrease)incash,cashequivalents,restrictedcash,andrestrictedcashequivalents</t>
  </si>
  <si>
    <t>(1,466)</t>
  </si>
  <si>
    <t>(1,643)</t>
  </si>
  <si>
    <t>(421)</t>
  </si>
  <si>
    <t>Cash,cashequivalents,restrictedcash,andrestrictedcashequivalents–beginningofyear</t>
  </si>
  <si>
    <t>5,390</t>
  </si>
  <si>
    <t>7,033</t>
  </si>
  <si>
    <t>7,454</t>
  </si>
  <si>
    <t>Cash,cashequivalents,restrictedcash,andrestrictedcashequivalents–endofyear</t>
  </si>
  <si>
    <t>3,924</t>
  </si>
  <si>
    <t>Reconciliationofcash,cashequivalents,restrictedcash,andrestrictedcashequivalentstothe
ConsolidatedBalanceSheets</t>
  </si>
  <si>
    <t>1,037</t>
  </si>
  <si>
    <t>Restrictedcashandrestrictedcashequivalentsincludedinsegregatedcashandinvestments</t>
  </si>
  <si>
    <t>3,313</t>
  </si>
  <si>
    <t>4,022</t>
  </si>
  <si>
    <t>5,996</t>
  </si>
  <si>
    <t>Totalcash,cashequivalents,restrictedcash,andrestrictedcashequivalents</t>
  </si>
  <si>
    <t>Cashpaidforinterestandincometaxeswereasfollows:</t>
  </si>
  <si>
    <t>Interest</t>
  </si>
  <si>
    <t>710</t>
  </si>
  <si>
    <t>711</t>
  </si>
  <si>
    <t>409</t>
  </si>
  <si>
    <t>Incometaxes</t>
  </si>
  <si>
    <t>658</t>
  </si>
  <si>
    <t>742</t>
  </si>
  <si>
    <t>708</t>
  </si>
  <si>
    <t>Column1</t>
  </si>
  <si>
    <t>Column3</t>
  </si>
  <si>
    <t>Column4</t>
  </si>
  <si>
    <t>Column6</t>
  </si>
  <si>
    <t>Column8</t>
  </si>
  <si>
    <t>Column10</t>
  </si>
  <si>
    <t>Column12</t>
  </si>
  <si>
    <t>Column13</t>
  </si>
  <si>
    <t>Column14</t>
  </si>
  <si>
    <t>Column15</t>
  </si>
  <si>
    <t>Column16</t>
  </si>
  <si>
    <t>Column17</t>
  </si>
  <si>
    <t>(Inmillions,exceptpershareamounts)</t>
  </si>
  <si>
    <t>Shares</t>
  </si>
  <si>
    <t>Amount</t>
  </si>
  <si>
    <t>Earnings</t>
  </si>
  <si>
    <t>Income(Loss)</t>
  </si>
  <si>
    <t>Interests</t>
  </si>
  <si>
    <t>Equity</t>
  </si>
  <si>
    <t>Balance,December31,2021</t>
  </si>
  <si>
    <t>560</t>
  </si>
  <si>
    <t>$</t>
  </si>
  <si>
    <t>2,994</t>
  </si>
  <si>
    <t>21,655</t>
  </si>
  <si>
    <t>(2,172)</t>
  </si>
  <si>
    <t>31</t>
  </si>
  <si>
    <t>22,508</t>
  </si>
  <si>
    <t>Netearnings</t>
  </si>
  <si>
    <t>4,340</t>
  </si>
  <si>
    <t>25</t>
  </si>
  <si>
    <t>Othercomprehensive(loss),netoftax</t>
  </si>
  <si>
    <t>(337)</t>
  </si>
  <si>
    <t>(20)</t>
  </si>
  <si>
    <t>(357)</t>
  </si>
  <si>
    <t>Cashdividendspaid-$1.60pershare</t>
  </si>
  <si>
    <t>3</t>
  </si>
  <si>
    <t>Stockoptionexercises,netoftaxes</t>
  </si>
  <si>
    <t>2</t>
  </si>
  <si>
    <t>Balance,December31,2022</t>
  </si>
  <si>
    <t>547</t>
  </si>
  <si>
    <t>3,147</t>
  </si>
  <si>
    <t>23,646</t>
  </si>
  <si>
    <t>(2,509)</t>
  </si>
  <si>
    <t>33</t>
  </si>
  <si>
    <t>24,317</t>
  </si>
  <si>
    <t>Othercomprehensiveincome(loss),netoftax</t>
  </si>
  <si>
    <t>22</t>
  </si>
  <si>
    <t>19</t>
  </si>
  <si>
    <t>Cashdividendspaid-$1.80pershare</t>
  </si>
  <si>
    <t>(2,697)</t>
  </si>
  <si>
    <t>(110)</t>
  </si>
  <si>
    <t>5</t>
  </si>
  <si>
    <t>Balance,December31,2023</t>
  </si>
  <si>
    <t>513</t>
  </si>
  <si>
    <t>(501)</t>
  </si>
  <si>
    <t>Cashdividendspaid-$2.00pershare</t>
  </si>
  <si>
    <t>(37)</t>
  </si>
  <si>
    <t>(2,347)</t>
  </si>
  <si>
    <t>(4)</t>
  </si>
  <si>
    <t>21</t>
  </si>
  <si>
    <t>(2)</t>
  </si>
  <si>
    <t>Balance,December31,2024</t>
  </si>
  <si>
    <t>478</t>
  </si>
  <si>
    <t>Othercomprehensiveincome(loss),netoftax:</t>
  </si>
  <si>
    <t>Foreigncurrencytranslationadjustment</t>
  </si>
  <si>
    <t>(415)</t>
  </si>
  <si>
    <t>48</t>
  </si>
  <si>
    <t>Taxeffect</t>
  </si>
  <si>
    <t>(45)</t>
  </si>
  <si>
    <t>32</t>
  </si>
  <si>
    <t>Netoftaxamount</t>
  </si>
  <si>
    <t>(460)</t>
  </si>
  <si>
    <t>80</t>
  </si>
  <si>
    <t>Pensionandotherpostretirementbenefitliabilitiesadjustment</t>
  </si>
  <si>
    <t>(88)</t>
  </si>
  <si>
    <t>(7)</t>
  </si>
  <si>
    <t>8</t>
  </si>
  <si>
    <t>(86)</t>
  </si>
  <si>
    <t>Deferredgain(loss)onhedgingactivities</t>
  </si>
  <si>
    <t>(41)</t>
  </si>
  <si>
    <t>9</t>
  </si>
  <si>
    <t>(5)</t>
  </si>
  <si>
    <t>(32)</t>
  </si>
  <si>
    <t>Unrealizedgain(loss)oninvestments</t>
  </si>
  <si>
    <t>(16)</t>
  </si>
  <si>
    <t>16</t>
  </si>
  <si>
    <t>Totalothercomprehensiveincome(loss),netoftax</t>
  </si>
  <si>
    <t>Comprehensiveincome(loss)</t>
  </si>
  <si>
    <t>1,278</t>
  </si>
  <si>
    <t>3,485</t>
  </si>
  <si>
    <t>Comprehensiveincome(loss)attributabletonon-controllinginterests</t>
  </si>
  <si>
    <t>Comprehensiveincome(loss)attributabletocontrollinginterests</t>
  </si>
  <si>
    <t>1,299</t>
  </si>
  <si>
    <t>3,505</t>
  </si>
  <si>
    <t>Income Statement</t>
  </si>
  <si>
    <t>Actuals</t>
  </si>
  <si>
    <t>Cost of products sold</t>
  </si>
  <si>
    <t>Gross Profit</t>
  </si>
  <si>
    <t>Selling, general, and administrative expenses</t>
  </si>
  <si>
    <t>Asset impairment, exit, and restructuring costs</t>
  </si>
  <si>
    <t>Equity in earnings of unconsolidated affiliates</t>
  </si>
  <si>
    <t>Interest and investment income</t>
  </si>
  <si>
    <t>Interest expense</t>
  </si>
  <si>
    <t>Other (income) expense - net</t>
  </si>
  <si>
    <t>Income tax expense</t>
  </si>
  <si>
    <t>Net Earnings Including Non-controlling Interests</t>
  </si>
  <si>
    <t>Net earnings (losses) attributable to non-controlling interests</t>
  </si>
  <si>
    <t>Net Earnings Attributable to Controlling Interests</t>
  </si>
  <si>
    <t>Weighted average number of shares outstanding – basic</t>
  </si>
  <si>
    <t>Weighted average number of shares outstanding – diluted</t>
  </si>
  <si>
    <t>Basic earnings per common share</t>
  </si>
  <si>
    <t>Diluted earnings per common share</t>
  </si>
  <si>
    <t>Year ended in Dec. 31</t>
  </si>
  <si>
    <t>(In millions, except per share amounts)</t>
  </si>
  <si>
    <t>Forecast</t>
  </si>
  <si>
    <t xml:space="preserve"> </t>
  </si>
  <si>
    <t>EBITDA</t>
  </si>
  <si>
    <t>Cash and cash equivalents</t>
  </si>
  <si>
    <t>Short-term marketable securities</t>
  </si>
  <si>
    <t>Segregated cash and investments</t>
  </si>
  <si>
    <t>Trade receivables - net</t>
  </si>
  <si>
    <t>Other current assets</t>
  </si>
  <si>
    <t>Total current assets</t>
  </si>
  <si>
    <t>Investments in and advances to affiliates</t>
  </si>
  <si>
    <t>Goodwill and other intangible assets</t>
  </si>
  <si>
    <t>Right-of-use assets</t>
  </si>
  <si>
    <t>Other assets</t>
  </si>
  <si>
    <t>Total investments and other assets</t>
  </si>
  <si>
    <t>Land and land improvements</t>
  </si>
  <si>
    <t>Machinery and equipment</t>
  </si>
  <si>
    <t>Construction in progress</t>
  </si>
  <si>
    <t>Balance Sheet</t>
  </si>
  <si>
    <t>Net earnings including non-controlling interests</t>
  </si>
  <si>
    <t>Adjustments to reconcile net earnings to net cash provided by operating activities</t>
  </si>
  <si>
    <t>Depreciation and amortization</t>
  </si>
  <si>
    <t>Impairment of goodwill, intangibles, long-lived assets, and investments</t>
  </si>
  <si>
    <t>Deferred income taxes</t>
  </si>
  <si>
    <t>Equity in earnings of affiliates, net of dividends</t>
  </si>
  <si>
    <t>Stock compensation expense</t>
  </si>
  <si>
    <t>Deferred cash flow hedges</t>
  </si>
  <si>
    <t>(Gain) loss on sales of assets and businesses / investment revaluation</t>
  </si>
  <si>
    <t>Other – net</t>
  </si>
  <si>
    <t>Changes in operating assets and liabilities, net of acquisitions and dispositions</t>
  </si>
  <si>
    <t>Segregated investments</t>
  </si>
  <si>
    <t>Trade receivables</t>
  </si>
  <si>
    <t>Trade payables</t>
  </si>
  <si>
    <t>Payables to brokerage customers</t>
  </si>
  <si>
    <t>Accrued expenses and other payables</t>
  </si>
  <si>
    <t>Net cash provided by operating activities</t>
  </si>
  <si>
    <t>Cash flows from investing activities</t>
  </si>
  <si>
    <t>Capital expenditures</t>
  </si>
  <si>
    <t>Net assets of businesses acquired</t>
  </si>
  <si>
    <t>Proceeds from sales of assets, businesses, and investments</t>
  </si>
  <si>
    <t>Investments in affiliates</t>
  </si>
  <si>
    <t>Purchases of marketable securities</t>
  </si>
  <si>
    <t>Proceeds from sales of marketable securities</t>
  </si>
  <si>
    <t>Cost method investments</t>
  </si>
  <si>
    <t>Net cash used in investing activities</t>
  </si>
  <si>
    <t>Cash flows from financing activities</t>
  </si>
  <si>
    <t>Long-term debt borrowings</t>
  </si>
  <si>
    <t>Long-term debt payments</t>
  </si>
  <si>
    <t>Net change in short-term debt</t>
  </si>
  <si>
    <t>Share repurchases</t>
  </si>
  <si>
    <t>Cash dividends</t>
  </si>
  <si>
    <t>Acquisition of non-controlling interests</t>
  </si>
  <si>
    <t>Net cash used in financing activities</t>
  </si>
  <si>
    <t>Effect of exchange rate on cash, cash equivalents, restricted cash, and restricted cash equivalents</t>
  </si>
  <si>
    <t>Net increase (decrease) in cash, cash equivalents, restricted cash, and restricted cash equivalents</t>
  </si>
  <si>
    <t>Cash, cash equivalents, restricted cash, and restricted cash equivalents – beginning of year</t>
  </si>
  <si>
    <t>Cash, cash equivalents, restricted cash, and restricted cash equivalents – end of year</t>
  </si>
  <si>
    <t>Reconciliation of cash, cash equivalents, restricted cash, and restricted cash equivalents to the Consolidated Balance Sheets</t>
  </si>
  <si>
    <t>Restricted cash and restricted cash equivalents included in segregated cash and investments</t>
  </si>
  <si>
    <t>Total cash, cash equivalents, restricted cash, and restricted cash equivalents</t>
  </si>
  <si>
    <t>Cash paid for interest and income taxes were as follows:</t>
  </si>
  <si>
    <t>Income taxes</t>
  </si>
  <si>
    <t>Cash Flows from Operating Activities</t>
  </si>
  <si>
    <t>Net Income</t>
  </si>
  <si>
    <t>(-) NCI Net Income</t>
  </si>
  <si>
    <t>Current Assets</t>
  </si>
  <si>
    <t>Investments and Other Assets</t>
  </si>
  <si>
    <t>Property, Plant, and Equipment - net</t>
  </si>
  <si>
    <t>Accumulated depreciation</t>
  </si>
  <si>
    <t>Net property, plant, and equipment</t>
  </si>
  <si>
    <t>Total Assets</t>
  </si>
  <si>
    <t>Liabilities, Temporary Equity, and Shareholders’ Equity</t>
  </si>
  <si>
    <t>Current Liabilities</t>
  </si>
  <si>
    <t>Short-term debt</t>
  </si>
  <si>
    <t>Current lease liabilities</t>
  </si>
  <si>
    <t>Current maturities of long-term debt</t>
  </si>
  <si>
    <t>Total current liabilities</t>
  </si>
  <si>
    <t>Long-Term Liabilities</t>
  </si>
  <si>
    <t>Long-term debt</t>
  </si>
  <si>
    <t>Non-current lease liabilities</t>
  </si>
  <si>
    <t>Total long-term liabilities</t>
  </si>
  <si>
    <t>Commitments and contingencies (See Note 20)</t>
  </si>
  <si>
    <t>Temporary Equity - Redeemable non-controlling interest</t>
  </si>
  <si>
    <t>Shareholders’ Equity</t>
  </si>
  <si>
    <t>Common stock</t>
  </si>
  <si>
    <t>Reinvested earnings</t>
  </si>
  <si>
    <t>Accumulated other comprehensive income (loss)</t>
  </si>
  <si>
    <t>Non-controlling interests</t>
  </si>
  <si>
    <t>Total shareholders’ equity</t>
  </si>
  <si>
    <t>Total Liabilities, Temporary Equity, and Shareholders’ Equity</t>
  </si>
  <si>
    <t>Growth Rates &amp; Margins</t>
  </si>
  <si>
    <t>Revenue Growth</t>
  </si>
  <si>
    <t>Tax Rate</t>
  </si>
  <si>
    <t>Memo: CAPEX</t>
  </si>
  <si>
    <t>2024</t>
  </si>
  <si>
    <t>2023</t>
  </si>
  <si>
    <t>Changes</t>
  </si>
  <si>
    <t>(1,683)</t>
  </si>
  <si>
    <t>(352)</t>
  </si>
  <si>
    <t>(2,039)</t>
  </si>
  <si>
    <t>76</t>
  </si>
  <si>
    <t>82</t>
  </si>
  <si>
    <t>(1,881)</t>
  </si>
  <si>
    <t>Gainsonsaleofassets</t>
  </si>
  <si>
    <t>6</t>
  </si>
  <si>
    <t>Assetimpairment,restructuring,andcontingencyprovisions</t>
  </si>
  <si>
    <t>146</t>
  </si>
  <si>
    <t>Railroadmaintenanceexpense</t>
  </si>
  <si>
    <t>Expensesrelatedtoacquisitions</t>
  </si>
  <si>
    <t>AdjustedEBITDA</t>
  </si>
  <si>
    <t>(1,731)</t>
  </si>
  <si>
    <t>Net earnings</t>
  </si>
  <si>
    <t>Earnings before income taxes</t>
  </si>
  <si>
    <t>Gains on sale of assets</t>
  </si>
  <si>
    <t>Asset impairment, restructuring, and contingency provisions</t>
  </si>
  <si>
    <t>Railroad maintenance expense</t>
  </si>
  <si>
    <t>Expenses related to acquisitions</t>
  </si>
  <si>
    <t>Adjusted EBITDA</t>
  </si>
  <si>
    <t>Reconciliation of Net Earnings</t>
  </si>
  <si>
    <t>(In millions)</t>
  </si>
  <si>
    <t>Operating Expenses as % of Revenues</t>
  </si>
  <si>
    <t>Operating expenses</t>
  </si>
  <si>
    <t>Gross Profit Margin</t>
  </si>
  <si>
    <t>Non current assets</t>
  </si>
  <si>
    <t>Operating Income Growth</t>
  </si>
  <si>
    <t>COGS Growth</t>
  </si>
  <si>
    <t>Property, Plant, and Equipment</t>
  </si>
  <si>
    <t>NCI Net income as % of Net Income</t>
  </si>
  <si>
    <t>Cash Flow Statement</t>
  </si>
  <si>
    <t>Cash Flows from Investing Activities</t>
  </si>
  <si>
    <t>Cash Flows from Financing Activities</t>
  </si>
  <si>
    <t>Inventory Turnover Ratio</t>
  </si>
  <si>
    <t>Memo: R&amp;D</t>
  </si>
  <si>
    <t>Agservices and Oilseed</t>
  </si>
  <si>
    <t>Operating Profit</t>
  </si>
  <si>
    <t>Earnings Before Income Taxes</t>
  </si>
  <si>
    <t>Memo: Amortization</t>
  </si>
  <si>
    <t>Materials and manufacturing (Agservices and Oil Seed)</t>
  </si>
  <si>
    <t>Gross Profit Margin for Agservices and Oilseeds segment</t>
  </si>
  <si>
    <t>Schedules</t>
  </si>
  <si>
    <t>Growth Rate:</t>
  </si>
  <si>
    <t>Accounts Receivable % of Revenue</t>
  </si>
  <si>
    <t>Inventory &amp; Other % of COGS:</t>
  </si>
  <si>
    <t>Accrued liabilities % of Total Expenses</t>
  </si>
  <si>
    <t>Capex % in Revenue</t>
  </si>
  <si>
    <t>D&amp;A % in Revenue</t>
  </si>
  <si>
    <t>Production volume of Oil seeds (In metric tons)</t>
  </si>
  <si>
    <t>Storage capacity of raw agriculture materials</t>
  </si>
  <si>
    <t>Revenue</t>
  </si>
  <si>
    <t>Correlation:</t>
  </si>
  <si>
    <t>Drivers</t>
  </si>
  <si>
    <t>Revenue per metric ton</t>
  </si>
  <si>
    <t>Growth Rate</t>
  </si>
  <si>
    <t>Processing Facilities  (in million metric tons)</t>
  </si>
  <si>
    <t>Procurement Facilities (in million metric tons)</t>
  </si>
  <si>
    <t>Storage capacity for raw agriculture materials (in million metric tons)</t>
  </si>
  <si>
    <t>Margin of Revenue for Agservices and oilseed segment</t>
  </si>
  <si>
    <t>AgServices and Oilseed -% of COGS to Revenue</t>
  </si>
  <si>
    <t>Net Change in Cash</t>
  </si>
  <si>
    <t>Reinvested Earnings - BOP</t>
  </si>
  <si>
    <t>Dividends</t>
  </si>
  <si>
    <t>Reinvested Earnings - EOP</t>
  </si>
  <si>
    <t>PP&amp;E - BOP</t>
  </si>
  <si>
    <t>(+)Capex</t>
  </si>
  <si>
    <t>(-)Depreciation</t>
  </si>
  <si>
    <t>PP&amp;E - EOP</t>
  </si>
  <si>
    <t>Memo: Depreciation</t>
  </si>
  <si>
    <t>Revolver</t>
  </si>
  <si>
    <t>Total Cash Flow before Revolver Borrowing</t>
  </si>
  <si>
    <t>Total Revolver Borrowing Needed</t>
  </si>
  <si>
    <t>Schedule</t>
  </si>
  <si>
    <t xml:space="preserve">Financial Ratios </t>
  </si>
  <si>
    <t>Change in accumulated depreciation</t>
  </si>
  <si>
    <t>Accumulated Depreciation to Total Assets</t>
  </si>
  <si>
    <t>Depreciation Schedule</t>
  </si>
  <si>
    <t>CAPEX</t>
  </si>
  <si>
    <t>Total CAPEX</t>
  </si>
  <si>
    <t>Depreciation</t>
  </si>
  <si>
    <t>Depreciation (New)</t>
  </si>
  <si>
    <t>Useful Life (Months)</t>
  </si>
  <si>
    <t>Total New D&amp;A</t>
  </si>
  <si>
    <t>Depreciation (Historical)</t>
  </si>
  <si>
    <t>Total Depreciation</t>
  </si>
  <si>
    <t>Fixed Assets</t>
  </si>
  <si>
    <t>Accumulated Depreciation</t>
  </si>
  <si>
    <t>Net Fixed Assets</t>
  </si>
  <si>
    <t>Operating Expenses</t>
  </si>
  <si>
    <t>Cash Flows from Operations</t>
  </si>
  <si>
    <t>Common Stock - BOP</t>
  </si>
  <si>
    <t>New Issuance of Common Stock</t>
  </si>
  <si>
    <t>Common Stock - EOP</t>
  </si>
  <si>
    <t>Debt-to-Equity</t>
  </si>
  <si>
    <t>Debt-to-Assets</t>
  </si>
  <si>
    <t>Property,Plant,andEquipment</t>
  </si>
  <si>
    <t>PPE&amp;E</t>
  </si>
  <si>
    <t>Current Ratio</t>
  </si>
  <si>
    <t>Memo: Interest Earned on Cash</t>
  </si>
  <si>
    <t>Memo: Interest Rate on Debt</t>
  </si>
  <si>
    <t>Assumptions 1</t>
  </si>
  <si>
    <t>Assumptions 2</t>
  </si>
  <si>
    <t>Period</t>
  </si>
  <si>
    <t>Free Cash Flow</t>
  </si>
  <si>
    <t>EBIT</t>
  </si>
  <si>
    <t>(*)1-TAX RATE</t>
  </si>
  <si>
    <t>(-)CAPEX</t>
  </si>
  <si>
    <t>(-)INCREASE IN WORKING CAPITAL</t>
  </si>
  <si>
    <t>(+)D&amp;A</t>
  </si>
  <si>
    <t>TERMINAL VALUE</t>
  </si>
  <si>
    <t>WACC</t>
  </si>
  <si>
    <t>FCF</t>
  </si>
  <si>
    <t>Total Capital</t>
  </si>
  <si>
    <t>Cost of Equity</t>
  </si>
  <si>
    <t>Cost of Debt</t>
  </si>
  <si>
    <t>Corporate Tax Rate</t>
  </si>
  <si>
    <t>PV of FCF</t>
  </si>
  <si>
    <t>PV of TV</t>
  </si>
  <si>
    <t>Market Value of Equity</t>
  </si>
  <si>
    <t>Market Value of Debt</t>
  </si>
  <si>
    <t>Discount Rate</t>
  </si>
  <si>
    <t>Beta</t>
  </si>
  <si>
    <t>Market Return</t>
  </si>
  <si>
    <t>10Y treasury</t>
  </si>
  <si>
    <t>Perpetuity growth</t>
  </si>
  <si>
    <t>Exit Multiple (EV/EBITDA)</t>
  </si>
  <si>
    <t>Average</t>
  </si>
  <si>
    <t>Discounting</t>
  </si>
  <si>
    <t>Discount Factor</t>
  </si>
  <si>
    <t>Enterprise value</t>
  </si>
  <si>
    <t>Enterprise Value to Equity Value</t>
  </si>
  <si>
    <t>Cash</t>
  </si>
  <si>
    <t>Marketable Securities</t>
  </si>
  <si>
    <t>Total Debt</t>
  </si>
  <si>
    <t>Equity Value</t>
  </si>
  <si>
    <t>Shares Outstanding</t>
  </si>
  <si>
    <t>Implied Shared Price</t>
  </si>
  <si>
    <t>(Figures are in billions)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</si>
</sst>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_);\(#,##0.0\)"/>
    <numFmt numFmtId="165" formatCode="&quot;FY&quot;\ yy"/>
    <numFmt numFmtId="166" formatCode="0.0_);\(0.0\)"/>
    <numFmt numFmtId="167" formatCode="#,##0.0"/>
    <numFmt numFmtId="168" formatCode="0.0%"/>
    <numFmt numFmtId="169" formatCode="0.00_);\(0.00\)"/>
    <numFmt numFmtId="170" formatCode="_(* #,##0_);_(* \(#,##0\);_(* &quot;-&quot;??_);_(@_)"/>
    <numFmt numFmtId="175" formatCode="0.0"/>
  </numFmts>
  <fonts count="35"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0"/>
      <color theme="1"/>
      <name val="Calibri"/>
      <family val="2"/>
      <scheme val="minor"/>
    </font>
    <font>
      <sz val="11"/>
      <color theme="1"/>
      <name val="Arial"/>
      <family val="2"/>
    </font>
    <font>
      <sz val="11"/>
      <color theme="1"/>
      <name val="Calibri Light"/>
      <family val="2"/>
      <scheme val="major"/>
    </font>
    <font>
      <b/>
      <sz val="11"/>
      <color theme="1"/>
      <name val="Calibri Light"/>
      <family val="2"/>
      <scheme val="major"/>
    </font>
    <font>
      <sz val="10"/>
      <color theme="1"/>
      <name val="Calibri Light"/>
      <family val="2"/>
      <scheme val="major"/>
    </font>
    <font>
      <sz val="11"/>
      <color theme="4"/>
      <name val="Calibri"/>
      <family val="2"/>
      <scheme val="minor"/>
    </font>
    <font>
      <sz val="11"/>
      <color theme="1"/>
      <name val="Calibri"/>
      <family val="2"/>
      <scheme val="minor"/>
    </font>
    <font>
      <sz val="9"/>
      <color indexed="81"/>
      <name val="Tahoma"/>
      <family val="2"/>
    </font>
    <font>
      <b/>
      <sz val="9"/>
      <color indexed="81"/>
      <name val="Tahoma"/>
      <family val="2"/>
    </font>
    <font>
      <i/>
      <sz val="11"/>
      <color theme="1"/>
      <name val="Arial"/>
      <family val="2"/>
    </font>
    <font>
      <i/>
      <sz val="11"/>
      <color theme="1"/>
      <name val="Calibri"/>
      <family val="2"/>
      <scheme val="minor"/>
    </font>
    <font>
      <b/>
      <sz val="11"/>
      <color theme="4"/>
      <name val="Calibri"/>
      <family val="2"/>
      <scheme val="minor"/>
    </font>
    <font>
      <b/>
      <sz val="9"/>
      <color rgb="FF000000"/>
      <name val="Tahoma"/>
      <family val="2"/>
    </font>
    <font>
      <sz val="9"/>
      <color rgb="FF000000"/>
      <name val="Tahoma"/>
      <family val="2"/>
    </font>
    <font>
      <sz val="10"/>
      <color rgb="FF000000"/>
      <name val="Tahoma"/>
      <family val="2"/>
    </font>
    <font>
      <b/>
      <sz val="10"/>
      <color rgb="FF000000"/>
      <name val="Tahoma"/>
      <family val="2"/>
    </font>
    <font>
      <sz val="10"/>
      <color rgb="FF000000"/>
      <name val="Calibri"/>
      <family val="2"/>
      <scheme val="minor"/>
    </font>
    <font>
      <sz val="9"/>
      <color rgb="FF000000"/>
      <name val="Tahoma"/>
      <family val="34"/>
    </font>
    <font>
      <sz val="10"/>
      <color rgb="FF000000"/>
      <name val="Calibri"/>
      <family val="2"/>
    </font>
    <font>
      <sz val="9"/>
      <color rgb="FF000000"/>
      <name val="Calibri"/>
      <family val="2"/>
    </font>
    <font>
      <b/>
      <sz val="14"/>
      <color theme="1"/>
      <name val="Calibri"/>
      <family val="2"/>
      <scheme val="minor"/>
    </font>
    <font>
      <u/>
      <sz val="11"/>
      <color theme="1"/>
      <name val="Calibri"/>
      <family val="2"/>
      <scheme val="minor"/>
    </font>
    <font>
      <sz val="11"/>
      <color rgb="FF0000CC"/>
      <name val="Calibri"/>
      <family val="2"/>
      <scheme val="minor"/>
    </font>
    <font>
      <i/>
      <u/>
      <sz val="11"/>
      <color theme="1"/>
      <name val="Calibri"/>
      <family val="2"/>
      <scheme val="minor"/>
    </font>
    <font>
      <sz val="11"/>
      <color theme="9"/>
      <name val="Calibri"/>
      <family val="2"/>
      <scheme val="minor"/>
    </font>
    <font>
      <sz val="11"/>
      <color rgb="FF00B0F0"/>
      <name val="Calibri"/>
      <family val="2"/>
      <scheme val="minor"/>
    </font>
    <font>
      <i/>
      <sz val="11"/>
      <color rgb="FF00B0F0"/>
      <name val="Calibri"/>
      <family val="2"/>
      <scheme val="minor"/>
    </font>
    <font>
      <b/>
      <sz val="11"/>
      <name val="Calibri"/>
      <family val="2"/>
      <scheme val="minor"/>
    </font>
    <font>
      <sz val="11"/>
      <name val="Calibri"/>
      <family val="2"/>
      <scheme val="minor"/>
    </font>
    <font>
      <b/>
      <i/>
      <sz val="11"/>
      <color theme="1"/>
      <name val="Calibri"/>
      <family val="2"/>
      <scheme val="minor"/>
    </font>
    <font>
      <sz val="11"/>
      <color rgb="FFC00000"/>
      <name val="Calibri"/>
      <family val="2"/>
      <scheme val="minor"/>
    </font>
  </fonts>
  <fills count="10">
    <fill>
      <patternFill patternType="none"/>
    </fill>
    <fill>
      <patternFill patternType="gray125"/>
    </fill>
    <fill>
      <patternFill patternType="solid">
        <fgColor theme="5"/>
        <bgColor indexed="64"/>
      </patternFill>
    </fill>
    <fill>
      <patternFill patternType="solid">
        <fgColor rgb="FF92D050"/>
        <bgColor indexed="64"/>
      </patternFill>
    </fill>
    <fill>
      <patternFill patternType="solid">
        <fgColor rgb="FF00B0F0"/>
        <bgColor indexed="64"/>
      </patternFill>
    </fill>
    <fill>
      <patternFill patternType="solid">
        <fgColor theme="7"/>
        <bgColor indexed="64"/>
      </patternFill>
    </fill>
    <fill>
      <patternFill patternType="solid">
        <fgColor theme="4" tint="0.79998168889431442"/>
        <bgColor theme="4" tint="0.79998168889431442"/>
      </patternFill>
    </fill>
    <fill>
      <patternFill patternType="solid">
        <fgColor theme="6" tint="0.59999389629810485"/>
        <bgColor indexed="64"/>
      </patternFill>
    </fill>
    <fill>
      <patternFill patternType="solid">
        <fgColor theme="4" tint="0.79998168889431442"/>
        <bgColor indexed="64"/>
      </patternFill>
    </fill>
    <fill>
      <patternFill patternType="solid">
        <fgColor theme="9" tint="0.79998168889431442"/>
        <bgColor indexed="64"/>
      </patternFill>
    </fill>
  </fills>
  <borders count="6">
    <border>
      <left/>
      <right/>
      <top/>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right/>
      <top/>
      <bottom style="thin">
        <color indexed="64"/>
      </bottom>
      <diagonal/>
    </border>
  </borders>
  <cellStyleXfs count="4">
    <xf numFmtId="0" fontId="0" fillId="0" borderId="0"/>
    <xf numFmtId="9"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cellStyleXfs>
  <cellXfs count="151">
    <xf numFmtId="0" fontId="0" fillId="0" borderId="0" xfId="0"/>
    <xf numFmtId="0" fontId="2" fillId="0" borderId="0" xfId="0" applyFont="1"/>
    <xf numFmtId="0" fontId="3" fillId="0" borderId="0" xfId="0" applyFont="1"/>
    <xf numFmtId="0" fontId="0" fillId="0" borderId="0" xfId="0" applyAlignment="1">
      <alignment horizontal="right" vertical="center"/>
    </xf>
    <xf numFmtId="0" fontId="3" fillId="0" borderId="0" xfId="0" applyFont="1" applyAlignment="1">
      <alignment horizontal="right" vertical="center"/>
    </xf>
    <xf numFmtId="0" fontId="0" fillId="0" borderId="0" xfId="0" applyAlignment="1">
      <alignment horizontal="left" indent="1"/>
    </xf>
    <xf numFmtId="0" fontId="3" fillId="0" borderId="0" xfId="0" applyFont="1" applyAlignment="1">
      <alignment horizontal="left" indent="1"/>
    </xf>
    <xf numFmtId="0" fontId="4" fillId="0" borderId="0" xfId="0" applyFont="1" applyAlignment="1">
      <alignment vertical="center"/>
    </xf>
    <xf numFmtId="0" fontId="2" fillId="0" borderId="0" xfId="0" applyFont="1" applyAlignment="1">
      <alignment horizontal="right" vertical="center"/>
    </xf>
    <xf numFmtId="0" fontId="5" fillId="0" borderId="0" xfId="0" applyFont="1"/>
    <xf numFmtId="0" fontId="5" fillId="0" borderId="0" xfId="0" applyFont="1" applyAlignment="1">
      <alignment horizontal="left" indent="1"/>
    </xf>
    <xf numFmtId="0" fontId="1" fillId="0" borderId="0" xfId="0" applyFont="1"/>
    <xf numFmtId="0" fontId="6" fillId="0" borderId="0" xfId="0" applyFont="1"/>
    <xf numFmtId="0" fontId="8" fillId="0" borderId="0" xfId="0" applyFont="1" applyAlignment="1">
      <alignment vertical="center"/>
    </xf>
    <xf numFmtId="0" fontId="7" fillId="0" borderId="0" xfId="0" applyFont="1"/>
    <xf numFmtId="0" fontId="7" fillId="0" borderId="0" xfId="0" applyFont="1" applyAlignment="1">
      <alignment horizontal="right" vertical="center"/>
    </xf>
    <xf numFmtId="0" fontId="14" fillId="0" borderId="0" xfId="0" applyFont="1"/>
    <xf numFmtId="0" fontId="14" fillId="0" borderId="0" xfId="0" applyFont="1" applyAlignment="1">
      <alignment horizontal="center"/>
    </xf>
    <xf numFmtId="0" fontId="1" fillId="0" borderId="1" xfId="0" applyFont="1" applyBorder="1"/>
    <xf numFmtId="39" fontId="0" fillId="0" borderId="0" xfId="0" applyNumberFormat="1"/>
    <xf numFmtId="39" fontId="9" fillId="0" borderId="0" xfId="0" applyNumberFormat="1" applyFont="1"/>
    <xf numFmtId="39" fontId="1" fillId="0" borderId="1" xfId="0" applyNumberFormat="1" applyFont="1" applyBorder="1"/>
    <xf numFmtId="39" fontId="15" fillId="0" borderId="1" xfId="0" applyNumberFormat="1" applyFont="1" applyBorder="1"/>
    <xf numFmtId="39" fontId="1" fillId="0" borderId="0" xfId="0" applyNumberFormat="1" applyFont="1"/>
    <xf numFmtId="39" fontId="15" fillId="0" borderId="0" xfId="0" applyNumberFormat="1" applyFont="1"/>
    <xf numFmtId="3" fontId="0" fillId="0" borderId="0" xfId="0" applyNumberFormat="1"/>
    <xf numFmtId="2" fontId="0" fillId="0" borderId="0" xfId="0" applyNumberFormat="1"/>
    <xf numFmtId="0" fontId="5" fillId="0" borderId="0" xfId="0" applyFont="1" applyAlignment="1">
      <alignment horizontal="left" indent="2"/>
    </xf>
    <xf numFmtId="3" fontId="6" fillId="0" borderId="0" xfId="0" applyNumberFormat="1" applyFont="1"/>
    <xf numFmtId="3" fontId="7" fillId="0" borderId="0" xfId="0" applyNumberFormat="1" applyFont="1"/>
    <xf numFmtId="0" fontId="7" fillId="0" borderId="1" xfId="0" applyFont="1" applyBorder="1"/>
    <xf numFmtId="3" fontId="7" fillId="0" borderId="1" xfId="0" applyNumberFormat="1" applyFont="1" applyBorder="1"/>
    <xf numFmtId="0" fontId="13" fillId="0" borderId="0" xfId="0" applyFont="1" applyAlignment="1">
      <alignment horizontal="left" indent="2"/>
    </xf>
    <xf numFmtId="0" fontId="0" fillId="0" borderId="2" xfId="0" applyBorder="1"/>
    <xf numFmtId="0" fontId="14" fillId="0" borderId="3" xfId="0" applyFont="1" applyBorder="1" applyAlignment="1">
      <alignment horizontal="center"/>
    </xf>
    <xf numFmtId="9" fontId="0" fillId="0" borderId="0" xfId="1" applyFont="1"/>
    <xf numFmtId="0" fontId="0" fillId="0" borderId="0" xfId="1" applyNumberFormat="1" applyFont="1"/>
    <xf numFmtId="168" fontId="0" fillId="0" borderId="0" xfId="1" applyNumberFormat="1" applyFont="1"/>
    <xf numFmtId="9" fontId="1" fillId="0" borderId="0" xfId="1" applyFont="1"/>
    <xf numFmtId="10" fontId="0" fillId="0" borderId="0" xfId="1" applyNumberFormat="1" applyFont="1"/>
    <xf numFmtId="0" fontId="0" fillId="0" borderId="4" xfId="0" applyBorder="1"/>
    <xf numFmtId="0" fontId="0" fillId="6" borderId="4" xfId="0" applyFill="1" applyBorder="1"/>
    <xf numFmtId="0" fontId="24" fillId="0" borderId="0" xfId="0" applyFont="1"/>
    <xf numFmtId="17" fontId="1" fillId="0" borderId="0" xfId="0" applyNumberFormat="1" applyFont="1" applyAlignment="1">
      <alignment horizontal="center"/>
    </xf>
    <xf numFmtId="17" fontId="0" fillId="0" borderId="0" xfId="0" applyNumberFormat="1"/>
    <xf numFmtId="0" fontId="1" fillId="7" borderId="0" xfId="0" applyFont="1" applyFill="1"/>
    <xf numFmtId="0" fontId="0" fillId="7" borderId="0" xfId="0" applyFill="1"/>
    <xf numFmtId="0" fontId="25" fillId="7" borderId="0" xfId="0" applyFont="1" applyFill="1"/>
    <xf numFmtId="0" fontId="25" fillId="0" borderId="0" xfId="0" applyFont="1"/>
    <xf numFmtId="170" fontId="1" fillId="0" borderId="0" xfId="2" applyNumberFormat="1" applyFont="1"/>
    <xf numFmtId="0" fontId="27" fillId="0" borderId="0" xfId="0" applyFont="1"/>
    <xf numFmtId="0" fontId="26" fillId="0" borderId="0" xfId="0" applyFont="1"/>
    <xf numFmtId="170" fontId="0" fillId="0" borderId="0" xfId="0" applyNumberFormat="1"/>
    <xf numFmtId="170" fontId="0" fillId="0" borderId="5" xfId="0" applyNumberFormat="1" applyBorder="1"/>
    <xf numFmtId="170" fontId="0" fillId="0" borderId="0" xfId="2" applyNumberFormat="1" applyFont="1"/>
    <xf numFmtId="170" fontId="26" fillId="0" borderId="0" xfId="2" applyNumberFormat="1" applyFont="1"/>
    <xf numFmtId="170" fontId="1" fillId="0" borderId="0" xfId="0" applyNumberFormat="1" applyFont="1"/>
    <xf numFmtId="168" fontId="28" fillId="0" borderId="0" xfId="1" applyNumberFormat="1" applyFont="1"/>
    <xf numFmtId="0" fontId="0" fillId="0" borderId="1" xfId="0" applyBorder="1"/>
    <xf numFmtId="170" fontId="0" fillId="0" borderId="1" xfId="2" applyNumberFormat="1" applyFont="1" applyBorder="1"/>
    <xf numFmtId="170" fontId="1" fillId="0" borderId="1" xfId="2" applyNumberFormat="1" applyFont="1" applyBorder="1"/>
    <xf numFmtId="169" fontId="0" fillId="0" borderId="0" xfId="0" applyNumberFormat="1"/>
    <xf numFmtId="170" fontId="0" fillId="0" borderId="1" xfId="0" applyNumberFormat="1" applyBorder="1"/>
    <xf numFmtId="0" fontId="1" fillId="5" borderId="0" xfId="0" applyFont="1" applyFill="1"/>
    <xf numFmtId="165" fontId="1" fillId="5" borderId="0" xfId="0" applyNumberFormat="1" applyFont="1" applyFill="1" applyAlignment="1">
      <alignment horizontal="center" vertical="center"/>
    </xf>
    <xf numFmtId="0" fontId="0" fillId="0" borderId="0" xfId="0" applyAlignment="1">
      <alignment horizontal="left" indent="2"/>
    </xf>
    <xf numFmtId="0" fontId="29" fillId="0" borderId="0" xfId="0" applyFont="1"/>
    <xf numFmtId="168" fontId="0" fillId="0" borderId="0" xfId="0" applyNumberFormat="1" applyAlignment="1">
      <alignment horizontal="left" indent="1"/>
    </xf>
    <xf numFmtId="0" fontId="14" fillId="0" borderId="0" xfId="0" applyFont="1" applyAlignment="1">
      <alignment horizontal="left" indent="2"/>
    </xf>
    <xf numFmtId="3" fontId="29" fillId="0" borderId="0" xfId="0" applyNumberFormat="1" applyFont="1"/>
    <xf numFmtId="0" fontId="0" fillId="0" borderId="0" xfId="0" applyAlignment="1">
      <alignment horizontal="left" indent="3"/>
    </xf>
    <xf numFmtId="168" fontId="0" fillId="0" borderId="0" xfId="0" applyNumberFormat="1"/>
    <xf numFmtId="168" fontId="29" fillId="0" borderId="0" xfId="1" applyNumberFormat="1" applyFont="1"/>
    <xf numFmtId="0" fontId="0" fillId="0" borderId="0" xfId="0" applyAlignment="1">
      <alignment vertical="center"/>
    </xf>
    <xf numFmtId="168" fontId="0" fillId="0" borderId="0" xfId="1" applyNumberFormat="1" applyFont="1" applyAlignment="1">
      <alignment vertical="center"/>
    </xf>
    <xf numFmtId="0" fontId="0" fillId="0" borderId="0" xfId="0" applyAlignment="1">
      <alignment vertical="center" wrapText="1"/>
    </xf>
    <xf numFmtId="168" fontId="0" fillId="0" borderId="0" xfId="1" applyNumberFormat="1" applyFont="1" applyAlignment="1">
      <alignment vertical="center" wrapText="1"/>
    </xf>
    <xf numFmtId="168" fontId="0" fillId="0" borderId="0" xfId="0" applyNumberFormat="1" applyAlignment="1">
      <alignment vertical="center"/>
    </xf>
    <xf numFmtId="0" fontId="1" fillId="0" borderId="0" xfId="0" applyFont="1" applyAlignment="1">
      <alignment horizontal="left" indent="1"/>
    </xf>
    <xf numFmtId="0" fontId="1" fillId="0" borderId="0" xfId="0" applyFont="1" applyAlignment="1">
      <alignment horizontal="left"/>
    </xf>
    <xf numFmtId="0" fontId="1" fillId="3" borderId="0" xfId="0" applyFont="1" applyFill="1"/>
    <xf numFmtId="165" fontId="1" fillId="3" borderId="0" xfId="0" applyNumberFormat="1" applyFont="1" applyFill="1" applyAlignment="1">
      <alignment horizontal="center" vertical="center"/>
    </xf>
    <xf numFmtId="164" fontId="29" fillId="0" borderId="0" xfId="0" applyNumberFormat="1" applyFont="1" applyAlignment="1">
      <alignment horizontal="right" vertical="center"/>
    </xf>
    <xf numFmtId="164" fontId="0" fillId="0" borderId="0" xfId="0" applyNumberFormat="1"/>
    <xf numFmtId="164" fontId="30" fillId="0" borderId="0" xfId="0" applyNumberFormat="1" applyFont="1" applyAlignment="1">
      <alignment horizontal="right" vertical="center"/>
    </xf>
    <xf numFmtId="164" fontId="29" fillId="0" borderId="0" xfId="0" applyNumberFormat="1" applyFont="1"/>
    <xf numFmtId="0" fontId="1" fillId="0" borderId="1" xfId="0" applyFont="1" applyBorder="1" applyAlignment="1">
      <alignment horizontal="left" indent="1"/>
    </xf>
    <xf numFmtId="164" fontId="1" fillId="0" borderId="1" xfId="0" applyNumberFormat="1" applyFont="1" applyBorder="1"/>
    <xf numFmtId="164" fontId="1" fillId="0" borderId="1" xfId="0" applyNumberFormat="1" applyFont="1" applyBorder="1" applyAlignment="1">
      <alignment horizontal="right" vertical="center"/>
    </xf>
    <xf numFmtId="164" fontId="0" fillId="0" borderId="0" xfId="0" applyNumberFormat="1" applyAlignment="1">
      <alignment horizontal="right" vertical="center"/>
    </xf>
    <xf numFmtId="164" fontId="1" fillId="0" borderId="0" xfId="0" applyNumberFormat="1" applyFont="1" applyAlignment="1">
      <alignment horizontal="right" vertical="center"/>
    </xf>
    <xf numFmtId="0" fontId="1" fillId="0" borderId="1" xfId="0" applyFont="1" applyBorder="1" applyAlignment="1">
      <alignment horizontal="left"/>
    </xf>
    <xf numFmtId="0" fontId="14" fillId="0" borderId="0" xfId="0" applyFont="1" applyAlignment="1">
      <alignment horizontal="left"/>
    </xf>
    <xf numFmtId="10" fontId="29" fillId="0" borderId="0" xfId="1" applyNumberFormat="1" applyFont="1"/>
    <xf numFmtId="2" fontId="29" fillId="0" borderId="0" xfId="0" applyNumberFormat="1" applyFont="1"/>
    <xf numFmtId="0" fontId="1" fillId="2" borderId="0" xfId="0" applyFont="1" applyFill="1" applyAlignment="1">
      <alignment horizontal="left"/>
    </xf>
    <xf numFmtId="165" fontId="1" fillId="2" borderId="0" xfId="0" applyNumberFormat="1" applyFont="1" applyFill="1" applyAlignment="1">
      <alignment horizontal="center" vertical="center"/>
    </xf>
    <xf numFmtId="166" fontId="29" fillId="0" borderId="0" xfId="0" applyNumberFormat="1" applyFont="1"/>
    <xf numFmtId="166" fontId="0" fillId="0" borderId="0" xfId="0" applyNumberFormat="1"/>
    <xf numFmtId="166" fontId="31" fillId="0" borderId="1" xfId="0" applyNumberFormat="1" applyFont="1" applyBorder="1"/>
    <xf numFmtId="166" fontId="9" fillId="0" borderId="0" xfId="0" applyNumberFormat="1" applyFont="1"/>
    <xf numFmtId="0" fontId="1" fillId="0" borderId="0" xfId="0" applyFont="1" applyAlignment="1">
      <alignment horizontal="left" indent="2"/>
    </xf>
    <xf numFmtId="166" fontId="29" fillId="0" borderId="0" xfId="0" applyNumberFormat="1" applyFont="1" applyAlignment="1">
      <alignment horizontal="right"/>
    </xf>
    <xf numFmtId="166" fontId="32" fillId="0" borderId="1" xfId="0" applyNumberFormat="1" applyFont="1" applyBorder="1"/>
    <xf numFmtId="166" fontId="31" fillId="0" borderId="0" xfId="0" applyNumberFormat="1" applyFont="1"/>
    <xf numFmtId="166" fontId="1" fillId="0" borderId="1" xfId="0" applyNumberFormat="1" applyFont="1" applyBorder="1"/>
    <xf numFmtId="167" fontId="0" fillId="0" borderId="0" xfId="0" applyNumberFormat="1"/>
    <xf numFmtId="0" fontId="1" fillId="4" borderId="0" xfId="0" applyFont="1" applyFill="1" applyAlignment="1">
      <alignment horizontal="left"/>
    </xf>
    <xf numFmtId="165" fontId="1" fillId="4" borderId="0" xfId="0" applyNumberFormat="1" applyFont="1" applyFill="1" applyAlignment="1">
      <alignment horizontal="center" vertical="center"/>
    </xf>
    <xf numFmtId="165" fontId="1" fillId="0" borderId="0" xfId="0" applyNumberFormat="1" applyFont="1" applyAlignment="1">
      <alignment horizontal="center" vertical="center"/>
    </xf>
    <xf numFmtId="39" fontId="0" fillId="0" borderId="0" xfId="0" applyNumberFormat="1" applyAlignment="1">
      <alignment horizontal="right" vertical="center"/>
    </xf>
    <xf numFmtId="3" fontId="32" fillId="0" borderId="0" xfId="0" applyNumberFormat="1" applyFont="1"/>
    <xf numFmtId="0" fontId="1" fillId="0" borderId="1" xfId="0" applyFont="1" applyBorder="1" applyAlignment="1">
      <alignment horizontal="left" indent="2"/>
    </xf>
    <xf numFmtId="0" fontId="31" fillId="0" borderId="1" xfId="0" applyFont="1" applyBorder="1" applyAlignment="1">
      <alignment horizontal="left" indent="2"/>
    </xf>
    <xf numFmtId="166" fontId="1" fillId="0" borderId="0" xfId="0" applyNumberFormat="1" applyFont="1"/>
    <xf numFmtId="9" fontId="29" fillId="0" borderId="0" xfId="1" applyFont="1"/>
    <xf numFmtId="0" fontId="1" fillId="0" borderId="0" xfId="0" applyFont="1" applyAlignment="1">
      <alignment horizontal="center" vertical="center"/>
    </xf>
    <xf numFmtId="0" fontId="1" fillId="0" borderId="0" xfId="0" applyFont="1" applyAlignment="1">
      <alignment horizontal="center"/>
    </xf>
    <xf numFmtId="0" fontId="7" fillId="0" borderId="0" xfId="0" applyFont="1" applyAlignment="1">
      <alignment horizontal="center" vertical="center"/>
    </xf>
    <xf numFmtId="0" fontId="14" fillId="0" borderId="0" xfId="0" applyFont="1" applyAlignment="1">
      <alignment horizontal="center"/>
    </xf>
    <xf numFmtId="0" fontId="0" fillId="8" borderId="0" xfId="0" applyFill="1"/>
    <xf numFmtId="0" fontId="1" fillId="0" borderId="0" xfId="0" applyFont="1" applyBorder="1"/>
    <xf numFmtId="0" fontId="0" fillId="0" borderId="0" xfId="0" applyBorder="1"/>
    <xf numFmtId="0" fontId="33" fillId="8" borderId="0" xfId="0" applyFont="1" applyFill="1" applyBorder="1"/>
    <xf numFmtId="0" fontId="33" fillId="8" borderId="0" xfId="0" applyFont="1" applyFill="1"/>
    <xf numFmtId="0" fontId="33" fillId="0" borderId="0" xfId="0" applyFont="1" applyFill="1"/>
    <xf numFmtId="0" fontId="0" fillId="0" borderId="0" xfId="0" applyFill="1"/>
    <xf numFmtId="0" fontId="1" fillId="0" borderId="1" xfId="0" applyFont="1" applyFill="1" applyBorder="1"/>
    <xf numFmtId="0" fontId="1" fillId="0" borderId="0" xfId="0" applyFont="1" applyFill="1" applyBorder="1"/>
    <xf numFmtId="0" fontId="33" fillId="0" borderId="0" xfId="0" applyFont="1" applyFill="1" applyBorder="1"/>
    <xf numFmtId="175" fontId="0" fillId="0" borderId="0" xfId="0" applyNumberFormat="1"/>
    <xf numFmtId="10" fontId="0" fillId="0" borderId="0" xfId="0" applyNumberFormat="1"/>
    <xf numFmtId="0" fontId="0" fillId="9" borderId="0" xfId="0" applyFill="1"/>
    <xf numFmtId="9" fontId="0" fillId="0" borderId="0" xfId="0" applyNumberFormat="1"/>
    <xf numFmtId="9" fontId="29" fillId="0" borderId="0" xfId="0" applyNumberFormat="1" applyFont="1"/>
    <xf numFmtId="10" fontId="29" fillId="0" borderId="0" xfId="0" applyNumberFormat="1" applyFont="1"/>
    <xf numFmtId="0" fontId="29" fillId="0" borderId="0" xfId="3" applyNumberFormat="1" applyFont="1"/>
    <xf numFmtId="175" fontId="0" fillId="0" borderId="1" xfId="0" applyNumberFormat="1" applyBorder="1"/>
    <xf numFmtId="166" fontId="0" fillId="0" borderId="1" xfId="0" applyNumberFormat="1" applyBorder="1"/>
    <xf numFmtId="10" fontId="1" fillId="0" borderId="1" xfId="1" applyNumberFormat="1" applyFont="1" applyBorder="1" applyAlignment="1">
      <alignment horizontal="right"/>
    </xf>
    <xf numFmtId="0" fontId="1" fillId="8" borderId="0" xfId="0" applyFont="1" applyFill="1"/>
    <xf numFmtId="1" fontId="0" fillId="0" borderId="0" xfId="0" applyNumberFormat="1"/>
    <xf numFmtId="0" fontId="0" fillId="8" borderId="0" xfId="0" applyNumberFormat="1" applyFont="1" applyFill="1" applyAlignment="1">
      <alignment horizontal="center" vertical="center"/>
    </xf>
    <xf numFmtId="0" fontId="0" fillId="8" borderId="0" xfId="0" applyFill="1" applyAlignment="1">
      <alignment horizontal="center"/>
    </xf>
    <xf numFmtId="175" fontId="0" fillId="0" borderId="0" xfId="0" applyNumberFormat="1" applyBorder="1"/>
    <xf numFmtId="0" fontId="0" fillId="0" borderId="0" xfId="0" applyFont="1"/>
    <xf numFmtId="3" fontId="0" fillId="0" borderId="0" xfId="0" applyNumberFormat="1" applyFont="1"/>
    <xf numFmtId="0" fontId="34" fillId="0" borderId="0" xfId="3" applyNumberFormat="1" applyFont="1"/>
    <xf numFmtId="166" fontId="34" fillId="0" borderId="0" xfId="0" applyNumberFormat="1" applyFont="1"/>
    <xf numFmtId="10" fontId="34" fillId="0" borderId="0" xfId="1" applyNumberFormat="1" applyFont="1"/>
    <xf numFmtId="175" fontId="34" fillId="0" borderId="0" xfId="0" applyNumberFormat="1" applyFont="1"/>
  </cellXfs>
  <cellStyles count="4">
    <cellStyle name="Comma" xfId="2" builtinId="3"/>
    <cellStyle name="Currency" xfId="3" builtinId="4"/>
    <cellStyle name="Normal" xfId="0" builtinId="0"/>
    <cellStyle name="Percent" xfId="1" builtinId="5"/>
  </cellStyles>
  <dxfs count="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theme="1"/>
        <name val="Times New Roman"/>
        <family val="1"/>
        <scheme val="none"/>
      </font>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numFmt numFmtId="0" formatCode="General"/>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numFmt numFmtId="0" formatCode="General"/>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numFmt numFmtId="0" formatCode="General"/>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alignment horizontal="righ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numFmt numFmtId="0" formatCode="General"/>
    </dxf>
    <dxf>
      <font>
        <b/>
        <i val="0"/>
        <strike val="0"/>
        <condense val="0"/>
        <extend val="0"/>
        <outline val="0"/>
        <shadow val="0"/>
        <u val="none"/>
        <vertAlign val="baseline"/>
        <sz val="11"/>
        <color theme="1"/>
        <name val="Aptos Narrow"/>
        <family val="2"/>
        <scheme val="minor"/>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headers="0" connectionId="5" xr16:uid="{6FC85757-0546-4CA6-BC59-7894E2BB2DB9}" autoFormatId="16" applyNumberFormats="0" applyBorderFormats="0" applyFontFormats="0" applyPatternFormats="0" applyAlignmentFormats="0" applyWidthHeightFormats="0">
  <queryTableRefresh headersInLastRefresh="0" nextId="6" unboundColumnsRight="1">
    <queryTableFields count="4">
      <queryTableField id="1" name="TableofContents" tableColumnId="1"/>
      <queryTableField id="2" dataBound="0" tableColumnId="2"/>
      <queryTableField id="3" name="Column7" tableColumnId="3"/>
      <queryTableField id="4" dataBound="0" tableColumnId="4"/>
    </queryTableFields>
    <queryTableDeletedFields count="2">
      <deletedField name="Column5"/>
      <deletedField name="Column9"/>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headers="0" connectionId="4" xr16:uid="{F4B45DB0-01D1-40B5-85CD-C6CD98EC19CB}" autoFormatId="16" applyNumberFormats="0" applyBorderFormats="0" applyFontFormats="0" applyPatternFormats="0" applyAlignmentFormats="0" applyWidthHeightFormats="0">
  <queryTableRefresh headersInLastRefresh="0" nextId="6" unboundColumnsRight="1">
    <queryTableFields count="4">
      <queryTableField id="1" name="TableofContents" tableColumnId="1"/>
      <queryTableField id="2" dataBound="0" tableColumnId="2"/>
      <queryTableField id="3" name="Column7" tableColumnId="3"/>
      <queryTableField id="4" dataBound="0" tableColumnId="4"/>
    </queryTableFields>
    <queryTableDeletedFields count="2">
      <deletedField name="Column5"/>
      <deletedField name="Column9"/>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1" xr16:uid="{B3508B8E-15E3-4E6C-832C-F0743725F49C}" autoFormatId="16" applyNumberFormats="0" applyBorderFormats="0" applyFontFormats="0" applyPatternFormats="0" applyAlignmentFormats="0" applyWidthHeightFormats="0">
  <queryTableRefresh nextId="6">
    <queryTableFields count="3">
      <queryTableField id="1" name="Column1" tableColumnId="1"/>
      <queryTableField id="3" name="Column3" tableColumnId="3"/>
      <queryTableField id="5" name="Column5" tableColumnId="5"/>
    </queryTableFields>
    <queryTableDeletedFields count="2">
      <deletedField name="Column2"/>
      <deletedField name="Column4"/>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7" xr16:uid="{F804509C-104B-4F10-B374-E67E3EE4C566}" autoFormatId="16" applyNumberFormats="0" applyBorderFormats="0" applyFontFormats="0" applyPatternFormats="0" applyAlignmentFormats="0" applyWidthHeightFormats="0">
  <queryTableRefresh nextId="4">
    <queryTableFields count="3">
      <queryTableField id="1" name="TableofContents" tableColumnId="1"/>
      <queryTableField id="2" name="Column5" tableColumnId="2"/>
      <queryTableField id="3" name="Column7"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8" xr16:uid="{0F23F87A-47DC-48E5-87ED-036F2F2DBD17}" autoFormatId="16" applyNumberFormats="0" applyBorderFormats="0" applyFontFormats="0" applyPatternFormats="0" applyAlignmentFormats="0" applyWidthHeightFormats="0">
  <queryTableRefresh nextId="5">
    <queryTableFields count="4">
      <queryTableField id="1" name="TableofContents" tableColumnId="1"/>
      <queryTableField id="2" name="Column7" tableColumnId="2"/>
      <queryTableField id="3" name="Column9" tableColumnId="3"/>
      <queryTableField id="4" name="Column11"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43520956-FF67-40BA-B01A-5BA3FF704139}" autoFormatId="16" applyNumberFormats="0" applyBorderFormats="0" applyFontFormats="0" applyPatternFormats="0" applyAlignmentFormats="0" applyWidthHeightFormats="0">
  <queryTableRefresh nextId="5">
    <queryTableFields count="4">
      <queryTableField id="1" name="TableofContents" tableColumnId="1"/>
      <queryTableField id="2" name="Column6" tableColumnId="2"/>
      <queryTableField id="3" name="Column8" tableColumnId="3"/>
      <queryTableField id="4" name="Column11"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 xr16:uid="{5265074F-95D9-4FC4-9314-BEE7DFA4EBBF}" autoFormatId="16" applyNumberFormats="0" applyBorderFormats="0" applyFontFormats="0" applyPatternFormats="0" applyAlignmentFormats="0" applyWidthHeightFormats="0">
  <queryTableRefresh nextId="5">
    <queryTableFields count="4">
      <queryTableField id="1" name="TableofContents" tableColumnId="1"/>
      <queryTableField id="2" name="Column5" tableColumnId="2"/>
      <queryTableField id="3" name="Column7" tableColumnId="3"/>
      <queryTableField id="4" name="Column9" tableColumnId="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5" connectionId="9" xr16:uid="{FC5ED9F4-D788-4E14-B975-59BFBEE823FF}" autoFormatId="16" applyNumberFormats="0" applyBorderFormats="0" applyFontFormats="0" applyPatternFormats="0" applyAlignmentFormats="0" applyWidthHeightFormats="0">
  <queryTableRefresh nextId="18">
    <queryTableFields count="16">
      <queryTableField id="1" name="Column1" tableColumnId="1"/>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s>
    <queryTableDeletedFields count="1">
      <deletedField name="Column2"/>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643F7946-A61B-4EAA-9B6C-FB173AA15569}" autoFormatId="16" applyNumberFormats="0" applyBorderFormats="0" applyFontFormats="0" applyPatternFormats="0" applyAlignmentFormats="0" applyWidthHeightFormats="0">
  <queryTableRefresh nextId="5">
    <queryTableFields count="4">
      <queryTableField id="1" name="Column1" tableColumnId="1"/>
      <queryTableField id="2" name="2024" tableColumnId="2"/>
      <queryTableField id="3" name="2023" tableColumnId="3"/>
      <queryTableField id="4" name="Change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D828CB3-C5CE-4F61-82A0-19154E8D9936}" name="Page1637897" displayName="Page1637897" ref="B5:E72" tableType="queryTable" headerRowCount="0" totalsRowShown="0" headerRowDxfId="49" dataDxfId="48">
  <tableColumns count="4">
    <tableColumn id="1" xr3:uid="{D373548E-5B79-4723-8ACC-7CE7E668F82E}" uniqueName="1" name="Income Statement" queryTableFieldId="1" headerRowDxfId="47" dataDxfId="46"/>
    <tableColumn id="2" xr3:uid="{62B3B21F-3251-4D5D-A264-7CB767EC75CC}" uniqueName="2" name="2024" queryTableFieldId="2" headerRowDxfId="45" dataDxfId="44"/>
    <tableColumn id="3" xr3:uid="{30351BF2-4C30-4618-A8E7-B733722CD14D}" uniqueName="3" name="2023" queryTableFieldId="3" headerRowDxfId="43" dataDxfId="42"/>
    <tableColumn id="4" xr3:uid="{FD2F7E25-E87A-4ECA-A9F3-437555037B80}" uniqueName="4" name="2022" queryTableFieldId="4" headerRowDxfId="41" dataDxfId="4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EC73EF9-DB6B-43D9-9F4E-6FB86736DF04}" name="Page163789" displayName="Page163789" ref="B5:E25" tableType="queryTable" headerRowCount="0" totalsRowShown="0" headerRowDxfId="39" dataDxfId="38">
  <tableColumns count="4">
    <tableColumn id="1" xr3:uid="{C819FD2B-2F6E-462E-91AE-BCDAFC30B60C}" uniqueName="1" name="Income Statement" queryTableFieldId="1" headerRowDxfId="37" dataDxfId="36"/>
    <tableColumn id="2" xr3:uid="{6462C35B-3171-42D2-B9FC-95FEE2BD3355}" uniqueName="2" name="2024" queryTableFieldId="2" headerRowDxfId="35" dataDxfId="34"/>
    <tableColumn id="3" xr3:uid="{6E8FEAA6-83C1-44F6-BE22-5ABBC044E7BE}" uniqueName="3" name="2023" queryTableFieldId="3" headerRowDxfId="33" dataDxfId="32"/>
    <tableColumn id="4" xr3:uid="{D693E1D4-FD53-4A46-99C1-8AE73DB2383A}" uniqueName="4" name="2022" queryTableFieldId="4" headerRowDxfId="31" dataDxfId="3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7AC77F1-572B-4D91-8855-60EABE97C90D}" name="Table211__Page_165" displayName="Table211__Page_165" ref="A1:C32" tableType="queryTable" totalsRowShown="0">
  <autoFilter ref="A1:C32" xr:uid="{B7AC77F1-572B-4D91-8855-60EABE97C90D}"/>
  <tableColumns count="3">
    <tableColumn id="1" xr3:uid="{A5F84AA3-24EB-4609-AB48-3BA0CD9F4284}" uniqueName="1" name="Column1" queryTableFieldId="1" dataDxfId="50"/>
    <tableColumn id="3" xr3:uid="{88AE066A-95B1-479A-9D2F-870FF7C88CEF}" uniqueName="3" name="Column3" queryTableFieldId="3"/>
    <tableColumn id="5" xr3:uid="{1DCA1F0F-D63D-4CEC-9AF0-346AE7C3FB14}" uniqueName="5" name="Column5" queryTableField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3B1CA3-3029-4EED-B4F7-65596B937DFA}" name="Page165" displayName="Page165" ref="A1:C49" tableType="queryTable" totalsRowShown="0">
  <autoFilter ref="A1:C49" xr:uid="{293B1CA3-3029-4EED-B4F7-65596B937DFA}"/>
  <tableColumns count="3">
    <tableColumn id="1" xr3:uid="{A9D290DB-9F18-4B03-AFFB-E230BB9F3CDA}" uniqueName="1" name="TableofContents" queryTableFieldId="1" dataDxfId="29"/>
    <tableColumn id="2" xr3:uid="{B02A70CA-3B0C-418C-AE8E-A06B024FB75D}" uniqueName="2" name="Column5" queryTableFieldId="2" dataDxfId="28"/>
    <tableColumn id="3" xr3:uid="{3DF5E497-64FF-42B0-92B6-AD1EC18096F6}" uniqueName="3" name="Column7" queryTableFieldId="3" dataDxfId="2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A5DB82-2FF7-4BB7-A938-B0BE763EC35B}" name="Page166" displayName="Page166" ref="A1:D51" tableType="queryTable" totalsRowShown="0">
  <autoFilter ref="A1:D51" xr:uid="{78A5DB82-2FF7-4BB7-A938-B0BE763EC35B}"/>
  <tableColumns count="4">
    <tableColumn id="1" xr3:uid="{F71F302E-3566-4241-829E-959DF1C7DDAC}" uniqueName="1" name="TableofContents" queryTableFieldId="1" dataDxfId="26"/>
    <tableColumn id="2" xr3:uid="{9420409F-EDFE-4B69-90D8-740605954912}" uniqueName="2" name="Column7" queryTableFieldId="2" dataDxfId="25"/>
    <tableColumn id="3" xr3:uid="{01F55291-C2ED-444E-8803-6DD6A636E6AC}" uniqueName="3" name="Column9" queryTableFieldId="3" dataDxfId="24"/>
    <tableColumn id="4" xr3:uid="{577EBBD4-5D6A-4D42-A1E3-4FF0CD0BE271}" uniqueName="4" name="Column11" queryTableFieldId="4" dataDxfId="2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CD92E7-18B4-4F01-A7DD-51292CC7B433}" name="Page164" displayName="Page164" ref="A1:D19" tableType="queryTable" totalsRowShown="0">
  <autoFilter ref="A1:D19" xr:uid="{40CD92E7-18B4-4F01-A7DD-51292CC7B433}"/>
  <tableColumns count="4">
    <tableColumn id="1" xr3:uid="{0A04D53C-CDF5-4D44-9F0F-17E87CF6070D}" uniqueName="1" name="TableofContents" queryTableFieldId="1" dataDxfId="22"/>
    <tableColumn id="2" xr3:uid="{2F4EB3A4-EC8B-454E-81D3-426625D12530}" uniqueName="2" name="Column6" queryTableFieldId="2" dataDxfId="21"/>
    <tableColumn id="3" xr3:uid="{865B8C42-4A07-4E88-9772-6CB0A6AB7BA0}" uniqueName="3" name="Column8" queryTableFieldId="3" dataDxfId="20"/>
    <tableColumn id="4" xr3:uid="{866CFC1A-CB40-42B0-B67B-5CB39E98BFE5}" uniqueName="4" name="Column11" queryTableFieldId="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E4B580-F89E-4127-9FCB-E24DC48E50EF}" name="Page163" displayName="Page163" ref="A1:D19" tableType="queryTable" totalsRowShown="0">
  <autoFilter ref="A1:D19" xr:uid="{1EE4B580-F89E-4127-9FCB-E24DC48E50EF}"/>
  <tableColumns count="4">
    <tableColumn id="1" xr3:uid="{1B2EE54A-5174-4CE0-92AC-A5ECAC0D9B10}" uniqueName="1" name="TableofContents" queryTableFieldId="1" dataDxfId="19"/>
    <tableColumn id="2" xr3:uid="{FC879CEE-BD40-4E6B-8841-93C81F1EBDF8}" uniqueName="2" name="Column5" queryTableFieldId="2"/>
    <tableColumn id="3" xr3:uid="{D62F95F8-B812-40B9-A770-18DB73E1D011}" uniqueName="3" name="Column7" queryTableFieldId="3" dataDxfId="18"/>
    <tableColumn id="4" xr3:uid="{75EE7613-8977-4FED-A37D-9F7DBD53AB23}" uniqueName="4" name="Column9" queryTableFieldId="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7CFB5F-B1D3-4383-8148-6AED05242A4A}" name="Page167" displayName="Page167" ref="A1:P28" tableType="queryTable" totalsRowShown="0">
  <autoFilter ref="A1:P28" xr:uid="{C17CFB5F-B1D3-4383-8148-6AED05242A4A}"/>
  <tableColumns count="16">
    <tableColumn id="1" xr3:uid="{57C9F42D-3FA7-4145-A260-D3315B1C7DA6}" uniqueName="1" name="Column1" queryTableFieldId="1" dataDxfId="17"/>
    <tableColumn id="3" xr3:uid="{6F9F78F7-399D-4EF3-AFF7-4CE50CFAB458}" uniqueName="3" name="Column3" queryTableFieldId="3" dataDxfId="16"/>
    <tableColumn id="4" xr3:uid="{AFD660FA-8234-46B0-8437-F08B7D827422}" uniqueName="4" name="Column4" queryTableFieldId="4" dataDxfId="15"/>
    <tableColumn id="5" xr3:uid="{EECBE851-0D7E-4192-8783-C1A8C578A70E}" uniqueName="5" name="Column5" queryTableFieldId="5" dataDxfId="14"/>
    <tableColumn id="6" xr3:uid="{FABC7917-565A-4306-B45B-BF40D7029130}" uniqueName="6" name="Column6" queryTableFieldId="6" dataDxfId="13"/>
    <tableColumn id="7" xr3:uid="{DC670BA5-6E7C-43CE-BBAC-C12E9EE790AA}" uniqueName="7" name="Column7" queryTableFieldId="7" dataDxfId="12"/>
    <tableColumn id="8" xr3:uid="{CADE2D95-CAB1-4905-B7F8-1552EBDAD0DB}" uniqueName="8" name="Column8" queryTableFieldId="8" dataDxfId="11"/>
    <tableColumn id="9" xr3:uid="{3D648838-A16F-407A-B8EA-C223F259606B}" uniqueName="9" name="Column9" queryTableFieldId="9" dataDxfId="10"/>
    <tableColumn id="10" xr3:uid="{E6D4BF45-5A58-4B6E-A056-5CC1A76AD425}" uniqueName="10" name="Column10" queryTableFieldId="10" dataDxfId="9"/>
    <tableColumn id="11" xr3:uid="{8BC9EADD-F6DF-42DE-9201-DAF6D2CCA9FC}" uniqueName="11" name="Column11" queryTableFieldId="11" dataDxfId="8"/>
    <tableColumn id="12" xr3:uid="{A1136090-67AA-4713-AA44-E87E0C8D5E57}" uniqueName="12" name="Column12" queryTableFieldId="12" dataDxfId="7"/>
    <tableColumn id="13" xr3:uid="{FF653A70-81E7-4032-B626-3BD2893F69EE}" uniqueName="13" name="Column13" queryTableFieldId="13" dataDxfId="6"/>
    <tableColumn id="14" xr3:uid="{5818FC3B-ABF6-4612-99D1-A16ECEEE2108}" uniqueName="14" name="Column14" queryTableFieldId="14" dataDxfId="5"/>
    <tableColumn id="15" xr3:uid="{593390C0-7CCA-4314-A9E1-A06C263DED1C}" uniqueName="15" name="Column15" queryTableFieldId="15" dataDxfId="4"/>
    <tableColumn id="16" xr3:uid="{A6D2F8D1-CA58-4388-9BC7-B8F654A50044}" uniqueName="16" name="Column16" queryTableFieldId="16" dataDxfId="3"/>
    <tableColumn id="17" xr3:uid="{C9F10158-7FE3-4F75-8E0B-C13BA978D2BD}" uniqueName="17" name="Column17" queryTableFieldId="17" dataDxfId="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4B8A6C-7291-47D8-BD61-97089CBAFB79}" name="Table185__Page_153" displayName="Table185__Page_153" ref="A1:D13" tableType="queryTable" totalsRowShown="0">
  <autoFilter ref="A1:D13" xr:uid="{844B8A6C-7291-47D8-BD61-97089CBAFB79}"/>
  <tableColumns count="4">
    <tableColumn id="1" xr3:uid="{EAFA1FB9-E48B-44BD-B811-F0C2E598457F}" uniqueName="1" name="Column1" queryTableFieldId="1" dataDxfId="1"/>
    <tableColumn id="2" xr3:uid="{10116AE2-639F-436F-9736-CEC4742D3C25}" uniqueName="2" name="2024" queryTableFieldId="2"/>
    <tableColumn id="3" xr3:uid="{07F3F25C-58BA-4333-A958-700F922111EE}" uniqueName="3" name="2023" queryTableFieldId="3"/>
    <tableColumn id="4" xr3:uid="{50A01B5C-6136-4678-8A1B-7C38026A39E6}" uniqueName="4" name="Changes"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93A1-B450-3149-99A0-431FEA48FBB9}">
  <dimension ref="B2:H49"/>
  <sheetViews>
    <sheetView workbookViewId="0">
      <selection activeCell="G4" sqref="G4"/>
    </sheetView>
  </sheetViews>
  <sheetFormatPr baseColWidth="10" defaultRowHeight="15" x14ac:dyDescent="0.2"/>
  <cols>
    <col min="2" max="2" width="26.83203125" bestFit="1" customWidth="1"/>
    <col min="3" max="3" width="18.33203125" bestFit="1" customWidth="1"/>
    <col min="4" max="4" width="11" bestFit="1" customWidth="1"/>
    <col min="5" max="5" width="11.6640625" bestFit="1" customWidth="1"/>
    <col min="6" max="6" width="18.1640625" bestFit="1" customWidth="1"/>
    <col min="7" max="7" width="18.5" bestFit="1" customWidth="1"/>
    <col min="8" max="8" width="11.6640625" bestFit="1" customWidth="1"/>
  </cols>
  <sheetData>
    <row r="2" spans="2:8" x14ac:dyDescent="0.2">
      <c r="B2" s="132" t="s">
        <v>625</v>
      </c>
      <c r="F2" s="132" t="s">
        <v>626</v>
      </c>
    </row>
    <row r="3" spans="2:8" x14ac:dyDescent="0.2">
      <c r="B3" t="s">
        <v>579</v>
      </c>
      <c r="C3" s="133">
        <v>0.05</v>
      </c>
    </row>
    <row r="4" spans="2:8" x14ac:dyDescent="0.2">
      <c r="B4" t="s">
        <v>645</v>
      </c>
      <c r="C4" s="131">
        <f>C28</f>
        <v>6.7189328195982723E-2</v>
      </c>
      <c r="F4" t="s">
        <v>646</v>
      </c>
      <c r="G4">
        <f>AVERAGE(0.57,0.67)</f>
        <v>0.62</v>
      </c>
    </row>
    <row r="5" spans="2:8" x14ac:dyDescent="0.2">
      <c r="B5" t="s">
        <v>639</v>
      </c>
      <c r="C5" s="131">
        <f>C26</f>
        <v>4.7554534687233252E-2</v>
      </c>
      <c r="F5" t="s">
        <v>647</v>
      </c>
      <c r="G5" s="134">
        <v>0.1</v>
      </c>
    </row>
    <row r="6" spans="2:8" x14ac:dyDescent="0.2">
      <c r="B6" t="s">
        <v>519</v>
      </c>
      <c r="C6" s="134">
        <v>0.23</v>
      </c>
      <c r="F6" t="s">
        <v>643</v>
      </c>
      <c r="G6" s="136">
        <v>26000</v>
      </c>
    </row>
    <row r="7" spans="2:8" x14ac:dyDescent="0.2">
      <c r="B7" t="s">
        <v>648</v>
      </c>
      <c r="C7" s="135">
        <v>4.2999999999999997E-2</v>
      </c>
      <c r="F7" t="s">
        <v>644</v>
      </c>
      <c r="G7" s="147">
        <f>'3statementmodelReve'!E101+'3statementmodelReve'!E111</f>
        <v>9483</v>
      </c>
    </row>
    <row r="8" spans="2:8" x14ac:dyDescent="0.2">
      <c r="B8" t="s">
        <v>650</v>
      </c>
      <c r="C8" s="141">
        <v>6</v>
      </c>
      <c r="G8" s="136"/>
    </row>
    <row r="13" spans="2:8" x14ac:dyDescent="0.2">
      <c r="B13" s="120" t="s">
        <v>627</v>
      </c>
      <c r="C13" s="143">
        <v>0</v>
      </c>
      <c r="D13" s="142">
        <v>1</v>
      </c>
      <c r="E13" s="142">
        <v>2</v>
      </c>
      <c r="F13" s="142">
        <v>3</v>
      </c>
      <c r="G13" s="142">
        <v>4</v>
      </c>
      <c r="H13" s="142">
        <v>5</v>
      </c>
    </row>
    <row r="14" spans="2:8" x14ac:dyDescent="0.2">
      <c r="B14" s="16" t="s">
        <v>662</v>
      </c>
    </row>
    <row r="15" spans="2:8" x14ac:dyDescent="0.2">
      <c r="B15" s="124" t="s">
        <v>628</v>
      </c>
      <c r="C15" s="125"/>
    </row>
    <row r="16" spans="2:8" x14ac:dyDescent="0.2">
      <c r="B16" t="s">
        <v>629</v>
      </c>
      <c r="C16" s="126"/>
      <c r="D16" s="148">
        <f>'3statementmodelReve'!G41</f>
        <v>2783.0354349318836</v>
      </c>
      <c r="E16" s="148">
        <f>'3statementmodelReve'!H41</f>
        <v>3309.9422138218151</v>
      </c>
      <c r="F16" s="148">
        <f>'3statementmodelReve'!I41</f>
        <v>3815.0445348563803</v>
      </c>
      <c r="G16" s="148">
        <f>'3statementmodelReve'!J41</f>
        <v>4177.8730467955256</v>
      </c>
      <c r="H16" s="148">
        <f>'3statementmodelReve'!K41</f>
        <v>4588.8753811209453</v>
      </c>
    </row>
    <row r="17" spans="2:8" x14ac:dyDescent="0.2">
      <c r="B17" t="s">
        <v>630</v>
      </c>
      <c r="C17" s="126"/>
      <c r="D17" s="98">
        <f>D16*-$C$6</f>
        <v>-640.09815003433323</v>
      </c>
      <c r="E17" s="98">
        <f t="shared" ref="E17:H17" si="0">E16*-$C$6</f>
        <v>-761.28670917901752</v>
      </c>
      <c r="F17" s="98">
        <f t="shared" si="0"/>
        <v>-877.46024301696752</v>
      </c>
      <c r="G17" s="98">
        <f t="shared" si="0"/>
        <v>-960.91080076297089</v>
      </c>
      <c r="H17" s="98">
        <f t="shared" si="0"/>
        <v>-1055.4413376578175</v>
      </c>
    </row>
    <row r="18" spans="2:8" x14ac:dyDescent="0.2">
      <c r="B18" t="s">
        <v>633</v>
      </c>
      <c r="C18" s="126"/>
      <c r="D18" s="148">
        <f>-SUM('3statementmodelReve'!F49:F50)</f>
        <v>1167.4514518043284</v>
      </c>
      <c r="E18" s="148">
        <f>-SUM('3statementmodelReve'!G49:G50)</f>
        <v>1203.7774582087607</v>
      </c>
      <c r="F18" s="148">
        <f>-SUM('3statementmodelReve'!H49:H50)</f>
        <v>1292.5970290119426</v>
      </c>
      <c r="G18" s="148">
        <f>-SUM('3statementmodelReve'!I49:I50)</f>
        <v>1334.0542453889866</v>
      </c>
      <c r="H18" s="148">
        <f>-SUM('3statementmodelReve'!J49:J50)</f>
        <v>1385.7074581651671</v>
      </c>
    </row>
    <row r="19" spans="2:8" x14ac:dyDescent="0.2">
      <c r="B19" t="s">
        <v>631</v>
      </c>
      <c r="C19" s="126"/>
      <c r="D19" s="148">
        <f>'3statementmodelReve'!G51</f>
        <v>-1563.4471273090082</v>
      </c>
      <c r="E19" s="148">
        <f>'3statementmodelReve'!H51</f>
        <v>-1734.8212645440453</v>
      </c>
      <c r="F19" s="148">
        <f>'3statementmodelReve'!I51</f>
        <v>-1815.4895261464417</v>
      </c>
      <c r="G19" s="148">
        <f>'3statementmodelReve'!J51</f>
        <v>-1904.9899955521892</v>
      </c>
      <c r="H19" s="148">
        <f>'3statementmodelReve'!K51</f>
        <v>-2003.3620636912503</v>
      </c>
    </row>
    <row r="20" spans="2:8" x14ac:dyDescent="0.2">
      <c r="B20" t="s">
        <v>632</v>
      </c>
      <c r="C20" s="126"/>
      <c r="D20" s="148">
        <f>'3statementmodelReve'!G87-'3statementmodelReve'!G81-'3statementmodelReve'!G83-'3statementmodelReve'!G107</f>
        <v>-127.36858191103966</v>
      </c>
      <c r="E20" s="148">
        <f>'3statementmodelReve'!H87-'3statementmodelReve'!H81-'3statementmodelReve'!H83-'3statementmodelReve'!H107</f>
        <v>-111.76614421550039</v>
      </c>
      <c r="F20" s="148">
        <f>'3statementmodelReve'!I87-'3statementmodelReve'!I81-'3statementmodelReve'!I83-'3statementmodelReve'!I107</f>
        <v>-138.45520118144486</v>
      </c>
      <c r="G20" s="148">
        <f>'3statementmodelReve'!J87-'3statementmodelReve'!J81-'3statementmodelReve'!J83-'3statementmodelReve'!J107</f>
        <v>-141.06766049057842</v>
      </c>
      <c r="H20" s="148">
        <f>'3statementmodelReve'!K87-'3statementmodelReve'!K81-'3statementmodelReve'!K83-'3statementmodelReve'!K107</f>
        <v>-143.4007275828626</v>
      </c>
    </row>
    <row r="21" spans="2:8" x14ac:dyDescent="0.2">
      <c r="B21" s="18" t="s">
        <v>636</v>
      </c>
      <c r="C21" s="127"/>
      <c r="D21" s="138">
        <f>SUM(D16:D20)</f>
        <v>1619.5730274818309</v>
      </c>
      <c r="E21" s="138">
        <f t="shared" ref="E21:H21" si="1">SUM(E16:E20)</f>
        <v>1905.8455540920122</v>
      </c>
      <c r="F21" s="138">
        <f t="shared" si="1"/>
        <v>2276.2365935234693</v>
      </c>
      <c r="G21" s="138">
        <f t="shared" si="1"/>
        <v>2504.9588353787735</v>
      </c>
      <c r="H21" s="138">
        <f t="shared" si="1"/>
        <v>2772.3787103541817</v>
      </c>
    </row>
    <row r="22" spans="2:8" x14ac:dyDescent="0.2">
      <c r="B22" s="121"/>
      <c r="C22" s="128"/>
      <c r="D22" s="122"/>
      <c r="E22" s="122"/>
      <c r="F22" s="122"/>
      <c r="G22" s="122"/>
      <c r="H22" s="122"/>
    </row>
    <row r="23" spans="2:8" x14ac:dyDescent="0.2">
      <c r="B23" s="123" t="s">
        <v>635</v>
      </c>
      <c r="C23" s="129"/>
      <c r="D23" s="122"/>
      <c r="E23" s="122"/>
      <c r="F23" s="122"/>
      <c r="G23" s="122"/>
      <c r="H23" s="122"/>
    </row>
    <row r="24" spans="2:8" x14ac:dyDescent="0.2">
      <c r="B24" t="s">
        <v>637</v>
      </c>
      <c r="C24" s="26">
        <f>G6+G7</f>
        <v>35483</v>
      </c>
      <c r="D24" s="122"/>
      <c r="E24" s="122"/>
      <c r="F24" s="122"/>
      <c r="G24" s="122"/>
      <c r="H24" s="122"/>
    </row>
    <row r="25" spans="2:8" x14ac:dyDescent="0.2">
      <c r="B25" t="s">
        <v>638</v>
      </c>
      <c r="C25" s="131">
        <f>C7+G4*(G5-C7)</f>
        <v>7.8339999999999993E-2</v>
      </c>
      <c r="D25" s="122"/>
      <c r="E25" s="122"/>
      <c r="F25" s="122"/>
      <c r="G25" s="122"/>
      <c r="H25" s="122"/>
    </row>
    <row r="26" spans="2:8" x14ac:dyDescent="0.2">
      <c r="B26" t="s">
        <v>639</v>
      </c>
      <c r="C26" s="149">
        <f>-'3statementmodelReve'!F39/(SUM('3statementmodelReve'!F101,'3statementmodelReve'!F111))</f>
        <v>4.7554534687233252E-2</v>
      </c>
      <c r="D26" s="122"/>
      <c r="E26" s="122"/>
      <c r="F26" s="122"/>
      <c r="G26" s="122"/>
      <c r="H26" s="122"/>
    </row>
    <row r="27" spans="2:8" x14ac:dyDescent="0.2">
      <c r="B27" t="s">
        <v>640</v>
      </c>
      <c r="C27" s="71">
        <f>C6</f>
        <v>0.23</v>
      </c>
      <c r="D27" s="122"/>
      <c r="E27" s="122"/>
      <c r="F27" s="122"/>
      <c r="G27" s="122"/>
      <c r="H27" s="122"/>
    </row>
    <row r="28" spans="2:8" x14ac:dyDescent="0.2">
      <c r="B28" s="86" t="s">
        <v>635</v>
      </c>
      <c r="C28" s="139">
        <f>((G6/C24)*C25)+((G7/C24)*C26*(1-C27))</f>
        <v>6.7189328195982723E-2</v>
      </c>
      <c r="D28" s="122"/>
      <c r="E28" s="122"/>
      <c r="F28" s="122"/>
      <c r="G28" s="122"/>
      <c r="H28" s="122"/>
    </row>
    <row r="29" spans="2:8" x14ac:dyDescent="0.2">
      <c r="B29" s="121"/>
      <c r="C29" s="121"/>
      <c r="D29" s="122"/>
      <c r="E29" s="122"/>
      <c r="F29" s="122"/>
      <c r="G29" s="122"/>
      <c r="H29" s="122"/>
    </row>
    <row r="30" spans="2:8" x14ac:dyDescent="0.2">
      <c r="B30" s="140" t="s">
        <v>634</v>
      </c>
      <c r="C30" s="140"/>
      <c r="D30" s="120"/>
      <c r="E30" s="120"/>
      <c r="F30" s="120"/>
      <c r="G30" s="120"/>
      <c r="H30" s="120"/>
    </row>
    <row r="31" spans="2:8" x14ac:dyDescent="0.2">
      <c r="B31" t="s">
        <v>430</v>
      </c>
      <c r="H31" s="98">
        <f>H16+H18</f>
        <v>5974.5828392861122</v>
      </c>
    </row>
    <row r="32" spans="2:8" x14ac:dyDescent="0.2">
      <c r="B32" t="s">
        <v>650</v>
      </c>
      <c r="H32" s="26">
        <f>H31*C8</f>
        <v>35847.497035716675</v>
      </c>
    </row>
    <row r="33" spans="2:8" x14ac:dyDescent="0.2">
      <c r="B33" t="s">
        <v>649</v>
      </c>
      <c r="H33" s="26">
        <f>H21*(1+C3)/(C28-C3)</f>
        <v>169349.12247194245</v>
      </c>
    </row>
    <row r="34" spans="2:8" x14ac:dyDescent="0.2">
      <c r="B34" s="86" t="s">
        <v>651</v>
      </c>
      <c r="C34" s="58"/>
      <c r="D34" s="58"/>
      <c r="E34" s="58"/>
      <c r="F34" s="58"/>
      <c r="G34" s="58"/>
      <c r="H34" s="137">
        <f>AVERAGE(H32:H33)</f>
        <v>102598.30975382956</v>
      </c>
    </row>
    <row r="36" spans="2:8" x14ac:dyDescent="0.2">
      <c r="B36" s="140" t="s">
        <v>652</v>
      </c>
    </row>
    <row r="37" spans="2:8" x14ac:dyDescent="0.2">
      <c r="B37" t="s">
        <v>653</v>
      </c>
      <c r="C37" s="130">
        <f>1/(1+$C$28)^C13</f>
        <v>1</v>
      </c>
      <c r="D37" s="130">
        <f t="shared" ref="D37:H37" si="2">1/(1+$C$28)^D13</f>
        <v>0.93704085449433594</v>
      </c>
      <c r="E37" s="130">
        <f t="shared" si="2"/>
        <v>0.87804556299147529</v>
      </c>
      <c r="F37" s="130">
        <f t="shared" si="2"/>
        <v>0.8227645646304923</v>
      </c>
      <c r="G37" s="130">
        <f t="shared" si="2"/>
        <v>0.77096401068901677</v>
      </c>
      <c r="H37" s="130">
        <f t="shared" si="2"/>
        <v>0.7224247753604166</v>
      </c>
    </row>
    <row r="38" spans="2:8" x14ac:dyDescent="0.2">
      <c r="B38" t="s">
        <v>641</v>
      </c>
      <c r="C38" s="130">
        <f>C21*C37</f>
        <v>0</v>
      </c>
      <c r="D38" s="130">
        <f t="shared" ref="D38:H38" si="3">D21*D37</f>
        <v>1517.6060935875535</v>
      </c>
      <c r="E38" s="130">
        <f t="shared" si="3"/>
        <v>1673.4192325175211</v>
      </c>
      <c r="F38" s="130">
        <f t="shared" si="3"/>
        <v>1872.8068098663321</v>
      </c>
      <c r="G38" s="130">
        <f t="shared" si="3"/>
        <v>1931.2331103345077</v>
      </c>
      <c r="H38" s="130">
        <f t="shared" si="3"/>
        <v>2002.8350670416212</v>
      </c>
    </row>
    <row r="39" spans="2:8" x14ac:dyDescent="0.2">
      <c r="B39" t="s">
        <v>642</v>
      </c>
      <c r="H39" s="130">
        <f>H34*H37</f>
        <v>74119.560876268763</v>
      </c>
    </row>
    <row r="40" spans="2:8" x14ac:dyDescent="0.2">
      <c r="B40" s="18" t="s">
        <v>654</v>
      </c>
      <c r="C40" s="137">
        <f>SUM(C38:H39)</f>
        <v>83117.461189616297</v>
      </c>
    </row>
    <row r="42" spans="2:8" x14ac:dyDescent="0.2">
      <c r="B42" s="140" t="s">
        <v>655</v>
      </c>
    </row>
    <row r="43" spans="2:8" x14ac:dyDescent="0.2">
      <c r="B43" t="s">
        <v>658</v>
      </c>
      <c r="C43" s="150">
        <f>'3statementmodelReve'!F101+'3statementmodelReve'!F111</f>
        <v>9563.7567056690823</v>
      </c>
      <c r="D43" s="130"/>
      <c r="E43" s="130"/>
      <c r="F43" s="130"/>
      <c r="G43" s="130"/>
      <c r="H43" s="130"/>
    </row>
    <row r="44" spans="2:8" x14ac:dyDescent="0.2">
      <c r="B44" t="s">
        <v>656</v>
      </c>
      <c r="C44" s="150">
        <f>'3statementmodelReve'!F81</f>
        <v>359.68635180470392</v>
      </c>
      <c r="D44" s="130"/>
      <c r="E44" s="130"/>
      <c r="F44" s="130"/>
      <c r="G44" s="130"/>
      <c r="H44" s="130"/>
    </row>
    <row r="45" spans="2:8" x14ac:dyDescent="0.2">
      <c r="B45" t="s">
        <v>657</v>
      </c>
      <c r="C45" s="150">
        <f>'3statementmodelReve'!F82</f>
        <v>248.09492245013118</v>
      </c>
      <c r="D45" s="122"/>
      <c r="E45" s="144"/>
      <c r="F45" s="144"/>
      <c r="G45" s="144"/>
      <c r="H45" s="144"/>
    </row>
    <row r="46" spans="2:8" x14ac:dyDescent="0.2">
      <c r="B46" s="86" t="s">
        <v>659</v>
      </c>
      <c r="C46" s="137">
        <f>C40+C44+C45-C43</f>
        <v>74161.485758202063</v>
      </c>
      <c r="D46" s="144"/>
      <c r="E46" s="144"/>
      <c r="F46" s="144"/>
      <c r="G46" s="144"/>
      <c r="H46" s="144"/>
    </row>
    <row r="48" spans="2:8" x14ac:dyDescent="0.2">
      <c r="B48" s="145" t="s">
        <v>660</v>
      </c>
      <c r="C48" s="146">
        <v>479.70707099999998</v>
      </c>
    </row>
    <row r="49" spans="2:3" x14ac:dyDescent="0.2">
      <c r="B49" s="18" t="s">
        <v>661</v>
      </c>
      <c r="C49" s="18">
        <f>C46/C48</f>
        <v>154.59744131685326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605FE-2324-4F80-9CC4-1590A1E56EE2}">
  <dimension ref="B2:R200"/>
  <sheetViews>
    <sheetView tabSelected="1" zoomScale="56" zoomScaleNormal="85" workbookViewId="0">
      <selection activeCell="F123" sqref="F123"/>
    </sheetView>
  </sheetViews>
  <sheetFormatPr baseColWidth="10" defaultColWidth="9.1640625" defaultRowHeight="15" x14ac:dyDescent="0.2"/>
  <cols>
    <col min="2" max="2" width="120.5" bestFit="1" customWidth="1"/>
    <col min="3" max="3" width="12.5" bestFit="1" customWidth="1"/>
    <col min="4" max="4" width="14.6640625" bestFit="1" customWidth="1"/>
    <col min="5" max="5" width="16" bestFit="1" customWidth="1"/>
    <col min="6" max="6" width="19.5" bestFit="1" customWidth="1"/>
    <col min="7" max="8" width="13.33203125" bestFit="1" customWidth="1"/>
    <col min="9" max="9" width="12.1640625" bestFit="1" customWidth="1"/>
    <col min="10" max="11" width="12.33203125" bestFit="1" customWidth="1"/>
    <col min="12" max="12" width="28" bestFit="1" customWidth="1"/>
    <col min="15" max="15" width="9.83203125" bestFit="1" customWidth="1"/>
  </cols>
  <sheetData>
    <row r="2" spans="2:11" x14ac:dyDescent="0.2">
      <c r="C2" s="116" t="s">
        <v>409</v>
      </c>
      <c r="D2" s="116"/>
      <c r="E2" s="116"/>
      <c r="F2" s="117" t="s">
        <v>428</v>
      </c>
      <c r="G2" s="117"/>
      <c r="H2" s="117"/>
      <c r="I2" s="117"/>
      <c r="J2" s="117"/>
      <c r="K2" s="117"/>
    </row>
    <row r="3" spans="2:11" x14ac:dyDescent="0.2">
      <c r="B3" t="s">
        <v>427</v>
      </c>
    </row>
    <row r="4" spans="2:11" x14ac:dyDescent="0.2">
      <c r="B4" s="63" t="s">
        <v>577</v>
      </c>
      <c r="C4" s="64">
        <v>44926</v>
      </c>
      <c r="D4" s="64">
        <f t="shared" ref="D4:I4" si="0">EOMONTH(C4,12)</f>
        <v>45291</v>
      </c>
      <c r="E4" s="64">
        <f t="shared" si="0"/>
        <v>45657</v>
      </c>
      <c r="F4" s="64">
        <f t="shared" si="0"/>
        <v>46022</v>
      </c>
      <c r="G4" s="64">
        <f t="shared" si="0"/>
        <v>46387</v>
      </c>
      <c r="H4" s="64">
        <f t="shared" si="0"/>
        <v>46752</v>
      </c>
      <c r="I4" s="64">
        <f t="shared" si="0"/>
        <v>47118</v>
      </c>
      <c r="J4" s="64">
        <f t="shared" ref="J4" si="1">EOMONTH(I4,12)</f>
        <v>47483</v>
      </c>
      <c r="K4" s="64">
        <f t="shared" ref="K4" si="2">EOMONTH(J4,12)</f>
        <v>47848</v>
      </c>
    </row>
    <row r="5" spans="2:11" x14ac:dyDescent="0.2">
      <c r="B5" s="5" t="s">
        <v>582</v>
      </c>
      <c r="C5">
        <f>C75</f>
        <v>19.753</v>
      </c>
      <c r="D5">
        <f>D75</f>
        <v>19.314</v>
      </c>
      <c r="E5">
        <f>E75</f>
        <v>16.809000000000001</v>
      </c>
      <c r="F5">
        <f>E5*(1+F6)</f>
        <v>17.14518</v>
      </c>
      <c r="G5">
        <f>F5*(1+G6)</f>
        <v>18.002438999999999</v>
      </c>
      <c r="H5">
        <f>G5*(1+H6)</f>
        <v>19.802682900000001</v>
      </c>
      <c r="I5">
        <f>H5*(1+I6)</f>
        <v>20.792817045000003</v>
      </c>
      <c r="J5">
        <f t="shared" ref="J5:K5" si="3">I5*(1+J6)</f>
        <v>21.832457897250006</v>
      </c>
      <c r="K5">
        <f t="shared" si="3"/>
        <v>22.924080792112505</v>
      </c>
    </row>
    <row r="6" spans="2:11" s="5" customFormat="1" x14ac:dyDescent="0.2">
      <c r="B6" s="65" t="s">
        <v>567</v>
      </c>
      <c r="C6" s="66"/>
      <c r="D6" s="37">
        <f>(D5-C5)/C5</f>
        <v>-2.2224472232066018E-2</v>
      </c>
      <c r="E6" s="37">
        <f>(E5-D5)/D5</f>
        <v>-0.12969866418142276</v>
      </c>
      <c r="F6" s="67">
        <v>0.02</v>
      </c>
      <c r="G6" s="67">
        <v>0.05</v>
      </c>
      <c r="H6" s="67">
        <v>0.1</v>
      </c>
      <c r="I6" s="67">
        <v>0.05</v>
      </c>
      <c r="J6" s="67">
        <v>0.05</v>
      </c>
      <c r="K6" s="67">
        <v>0.05</v>
      </c>
    </row>
    <row r="7" spans="2:11" x14ac:dyDescent="0.2">
      <c r="B7" s="68"/>
      <c r="C7" s="66"/>
      <c r="D7" s="69"/>
      <c r="E7" s="69"/>
    </row>
    <row r="8" spans="2:11" x14ac:dyDescent="0.2">
      <c r="B8" s="5" t="s">
        <v>578</v>
      </c>
      <c r="C8" s="66">
        <f>C28/C5</f>
        <v>4027.8944970384246</v>
      </c>
      <c r="D8" s="66">
        <f>D28/D5</f>
        <v>3801.6982499741121</v>
      </c>
      <c r="E8" s="66">
        <f>E28/E5</f>
        <v>3957.1658040335533</v>
      </c>
      <c r="F8" s="66">
        <f>AVERAGE(C8:E8)</f>
        <v>3928.9195170153635</v>
      </c>
      <c r="G8" s="66">
        <f>AVERAGE(D8:F8)</f>
        <v>3895.9278570076763</v>
      </c>
      <c r="H8" s="66">
        <f>AVERAGE(E8:G8)</f>
        <v>3927.3377260188645</v>
      </c>
      <c r="I8" s="66">
        <f>AVERAGE(F8:H8)</f>
        <v>3917.3950333473017</v>
      </c>
      <c r="J8" s="66">
        <f t="shared" ref="J8:K8" si="4">AVERAGE(G8:I8)</f>
        <v>3913.553538791281</v>
      </c>
      <c r="K8" s="66">
        <f t="shared" si="4"/>
        <v>3919.4287660524824</v>
      </c>
    </row>
    <row r="9" spans="2:11" x14ac:dyDescent="0.2">
      <c r="B9" s="70" t="s">
        <v>579</v>
      </c>
      <c r="D9" s="37">
        <f t="shared" ref="D9:I9" si="5">(D8-C8)/C8</f>
        <v>-5.6157440874041509E-2</v>
      </c>
      <c r="E9" s="37">
        <f t="shared" si="5"/>
        <v>4.089423826851589E-2</v>
      </c>
      <c r="F9" s="37">
        <f t="shared" si="5"/>
        <v>-7.1380094787532765E-3</v>
      </c>
      <c r="G9" s="37">
        <f t="shared" si="5"/>
        <v>-8.3971330705062599E-3</v>
      </c>
      <c r="H9" s="37">
        <f t="shared" si="5"/>
        <v>8.0622306582732832E-3</v>
      </c>
      <c r="I9" s="37">
        <f t="shared" si="5"/>
        <v>-2.5316622519351477E-3</v>
      </c>
      <c r="J9" s="37">
        <f t="shared" ref="J9" si="6">(J8-I8)/I8</f>
        <v>-9.8062475786065599E-4</v>
      </c>
      <c r="K9" s="37">
        <f t="shared" ref="K9" si="7">(K8-J8)/J8</f>
        <v>1.5012512804452416E-3</v>
      </c>
    </row>
    <row r="10" spans="2:11" x14ac:dyDescent="0.2">
      <c r="B10" s="70"/>
      <c r="D10" s="37"/>
      <c r="E10" s="37"/>
      <c r="F10" s="71"/>
      <c r="G10" s="71"/>
      <c r="H10" s="71"/>
      <c r="I10" s="71"/>
      <c r="J10" s="71"/>
      <c r="K10" s="71"/>
    </row>
    <row r="11" spans="2:11" x14ac:dyDescent="0.2">
      <c r="B11" t="s">
        <v>584</v>
      </c>
      <c r="C11" s="35">
        <f t="shared" ref="C11:I11" si="8">-C30/C28</f>
        <v>0.95017784648643211</v>
      </c>
      <c r="D11" s="37">
        <f t="shared" si="8"/>
        <v>0.94093372919674234</v>
      </c>
      <c r="E11" s="37">
        <f t="shared" si="8"/>
        <v>0.95937819472006736</v>
      </c>
      <c r="F11" s="37">
        <f t="shared" si="8"/>
        <v>0.95539630097291461</v>
      </c>
      <c r="G11" s="37">
        <f t="shared" si="8"/>
        <v>0.95641950067410575</v>
      </c>
      <c r="H11" s="37">
        <f t="shared" si="8"/>
        <v>0.95706168958474391</v>
      </c>
      <c r="I11" s="37">
        <f t="shared" si="8"/>
        <v>0.95629200516726409</v>
      </c>
      <c r="J11" s="37">
        <f t="shared" ref="J11:K11" si="9">-J30/J28</f>
        <v>0.95659094656719901</v>
      </c>
      <c r="K11" s="37">
        <f t="shared" si="9"/>
        <v>0.95664810885818241</v>
      </c>
    </row>
    <row r="13" spans="2:11" x14ac:dyDescent="0.2">
      <c r="B13" s="5" t="s">
        <v>519</v>
      </c>
      <c r="C13" s="37">
        <f>-C43/C41</f>
        <v>0.16587043760749093</v>
      </c>
      <c r="D13" s="37">
        <f>-D43/D41</f>
        <v>0.19282720074522589</v>
      </c>
      <c r="E13" s="37">
        <f>-E43/E41</f>
        <v>0.21108647450110865</v>
      </c>
      <c r="F13" s="72">
        <f>0.23</f>
        <v>0.23</v>
      </c>
      <c r="G13" s="72">
        <f>0.23</f>
        <v>0.23</v>
      </c>
      <c r="H13" s="72">
        <f>0.23</f>
        <v>0.23</v>
      </c>
      <c r="I13" s="72">
        <f>0.23</f>
        <v>0.23</v>
      </c>
      <c r="J13" s="72">
        <f t="shared" ref="J13:K13" si="10">0.23</f>
        <v>0.23</v>
      </c>
      <c r="K13" s="72">
        <f t="shared" si="10"/>
        <v>0.23</v>
      </c>
    </row>
    <row r="14" spans="2:11" x14ac:dyDescent="0.2">
      <c r="B14" s="5" t="s">
        <v>554</v>
      </c>
      <c r="C14" s="37">
        <f t="shared" ref="C14:I14" si="11">C46/C45</f>
        <v>-5.7273768613974796E-3</v>
      </c>
      <c r="D14" s="37">
        <f t="shared" si="11"/>
        <v>4.9047893825735715E-3</v>
      </c>
      <c r="E14" s="37">
        <f t="shared" si="11"/>
        <v>1.1804384485666104E-2</v>
      </c>
      <c r="F14" s="37">
        <f t="shared" si="11"/>
        <v>9.93174313418611E-3</v>
      </c>
      <c r="G14" s="37">
        <f t="shared" si="11"/>
        <v>9.6951127717753195E-3</v>
      </c>
      <c r="H14" s="37">
        <f t="shared" si="11"/>
        <v>8.2502481035111666E-3</v>
      </c>
      <c r="I14" s="37">
        <f t="shared" si="11"/>
        <v>7.3379843041674981E-3</v>
      </c>
      <c r="J14" s="37">
        <f t="shared" ref="J14:K14" si="12">J46/J45</f>
        <v>7.4001311571377506E-3</v>
      </c>
      <c r="K14" s="37">
        <f t="shared" si="12"/>
        <v>7.4815421621596302E-3</v>
      </c>
    </row>
    <row r="16" spans="2:11" s="73" customFormat="1" x14ac:dyDescent="0.2">
      <c r="B16" s="73" t="s">
        <v>568</v>
      </c>
      <c r="D16" s="74">
        <f t="shared" ref="D16:I16" si="13">D84/D27</f>
        <v>4.5052429871719805E-2</v>
      </c>
      <c r="E16" s="74">
        <f t="shared" si="13"/>
        <v>4.3353209400210452E-2</v>
      </c>
      <c r="F16" s="74">
        <f t="shared" si="13"/>
        <v>4.3353209400210452E-2</v>
      </c>
      <c r="G16" s="74">
        <f t="shared" si="13"/>
        <v>4.3353209400210452E-2</v>
      </c>
      <c r="H16" s="74">
        <f t="shared" si="13"/>
        <v>4.3353209400210445E-2</v>
      </c>
      <c r="I16" s="74">
        <f t="shared" si="13"/>
        <v>4.3353209400210445E-2</v>
      </c>
      <c r="J16" s="74">
        <f t="shared" ref="J16:K16" si="14">J84/J27</f>
        <v>4.3353209400210452E-2</v>
      </c>
      <c r="K16" s="74">
        <f t="shared" si="14"/>
        <v>4.3353209400210445E-2</v>
      </c>
    </row>
    <row r="17" spans="2:11" s="75" customFormat="1" ht="16" x14ac:dyDescent="0.2">
      <c r="B17" s="75" t="s">
        <v>569</v>
      </c>
      <c r="D17" s="76">
        <f t="shared" ref="D17:I17" si="15">D85/-D29</f>
        <v>0.13835597417324291</v>
      </c>
      <c r="E17" s="76">
        <f t="shared" si="15"/>
        <v>0.14509980940916842</v>
      </c>
      <c r="F17" s="76">
        <f t="shared" si="15"/>
        <v>0.14509980940916842</v>
      </c>
      <c r="G17" s="76">
        <f t="shared" si="15"/>
        <v>0.14509980940916842</v>
      </c>
      <c r="H17" s="76">
        <f t="shared" si="15"/>
        <v>0.14509980940916842</v>
      </c>
      <c r="I17" s="76">
        <f t="shared" si="15"/>
        <v>0.14509980940916845</v>
      </c>
      <c r="J17" s="76">
        <f t="shared" ref="J17:K17" si="16">J85/-J29</f>
        <v>0.14509980940916845</v>
      </c>
      <c r="K17" s="76">
        <f t="shared" si="16"/>
        <v>0.14509980940916845</v>
      </c>
    </row>
    <row r="18" spans="2:11" s="73" customFormat="1" x14ac:dyDescent="0.2">
      <c r="D18" s="77"/>
      <c r="E18" s="77"/>
      <c r="F18" s="77"/>
      <c r="G18" s="77"/>
      <c r="H18" s="77"/>
      <c r="I18" s="77"/>
      <c r="J18" s="77"/>
      <c r="K18" s="77"/>
    </row>
    <row r="19" spans="2:11" s="75" customFormat="1" ht="16" x14ac:dyDescent="0.2">
      <c r="B19" s="75" t="s">
        <v>570</v>
      </c>
      <c r="D19" s="76">
        <f>D105/-SUM(D29,D33,D34)</f>
        <v>4.5178452671248058E-2</v>
      </c>
      <c r="E19" s="76">
        <f t="shared" ref="E19:I19" si="17">E105/SUM(E29,E33,E34)</f>
        <v>-4.4403176077044866E-2</v>
      </c>
      <c r="F19" s="76">
        <f t="shared" si="17"/>
        <v>-4.4697634379672439E-2</v>
      </c>
      <c r="G19" s="76">
        <f t="shared" si="17"/>
        <v>-4.4763669672513808E-2</v>
      </c>
      <c r="H19" s="76">
        <f t="shared" si="17"/>
        <v>-4.4871410449452399E-2</v>
      </c>
      <c r="I19" s="76">
        <f t="shared" si="17"/>
        <v>-4.5010588230025177E-2</v>
      </c>
      <c r="J19" s="76">
        <f t="shared" ref="J19:K19" si="18">J105/SUM(J29,J33,J34)</f>
        <v>-4.5074420752210007E-2</v>
      </c>
      <c r="K19" s="76">
        <f t="shared" si="18"/>
        <v>-4.5138052798315766E-2</v>
      </c>
    </row>
    <row r="21" spans="2:11" s="11" customFormat="1" x14ac:dyDescent="0.2">
      <c r="B21" s="11" t="s">
        <v>571</v>
      </c>
      <c r="C21" s="37">
        <f t="shared" ref="C21:I21" si="19">-C51/C27</f>
        <v>1.2987908149198472E-2</v>
      </c>
      <c r="D21" s="37">
        <f t="shared" si="19"/>
        <v>1.5904614893277266E-2</v>
      </c>
      <c r="E21" s="37">
        <f t="shared" si="19"/>
        <v>1.8274289722904243E-2</v>
      </c>
      <c r="F21" s="37">
        <f>-F51/F27</f>
        <v>1.7389617047106593E-2</v>
      </c>
      <c r="G21" s="37">
        <f t="shared" si="19"/>
        <v>1.7389617047106593E-2</v>
      </c>
      <c r="H21" s="37">
        <f t="shared" si="19"/>
        <v>1.7389617047106589E-2</v>
      </c>
      <c r="I21" s="37">
        <f t="shared" si="19"/>
        <v>1.7389617047106593E-2</v>
      </c>
      <c r="J21" s="37">
        <f t="shared" ref="J21:K21" si="20">-J51/J27</f>
        <v>1.7389617047106593E-2</v>
      </c>
      <c r="K21" s="37">
        <f t="shared" si="20"/>
        <v>1.7389617047106593E-2</v>
      </c>
    </row>
    <row r="22" spans="2:11" s="11" customFormat="1" x14ac:dyDescent="0.2">
      <c r="B22" s="11" t="s">
        <v>572</v>
      </c>
      <c r="C22" s="37">
        <f t="shared" ref="C22:I22" si="21">-SUM(C49:C50)/C27</f>
        <v>1.0132340777502068E-2</v>
      </c>
      <c r="D22" s="37">
        <f t="shared" si="21"/>
        <v>1.12737531271624E-2</v>
      </c>
      <c r="E22" s="37">
        <f t="shared" si="21"/>
        <v>1.3340348415760551E-2</v>
      </c>
      <c r="F22" s="37">
        <f>-SUM(F49:F50)/F27</f>
        <v>1.3534355778643927E-2</v>
      </c>
      <c r="G22" s="37">
        <f t="shared" si="21"/>
        <v>1.3389150577941066E-2</v>
      </c>
      <c r="H22" s="37">
        <f t="shared" si="21"/>
        <v>1.2956820273155419E-2</v>
      </c>
      <c r="I22" s="37">
        <f t="shared" si="21"/>
        <v>1.2778202304820116E-2</v>
      </c>
      <c r="J22" s="37">
        <f t="shared" ref="J22:K22" si="22">-SUM(J49:J50)/J27</f>
        <v>1.2649369336885619E-2</v>
      </c>
      <c r="K22" s="37">
        <f t="shared" si="22"/>
        <v>1.2521905775601474E-2</v>
      </c>
    </row>
    <row r="23" spans="2:11" x14ac:dyDescent="0.2">
      <c r="B23" t="s">
        <v>429</v>
      </c>
    </row>
    <row r="24" spans="2:11" x14ac:dyDescent="0.2">
      <c r="C24" s="73"/>
      <c r="D24" s="73"/>
      <c r="E24" s="73"/>
    </row>
    <row r="25" spans="2:11" x14ac:dyDescent="0.2">
      <c r="B25" s="80" t="s">
        <v>408</v>
      </c>
      <c r="C25" s="81">
        <v>44926</v>
      </c>
      <c r="D25" s="81">
        <f>EOMONTH(C25,12)</f>
        <v>45291</v>
      </c>
      <c r="E25" s="81">
        <f t="shared" ref="E25:I25" si="23">EOMONTH(D25,12)</f>
        <v>45657</v>
      </c>
      <c r="F25" s="81">
        <f t="shared" si="23"/>
        <v>46022</v>
      </c>
      <c r="G25" s="81">
        <f t="shared" si="23"/>
        <v>46387</v>
      </c>
      <c r="H25" s="81">
        <f t="shared" si="23"/>
        <v>46752</v>
      </c>
      <c r="I25" s="81">
        <f t="shared" si="23"/>
        <v>47118</v>
      </c>
      <c r="J25" s="81">
        <f t="shared" ref="J25" si="24">EOMONTH(I25,12)</f>
        <v>47483</v>
      </c>
      <c r="K25" s="81">
        <f t="shared" ref="K25" si="25">EOMONTH(J25,12)</f>
        <v>47848</v>
      </c>
    </row>
    <row r="26" spans="2:11" x14ac:dyDescent="0.2">
      <c r="C26" s="3"/>
      <c r="D26" s="3"/>
      <c r="E26" s="3"/>
      <c r="F26" s="19"/>
    </row>
    <row r="27" spans="2:11" x14ac:dyDescent="0.2">
      <c r="B27" s="5" t="s">
        <v>4</v>
      </c>
      <c r="C27" s="82">
        <v>101556</v>
      </c>
      <c r="D27" s="82" t="s">
        <v>5</v>
      </c>
      <c r="E27" s="82">
        <v>85530</v>
      </c>
      <c r="F27" s="83">
        <f>F28/F74</f>
        <v>86258.36876894196</v>
      </c>
      <c r="G27" s="83">
        <f>G28/G74</f>
        <v>89906.932572108926</v>
      </c>
      <c r="H27" s="83">
        <f>H28/H74</f>
        <v>99761.901590161666</v>
      </c>
      <c r="I27" s="83">
        <f>I28/I74</f>
        <v>104400.77669499432</v>
      </c>
      <c r="J27" s="83">
        <f t="shared" ref="J27:K27" si="26">J28/J74</f>
        <v>109547.55302499056</v>
      </c>
      <c r="K27" s="83">
        <f t="shared" si="26"/>
        <v>115204.49577839232</v>
      </c>
    </row>
    <row r="28" spans="2:11" x14ac:dyDescent="0.2">
      <c r="B28" s="68" t="s">
        <v>560</v>
      </c>
      <c r="C28" s="84">
        <v>79563</v>
      </c>
      <c r="D28" s="84">
        <v>73426</v>
      </c>
      <c r="E28" s="84">
        <v>66516</v>
      </c>
      <c r="F28" s="83">
        <f>F8*F5</f>
        <v>67362.032324741464</v>
      </c>
      <c r="G28" s="83">
        <f>G8*G5</f>
        <v>70136.20359418141</v>
      </c>
      <c r="H28" s="83">
        <f>H8*H5</f>
        <v>77771.823629558654</v>
      </c>
      <c r="I28" s="83">
        <f>I8*I5</f>
        <v>81453.678221382128</v>
      </c>
      <c r="J28" s="83">
        <f t="shared" ref="J28:K28" si="27">J8*J5</f>
        <v>85442.492864294414</v>
      </c>
      <c r="K28" s="83">
        <f t="shared" si="27"/>
        <v>89849.301691916931</v>
      </c>
    </row>
    <row r="29" spans="2:11" x14ac:dyDescent="0.2">
      <c r="B29" s="5" t="s">
        <v>410</v>
      </c>
      <c r="C29" s="85">
        <v>-93986</v>
      </c>
      <c r="D29" s="85">
        <v>-86422</v>
      </c>
      <c r="E29" s="85">
        <v>-79752</v>
      </c>
      <c r="F29" s="83">
        <f>-F27*(1-F65)</f>
        <v>-79873.057460152588</v>
      </c>
      <c r="G29" s="83">
        <f t="shared" ref="G29:I29" si="28">-G27*(1-G65)</f>
        <v>-83266.961142873217</v>
      </c>
      <c r="H29" s="83">
        <f t="shared" si="28"/>
        <v>-92597.850215998929</v>
      </c>
      <c r="I29" s="83">
        <f t="shared" si="28"/>
        <v>-96755.482089425044</v>
      </c>
      <c r="J29" s="83">
        <f t="shared" ref="J29:K29" si="29">-J27*(1-J65)</f>
        <v>-101554.39487705936</v>
      </c>
      <c r="K29" s="83">
        <f t="shared" si="29"/>
        <v>-106832.70283331917</v>
      </c>
    </row>
    <row r="30" spans="2:11" x14ac:dyDescent="0.2">
      <c r="B30" s="68" t="s">
        <v>564</v>
      </c>
      <c r="C30" s="85">
        <f>-(72464+3135)</f>
        <v>-75599</v>
      </c>
      <c r="D30" s="85">
        <f>-(65751+3338)</f>
        <v>-69089</v>
      </c>
      <c r="E30" s="85">
        <f>-(60378+3436)</f>
        <v>-63814</v>
      </c>
      <c r="F30" s="83">
        <f>E30*(1+F64)</f>
        <v>-64357.436509075902</v>
      </c>
      <c r="G30" s="83">
        <f>F30*(1+G64)</f>
        <v>-67079.632820724408</v>
      </c>
      <c r="H30" s="83">
        <f>G30*(1+H64)</f>
        <v>-74432.432924992114</v>
      </c>
      <c r="I30" s="83">
        <f>H30*(1+I64)</f>
        <v>-77893.501274574621</v>
      </c>
      <c r="J30" s="83">
        <f t="shared" ref="J30:K30" si="30">I30*(1+J64)</f>
        <v>-81733.515126116545</v>
      </c>
      <c r="K30" s="83">
        <f t="shared" si="30"/>
        <v>-85954.164545800624</v>
      </c>
    </row>
    <row r="31" spans="2:11" x14ac:dyDescent="0.2">
      <c r="B31" s="86" t="s">
        <v>411</v>
      </c>
      <c r="C31" s="87">
        <f t="shared" ref="C31:I31" si="31">C27+C29</f>
        <v>7570</v>
      </c>
      <c r="D31" s="87">
        <f t="shared" si="31"/>
        <v>7513</v>
      </c>
      <c r="E31" s="87">
        <f t="shared" si="31"/>
        <v>5778</v>
      </c>
      <c r="F31" s="87">
        <f>F27+F29</f>
        <v>6385.3113087893726</v>
      </c>
      <c r="G31" s="87">
        <f t="shared" si="31"/>
        <v>6639.9714292357094</v>
      </c>
      <c r="H31" s="87">
        <f t="shared" si="31"/>
        <v>7164.0513741627365</v>
      </c>
      <c r="I31" s="87">
        <f t="shared" si="31"/>
        <v>7645.2946055692737</v>
      </c>
      <c r="J31" s="87">
        <f t="shared" ref="J31:K31" si="32">J27+J29</f>
        <v>7993.1581479312008</v>
      </c>
      <c r="K31" s="87">
        <f t="shared" si="32"/>
        <v>8371.7929450731463</v>
      </c>
    </row>
    <row r="32" spans="2:11" x14ac:dyDescent="0.2">
      <c r="B32" s="5"/>
      <c r="C32" s="85"/>
      <c r="D32" s="85"/>
      <c r="E32" s="85"/>
      <c r="F32" s="83"/>
      <c r="G32" s="83"/>
      <c r="H32" s="83"/>
      <c r="I32" s="83"/>
      <c r="J32" s="83"/>
      <c r="K32" s="83"/>
    </row>
    <row r="33" spans="2:18" x14ac:dyDescent="0.2">
      <c r="B33" s="5" t="s">
        <v>412</v>
      </c>
      <c r="C33" s="82">
        <v>-3358</v>
      </c>
      <c r="D33" s="82">
        <v>-3456</v>
      </c>
      <c r="E33" s="82">
        <v>-3706</v>
      </c>
      <c r="F33" s="83">
        <f t="shared" ref="F33:I34" si="33">E33*(1+$F$64)</f>
        <v>-3737.5600918706755</v>
      </c>
      <c r="G33" s="83">
        <f t="shared" si="33"/>
        <v>-3769.3889477453677</v>
      </c>
      <c r="H33" s="83">
        <f t="shared" si="33"/>
        <v>-3801.4888564035309</v>
      </c>
      <c r="I33" s="83">
        <f t="shared" si="33"/>
        <v>-3833.8621261157396</v>
      </c>
      <c r="J33" s="83">
        <f t="shared" ref="J33:J34" si="34">I33*(1+$F$64)</f>
        <v>-3866.5110848096729</v>
      </c>
      <c r="K33" s="83">
        <f t="shared" ref="K33:K34" si="35">J33*(1+$F$64)</f>
        <v>-3899.438080237514</v>
      </c>
    </row>
    <row r="34" spans="2:18" x14ac:dyDescent="0.2">
      <c r="B34" s="5" t="s">
        <v>413</v>
      </c>
      <c r="C34" s="82">
        <v>-66</v>
      </c>
      <c r="D34" s="82">
        <v>-342</v>
      </c>
      <c r="E34" s="82">
        <v>-545</v>
      </c>
      <c r="F34" s="83">
        <f t="shared" si="33"/>
        <v>-549.64118998098172</v>
      </c>
      <c r="G34" s="83">
        <f t="shared" si="33"/>
        <v>-554.32190408020119</v>
      </c>
      <c r="H34" s="83">
        <f t="shared" si="33"/>
        <v>-559.04247888287227</v>
      </c>
      <c r="I34" s="83">
        <f t="shared" si="33"/>
        <v>-563.80325384055004</v>
      </c>
      <c r="J34" s="83">
        <f t="shared" si="34"/>
        <v>-568.60457129554015</v>
      </c>
      <c r="K34" s="83">
        <f t="shared" si="35"/>
        <v>-573.44677650551671</v>
      </c>
    </row>
    <row r="35" spans="2:18" x14ac:dyDescent="0.2">
      <c r="B35" s="86" t="s">
        <v>561</v>
      </c>
      <c r="C35" s="88">
        <f>C31+C33+C34</f>
        <v>4146</v>
      </c>
      <c r="D35" s="88">
        <f t="shared" ref="D35" si="36">D31+D33+D34</f>
        <v>3715</v>
      </c>
      <c r="E35" s="88">
        <f>E31+E33+E34</f>
        <v>1527</v>
      </c>
      <c r="F35" s="88">
        <f t="shared" ref="F35:I35" si="37">F31+F33+F34</f>
        <v>2098.1100269377152</v>
      </c>
      <c r="G35" s="88">
        <f t="shared" si="37"/>
        <v>2316.2605774101403</v>
      </c>
      <c r="H35" s="88">
        <f t="shared" si="37"/>
        <v>2803.5200388763333</v>
      </c>
      <c r="I35" s="88">
        <f t="shared" si="37"/>
        <v>3247.6292256129841</v>
      </c>
      <c r="J35" s="88">
        <f t="shared" ref="J35:K35" si="38">J31+J33+J34</f>
        <v>3558.0424918259878</v>
      </c>
      <c r="K35" s="88">
        <f t="shared" si="38"/>
        <v>3898.9080883301149</v>
      </c>
    </row>
    <row r="36" spans="2:18" x14ac:dyDescent="0.2">
      <c r="B36" s="78"/>
      <c r="C36" s="82"/>
      <c r="D36" s="82"/>
      <c r="E36" s="82"/>
      <c r="F36" s="83"/>
      <c r="G36" s="83"/>
      <c r="H36" s="83"/>
      <c r="I36" s="83"/>
      <c r="J36" s="83"/>
      <c r="K36" s="83"/>
    </row>
    <row r="37" spans="2:18" x14ac:dyDescent="0.2">
      <c r="B37" s="5" t="s">
        <v>414</v>
      </c>
      <c r="C37" s="82">
        <v>832</v>
      </c>
      <c r="D37" s="82">
        <v>551</v>
      </c>
      <c r="E37" s="82">
        <v>621</v>
      </c>
      <c r="F37" s="83">
        <f>AVERAGE(C37:E37)</f>
        <v>668</v>
      </c>
      <c r="G37" s="83">
        <f>AVERAGE(D37:F37)</f>
        <v>613.33333333333337</v>
      </c>
      <c r="H37" s="83">
        <f>AVERAGE(E37:G37)</f>
        <v>634.1111111111112</v>
      </c>
      <c r="I37" s="83">
        <f>AVERAGE(F37:H37)</f>
        <v>638.48148148148164</v>
      </c>
      <c r="J37" s="83">
        <f t="shared" ref="J37:K37" si="39">AVERAGE(G37:I37)</f>
        <v>628.64197530864203</v>
      </c>
      <c r="K37" s="83">
        <f t="shared" si="39"/>
        <v>633.74485596707825</v>
      </c>
    </row>
    <row r="38" spans="2:18" x14ac:dyDescent="0.2">
      <c r="B38" s="5" t="s">
        <v>415</v>
      </c>
      <c r="C38" s="82">
        <v>293</v>
      </c>
      <c r="D38" s="82">
        <v>499</v>
      </c>
      <c r="E38" s="82">
        <v>562</v>
      </c>
      <c r="F38" s="83">
        <f>F53*E81</f>
        <v>24.44</v>
      </c>
      <c r="G38" s="83">
        <f t="shared" ref="G38:I38" si="40">G53*F81</f>
        <v>14.387454072188158</v>
      </c>
      <c r="H38" s="83">
        <f t="shared" si="40"/>
        <v>62.168997339458436</v>
      </c>
      <c r="I38" s="83">
        <f t="shared" si="40"/>
        <v>159.05438998054174</v>
      </c>
      <c r="J38" s="83">
        <f t="shared" ref="J38" si="41">J53*I81</f>
        <v>233.81588204073884</v>
      </c>
      <c r="K38" s="83">
        <f t="shared" ref="K38" si="42">K53*J81</f>
        <v>314.08372017456469</v>
      </c>
    </row>
    <row r="39" spans="2:18" x14ac:dyDescent="0.2">
      <c r="B39" s="5" t="s">
        <v>416</v>
      </c>
      <c r="C39" s="82">
        <v>-396</v>
      </c>
      <c r="D39" s="82">
        <v>-647</v>
      </c>
      <c r="E39" s="82">
        <v>-706</v>
      </c>
      <c r="F39" s="83">
        <f>-F54*SUM(E110,E111)</f>
        <v>-454.8</v>
      </c>
      <c r="G39" s="83">
        <f t="shared" ref="G39:I39" si="43">-G54*SUM(F110,F111)</f>
        <v>-437.09187064098467</v>
      </c>
      <c r="H39" s="83">
        <f t="shared" si="43"/>
        <v>-478.07404342096493</v>
      </c>
      <c r="I39" s="83">
        <f t="shared" si="43"/>
        <v>-530.47717576529305</v>
      </c>
      <c r="J39" s="83">
        <f t="shared" ref="J39" si="44">-J54*SUM(I110,I111)</f>
        <v>-555.14408091761254</v>
      </c>
      <c r="K39" s="83">
        <f t="shared" ref="K39" si="45">-K54*SUM(J110,J111)</f>
        <v>-582.5117165411632</v>
      </c>
      <c r="L39" s="35"/>
    </row>
    <row r="40" spans="2:18" x14ac:dyDescent="0.2">
      <c r="B40" s="5" t="s">
        <v>417</v>
      </c>
      <c r="C40" s="82">
        <v>358</v>
      </c>
      <c r="D40" s="82">
        <v>176</v>
      </c>
      <c r="E40" s="82">
        <v>251</v>
      </c>
      <c r="F40" s="83">
        <f>E40*(1+F66)</f>
        <v>263.47516660820764</v>
      </c>
      <c r="G40" s="83">
        <f t="shared" ref="G40:I40" si="46">F40*(1+G66)</f>
        <v>276.1459407572064</v>
      </c>
      <c r="H40" s="83">
        <f t="shared" si="46"/>
        <v>288.21610991587738</v>
      </c>
      <c r="I40" s="83">
        <f t="shared" si="46"/>
        <v>300.35661354666598</v>
      </c>
      <c r="J40" s="83">
        <f t="shared" ref="J40" si="47">I40*(1+J66)</f>
        <v>312.51677853776965</v>
      </c>
      <c r="K40" s="83">
        <f t="shared" ref="K40" si="48">J40*(1+K66)</f>
        <v>324.65043319035033</v>
      </c>
    </row>
    <row r="41" spans="2:18" x14ac:dyDescent="0.2">
      <c r="B41" s="86" t="s">
        <v>562</v>
      </c>
      <c r="C41" s="88">
        <f>C35+SUM(C37:C40)</f>
        <v>5233</v>
      </c>
      <c r="D41" s="88">
        <f>D35+SUM(D37:D40)</f>
        <v>4294</v>
      </c>
      <c r="E41" s="88">
        <f>E35+SUM(E37:E40)</f>
        <v>2255</v>
      </c>
      <c r="F41" s="88">
        <f t="shared" ref="F41:I41" si="49">F35+SUM(F37:F40)</f>
        <v>2599.225193545923</v>
      </c>
      <c r="G41" s="88">
        <f t="shared" si="49"/>
        <v>2783.0354349318836</v>
      </c>
      <c r="H41" s="88">
        <f t="shared" si="49"/>
        <v>3309.9422138218151</v>
      </c>
      <c r="I41" s="88">
        <f t="shared" si="49"/>
        <v>3815.0445348563803</v>
      </c>
      <c r="J41" s="88">
        <f t="shared" ref="J41:K41" si="50">J35+SUM(J37:J40)</f>
        <v>4177.8730467955256</v>
      </c>
      <c r="K41" s="88">
        <f t="shared" si="50"/>
        <v>4588.8753811209453</v>
      </c>
    </row>
    <row r="42" spans="2:18" x14ac:dyDescent="0.2">
      <c r="B42" s="78"/>
      <c r="C42" s="89"/>
      <c r="D42" s="89"/>
      <c r="E42" s="89"/>
      <c r="F42" s="83"/>
      <c r="G42" s="83"/>
      <c r="H42" s="83"/>
      <c r="I42" s="83"/>
      <c r="J42" s="83"/>
      <c r="K42" s="83"/>
    </row>
    <row r="43" spans="2:18" ht="13.5" customHeight="1" x14ac:dyDescent="0.2">
      <c r="B43" t="s">
        <v>418</v>
      </c>
      <c r="C43" s="85">
        <v>-868</v>
      </c>
      <c r="D43" s="85">
        <v>-828</v>
      </c>
      <c r="E43" s="85">
        <v>-476</v>
      </c>
      <c r="F43" s="83">
        <f>E43*(1+F67)</f>
        <v>-585.48</v>
      </c>
      <c r="G43" s="83">
        <f>F43*(1+G67)</f>
        <v>-720.1404</v>
      </c>
      <c r="H43" s="83">
        <f>G43*(1+H67)</f>
        <v>-885.77269200000001</v>
      </c>
      <c r="I43" s="83">
        <f>H43*(1+I67)</f>
        <v>-1089.5004111599999</v>
      </c>
      <c r="J43" s="83">
        <f t="shared" ref="J43:K43" si="51">I43*(1+J67)</f>
        <v>-1340.0855057267997</v>
      </c>
      <c r="K43" s="83">
        <f t="shared" si="51"/>
        <v>-1648.3051720439637</v>
      </c>
    </row>
    <row r="44" spans="2:18" ht="13.5" customHeight="1" x14ac:dyDescent="0.2">
      <c r="C44" s="89"/>
      <c r="D44" s="89"/>
      <c r="E44" s="89"/>
      <c r="F44" s="83"/>
      <c r="G44" s="83"/>
      <c r="H44" s="83"/>
      <c r="I44" s="83"/>
      <c r="J44" s="83"/>
      <c r="K44" s="83"/>
    </row>
    <row r="45" spans="2:18" ht="13.5" customHeight="1" x14ac:dyDescent="0.2">
      <c r="B45" s="78" t="s">
        <v>490</v>
      </c>
      <c r="C45" s="90">
        <f>SUM(C41,C43)</f>
        <v>4365</v>
      </c>
      <c r="D45" s="90">
        <f>SUM(D41,D43)</f>
        <v>3466</v>
      </c>
      <c r="E45" s="90">
        <f>SUM(E41,E43)</f>
        <v>1779</v>
      </c>
      <c r="F45" s="90">
        <f t="shared" ref="F45:I45" si="52">SUM(F41,F43)</f>
        <v>2013.745193545923</v>
      </c>
      <c r="G45" s="90">
        <f t="shared" si="52"/>
        <v>2062.8950349318839</v>
      </c>
      <c r="H45" s="90">
        <f t="shared" si="52"/>
        <v>2424.1695218218151</v>
      </c>
      <c r="I45" s="90">
        <f t="shared" si="52"/>
        <v>2725.5441236963807</v>
      </c>
      <c r="J45" s="90">
        <f t="shared" ref="J45:K45" si="53">SUM(J41,J43)</f>
        <v>2837.7875410687257</v>
      </c>
      <c r="K45" s="90">
        <f t="shared" si="53"/>
        <v>2940.5702090769819</v>
      </c>
    </row>
    <row r="46" spans="2:18" x14ac:dyDescent="0.2">
      <c r="B46" s="5" t="s">
        <v>491</v>
      </c>
      <c r="C46" s="82">
        <v>-25</v>
      </c>
      <c r="D46" s="82">
        <v>17</v>
      </c>
      <c r="E46" s="82">
        <v>21</v>
      </c>
      <c r="F46" s="85">
        <v>20</v>
      </c>
      <c r="G46" s="85">
        <v>20</v>
      </c>
      <c r="H46" s="85">
        <v>20</v>
      </c>
      <c r="I46" s="85">
        <v>20</v>
      </c>
      <c r="J46" s="85">
        <v>21</v>
      </c>
      <c r="K46" s="85">
        <v>22</v>
      </c>
      <c r="R46" s="37"/>
    </row>
    <row r="47" spans="2:18" x14ac:dyDescent="0.2">
      <c r="B47" s="91" t="s">
        <v>421</v>
      </c>
      <c r="C47" s="88">
        <f>C45+C46</f>
        <v>4340</v>
      </c>
      <c r="D47" s="88">
        <f>D45+D46</f>
        <v>3483</v>
      </c>
      <c r="E47" s="88">
        <f>E45+E46</f>
        <v>1800</v>
      </c>
      <c r="F47" s="87">
        <f>SUM(F45:F46)</f>
        <v>2033.745193545923</v>
      </c>
      <c r="G47" s="87">
        <f t="shared" ref="G47:I47" si="54">SUM(G45:G46)</f>
        <v>2082.8950349318839</v>
      </c>
      <c r="H47" s="87">
        <f t="shared" si="54"/>
        <v>2444.1695218218151</v>
      </c>
      <c r="I47" s="87">
        <f t="shared" si="54"/>
        <v>2745.5441236963807</v>
      </c>
      <c r="J47" s="87">
        <f t="shared" ref="J47:K47" si="55">SUM(J45:J46)</f>
        <v>2858.7875410687257</v>
      </c>
      <c r="K47" s="87">
        <f t="shared" si="55"/>
        <v>2962.5702090769819</v>
      </c>
    </row>
    <row r="48" spans="2:18" x14ac:dyDescent="0.2">
      <c r="B48" s="78"/>
      <c r="C48" s="89"/>
      <c r="D48" s="89"/>
      <c r="E48" s="89"/>
      <c r="F48" s="83"/>
      <c r="G48" s="83"/>
      <c r="H48" s="83"/>
      <c r="I48" s="83"/>
      <c r="J48" s="83"/>
      <c r="K48" s="83"/>
    </row>
    <row r="49" spans="2:11" x14ac:dyDescent="0.2">
      <c r="B49" s="92" t="s">
        <v>593</v>
      </c>
      <c r="C49" s="82">
        <v>-794</v>
      </c>
      <c r="D49" s="82">
        <v>-825</v>
      </c>
      <c r="E49" s="82">
        <v>-875</v>
      </c>
      <c r="F49" s="83">
        <f>E49*(1+F64)</f>
        <v>-882.45145180432837</v>
      </c>
      <c r="G49" s="83">
        <f t="shared" ref="G49:I49" si="56">F49*(1+G64)</f>
        <v>-919.77745820876066</v>
      </c>
      <c r="H49" s="83">
        <f t="shared" si="56"/>
        <v>-1020.5970290119425</v>
      </c>
      <c r="I49" s="83">
        <f t="shared" si="56"/>
        <v>-1068.0542453889866</v>
      </c>
      <c r="J49" s="83">
        <f t="shared" ref="J49" si="57">I49*(1+J64)</f>
        <v>-1120.7074581651671</v>
      </c>
      <c r="K49" s="83">
        <f t="shared" ref="K49" si="58">J49*(1+K64)</f>
        <v>-1178.5798410627062</v>
      </c>
    </row>
    <row r="50" spans="2:11" x14ac:dyDescent="0.2">
      <c r="B50" s="92" t="s">
        <v>563</v>
      </c>
      <c r="C50" s="82">
        <v>-235</v>
      </c>
      <c r="D50" s="82">
        <v>-234</v>
      </c>
      <c r="E50" s="82">
        <v>-266</v>
      </c>
      <c r="F50" s="83">
        <v>-285</v>
      </c>
      <c r="G50" s="83">
        <v>-284</v>
      </c>
      <c r="H50" s="83">
        <v>-272</v>
      </c>
      <c r="I50" s="83">
        <v>-266</v>
      </c>
      <c r="J50" s="83">
        <v>-265</v>
      </c>
      <c r="K50" s="83">
        <v>-264</v>
      </c>
    </row>
    <row r="51" spans="2:11" x14ac:dyDescent="0.2">
      <c r="B51" s="92" t="s">
        <v>520</v>
      </c>
      <c r="C51" s="82">
        <v>-1319</v>
      </c>
      <c r="D51" s="82">
        <v>-1494</v>
      </c>
      <c r="E51" s="82">
        <v>-1563</v>
      </c>
      <c r="F51" s="83">
        <f>-1500</f>
        <v>-1500</v>
      </c>
      <c r="G51" s="83">
        <f>F51*(1+G64)</f>
        <v>-1563.4471273090082</v>
      </c>
      <c r="H51" s="83">
        <f>G51*(1+H64)</f>
        <v>-1734.8212645440453</v>
      </c>
      <c r="I51" s="83">
        <f>H51*(1+I64)</f>
        <v>-1815.4895261464417</v>
      </c>
      <c r="J51" s="83">
        <f t="shared" ref="J51:K51" si="59">I51*(1+J64)</f>
        <v>-1904.9899955521892</v>
      </c>
      <c r="K51" s="83">
        <f t="shared" si="59"/>
        <v>-2003.3620636912503</v>
      </c>
    </row>
    <row r="52" spans="2:11" x14ac:dyDescent="0.2">
      <c r="B52" s="92" t="s">
        <v>559</v>
      </c>
      <c r="C52" s="82">
        <v>-216</v>
      </c>
      <c r="D52" s="82">
        <v>-256</v>
      </c>
      <c r="E52" s="82">
        <v>-269</v>
      </c>
      <c r="F52" s="83">
        <f>E52*(1+F64)</f>
        <v>-271.29078918327355</v>
      </c>
      <c r="G52" s="83">
        <f>F52*(1+G64)</f>
        <v>-282.76587000932187</v>
      </c>
      <c r="H52" s="83">
        <f>G52*(1+H64)</f>
        <v>-313.76068663338577</v>
      </c>
      <c r="I52" s="83">
        <f>H52*(1+I64)</f>
        <v>-328.35039086815704</v>
      </c>
      <c r="J52" s="83">
        <f t="shared" ref="J52:K52" si="60">I52*(1+J64)</f>
        <v>-344.53749285306282</v>
      </c>
      <c r="K52" s="83">
        <f t="shared" si="60"/>
        <v>-362.32911685242061</v>
      </c>
    </row>
    <row r="53" spans="2:11" x14ac:dyDescent="0.2">
      <c r="B53" s="92" t="s">
        <v>623</v>
      </c>
      <c r="C53" s="82"/>
      <c r="D53" s="82"/>
      <c r="E53" s="82"/>
      <c r="F53" s="115">
        <v>0.04</v>
      </c>
      <c r="G53" s="115">
        <v>0.04</v>
      </c>
      <c r="H53" s="115">
        <v>0.04</v>
      </c>
      <c r="I53" s="115">
        <v>0.04</v>
      </c>
      <c r="J53" s="115">
        <v>0.04</v>
      </c>
      <c r="K53" s="115">
        <v>0.04</v>
      </c>
    </row>
    <row r="54" spans="2:11" x14ac:dyDescent="0.2">
      <c r="B54" s="92" t="s">
        <v>624</v>
      </c>
      <c r="C54" s="82"/>
      <c r="D54" s="82"/>
      <c r="E54" s="82"/>
      <c r="F54" s="115">
        <v>0.06</v>
      </c>
      <c r="G54" s="115">
        <v>0.06</v>
      </c>
      <c r="H54" s="115">
        <v>0.06</v>
      </c>
      <c r="I54" s="115">
        <v>0.06</v>
      </c>
      <c r="J54" s="115">
        <v>0.06</v>
      </c>
      <c r="K54" s="115">
        <v>0.06</v>
      </c>
    </row>
    <row r="55" spans="2:11" x14ac:dyDescent="0.2">
      <c r="B55" s="92"/>
      <c r="C55" s="82"/>
      <c r="D55" s="82"/>
      <c r="E55" s="82"/>
      <c r="F55" s="83"/>
      <c r="G55" s="83"/>
      <c r="H55" s="83"/>
      <c r="I55" s="83"/>
      <c r="J55" s="83"/>
      <c r="K55" s="83"/>
    </row>
    <row r="56" spans="2:11" x14ac:dyDescent="0.2">
      <c r="B56" s="92" t="s">
        <v>422</v>
      </c>
      <c r="C56" s="82">
        <v>562</v>
      </c>
      <c r="D56" s="82" t="s">
        <v>33</v>
      </c>
      <c r="E56" s="82">
        <v>492</v>
      </c>
      <c r="F56" s="83"/>
      <c r="G56" s="83"/>
      <c r="H56" s="83"/>
      <c r="I56" s="83"/>
      <c r="J56" s="83"/>
      <c r="K56" s="83"/>
    </row>
    <row r="57" spans="2:11" x14ac:dyDescent="0.2">
      <c r="B57" s="92" t="s">
        <v>423</v>
      </c>
      <c r="C57" s="82">
        <v>563</v>
      </c>
      <c r="D57" s="82" t="s">
        <v>35</v>
      </c>
      <c r="E57" s="82">
        <v>493</v>
      </c>
      <c r="F57" s="83"/>
      <c r="G57" s="83"/>
      <c r="H57" s="83"/>
      <c r="I57" s="83"/>
      <c r="J57" s="83"/>
      <c r="K57" s="83"/>
    </row>
    <row r="58" spans="2:11" x14ac:dyDescent="0.2">
      <c r="B58" s="92" t="s">
        <v>424</v>
      </c>
      <c r="C58" s="82">
        <v>7.72</v>
      </c>
      <c r="D58" s="82" t="s">
        <v>37</v>
      </c>
      <c r="E58" s="82">
        <v>3.66</v>
      </c>
      <c r="F58" s="83"/>
      <c r="G58" s="83"/>
      <c r="H58" s="83"/>
      <c r="I58" s="83"/>
      <c r="J58" s="83"/>
      <c r="K58" s="83"/>
    </row>
    <row r="59" spans="2:11" x14ac:dyDescent="0.2">
      <c r="B59" s="92" t="s">
        <v>425</v>
      </c>
      <c r="C59" s="82">
        <v>7.71</v>
      </c>
      <c r="D59" s="82" t="s">
        <v>39</v>
      </c>
      <c r="E59" s="82">
        <v>3.65</v>
      </c>
      <c r="F59" s="83"/>
      <c r="G59" s="83"/>
      <c r="H59" s="83"/>
      <c r="I59" s="83"/>
      <c r="J59" s="83"/>
      <c r="K59" s="83"/>
    </row>
    <row r="60" spans="2:11" x14ac:dyDescent="0.2">
      <c r="B60" s="92"/>
      <c r="C60" s="82"/>
      <c r="D60" s="82"/>
      <c r="E60" s="82"/>
      <c r="F60" s="83"/>
      <c r="G60" s="83"/>
      <c r="H60" s="83"/>
      <c r="I60" s="83"/>
      <c r="J60" s="83"/>
      <c r="K60" s="83"/>
    </row>
    <row r="61" spans="2:11" x14ac:dyDescent="0.2">
      <c r="B61" s="92"/>
      <c r="C61" s="82"/>
      <c r="D61" s="82"/>
      <c r="E61" s="82"/>
      <c r="F61" s="83"/>
      <c r="G61" s="83"/>
      <c r="H61" s="83"/>
      <c r="I61" s="83"/>
      <c r="J61" s="83"/>
      <c r="K61" s="83"/>
    </row>
    <row r="63" spans="2:11" x14ac:dyDescent="0.2">
      <c r="B63" s="11" t="s">
        <v>517</v>
      </c>
    </row>
    <row r="64" spans="2:11" x14ac:dyDescent="0.2">
      <c r="B64" s="5" t="s">
        <v>518</v>
      </c>
      <c r="C64" s="39"/>
      <c r="D64" s="39">
        <f t="shared" ref="D64:I64" si="61">(D27-C27)/C27</f>
        <v>-7.5042341171373428E-2</v>
      </c>
      <c r="E64" s="39">
        <f t="shared" si="61"/>
        <v>-8.9476765848725187E-2</v>
      </c>
      <c r="F64" s="39">
        <f>(F27-E27)/E27</f>
        <v>8.5159449192325539E-3</v>
      </c>
      <c r="G64" s="39">
        <f>(G27-F27)/F27</f>
        <v>4.2298084872672219E-2</v>
      </c>
      <c r="H64" s="39">
        <f t="shared" si="61"/>
        <v>0.10961300464954317</v>
      </c>
      <c r="I64" s="39">
        <f t="shared" si="61"/>
        <v>4.6499465536351897E-2</v>
      </c>
      <c r="J64" s="39">
        <f t="shared" ref="J64" si="62">(J27-I27)/I27</f>
        <v>4.929825709086904E-2</v>
      </c>
      <c r="K64" s="39">
        <f t="shared" ref="K64" si="63">(K27-J27)/J27</f>
        <v>5.1639152105125236E-2</v>
      </c>
    </row>
    <row r="65" spans="2:11" x14ac:dyDescent="0.2">
      <c r="B65" s="5" t="s">
        <v>549</v>
      </c>
      <c r="C65" s="39">
        <f>C31/C27</f>
        <v>7.4540155185316481E-2</v>
      </c>
      <c r="D65" s="39">
        <f t="shared" ref="D65:E65" si="64">D31/D27</f>
        <v>7.9980837813381597E-2</v>
      </c>
      <c r="E65" s="39">
        <f t="shared" si="64"/>
        <v>6.7555243774114343E-2</v>
      </c>
      <c r="F65" s="39">
        <f>AVERAGE(C65:E65)</f>
        <v>7.4025412257604145E-2</v>
      </c>
      <c r="G65" s="39">
        <f t="shared" ref="G65:I65" si="65">AVERAGE(D65:F65)</f>
        <v>7.3853831281700019E-2</v>
      </c>
      <c r="H65" s="39">
        <f t="shared" si="65"/>
        <v>7.1811495771139502E-2</v>
      </c>
      <c r="I65" s="39">
        <f t="shared" si="65"/>
        <v>7.3230246436814542E-2</v>
      </c>
      <c r="J65" s="39">
        <f t="shared" ref="J65" si="66">AVERAGE(G65:I65)</f>
        <v>7.2965191163218021E-2</v>
      </c>
      <c r="K65" s="39">
        <f t="shared" ref="K65" si="67">AVERAGE(H65:J65)</f>
        <v>7.2668977790390679E-2</v>
      </c>
    </row>
    <row r="66" spans="2:11" x14ac:dyDescent="0.2">
      <c r="B66" s="5" t="s">
        <v>547</v>
      </c>
      <c r="C66" s="39">
        <f>-SUM(C33,C34)/C27</f>
        <v>3.3715388554098231E-2</v>
      </c>
      <c r="D66" s="39">
        <f t="shared" ref="D66:I66" si="68">-SUM(D33,D34)/D27</f>
        <v>4.0432213764837389E-2</v>
      </c>
      <c r="E66" s="39">
        <f t="shared" si="68"/>
        <v>4.9701858996843214E-2</v>
      </c>
      <c r="F66" s="39">
        <f t="shared" si="68"/>
        <v>4.9701858996843207E-2</v>
      </c>
      <c r="G66" s="39">
        <f t="shared" si="68"/>
        <v>4.8090961710408497E-2</v>
      </c>
      <c r="H66" s="39">
        <f t="shared" si="68"/>
        <v>4.3709384702791496E-2</v>
      </c>
      <c r="I66" s="39">
        <f t="shared" si="68"/>
        <v>4.2122918230809908E-2</v>
      </c>
      <c r="J66" s="39">
        <f t="shared" ref="J66:K66" si="69">-SUM(J33,J34)/J27</f>
        <v>4.0485757405219737E-2</v>
      </c>
      <c r="K66" s="39">
        <f t="shared" si="69"/>
        <v>3.8825610289958512E-2</v>
      </c>
    </row>
    <row r="67" spans="2:11" x14ac:dyDescent="0.2">
      <c r="B67" s="5" t="s">
        <v>519</v>
      </c>
      <c r="C67" s="39">
        <f>-C43/C41</f>
        <v>0.16587043760749093</v>
      </c>
      <c r="D67" s="39">
        <f>-D43/D41</f>
        <v>0.19282720074522589</v>
      </c>
      <c r="E67" s="39">
        <f>-E43/E41</f>
        <v>0.21108647450110865</v>
      </c>
      <c r="F67" s="93">
        <f>0.23</f>
        <v>0.23</v>
      </c>
      <c r="G67" s="93">
        <f>0.23</f>
        <v>0.23</v>
      </c>
      <c r="H67" s="93">
        <f>0.23</f>
        <v>0.23</v>
      </c>
      <c r="I67" s="93">
        <f>0.23</f>
        <v>0.23</v>
      </c>
      <c r="J67" s="93">
        <f t="shared" ref="J67:K67" si="70">0.23</f>
        <v>0.23</v>
      </c>
      <c r="K67" s="93">
        <f t="shared" si="70"/>
        <v>0.23</v>
      </c>
    </row>
    <row r="68" spans="2:11" x14ac:dyDescent="0.2">
      <c r="B68" s="5" t="s">
        <v>551</v>
      </c>
      <c r="D68" s="35">
        <f>(D35-C35)/C35</f>
        <v>-0.10395561987457791</v>
      </c>
      <c r="E68" s="35">
        <f>(E35-D35)/D35</f>
        <v>-0.58896366083445495</v>
      </c>
      <c r="F68" s="35">
        <f t="shared" ref="F68:I68" si="71">(F35-E35)/E35</f>
        <v>0.37400787618710885</v>
      </c>
      <c r="G68" s="35">
        <f t="shared" si="71"/>
        <v>0.10397479048838323</v>
      </c>
      <c r="H68" s="35">
        <f t="shared" si="71"/>
        <v>0.21036469999027832</v>
      </c>
      <c r="I68" s="35">
        <f t="shared" si="71"/>
        <v>0.15841127603091873</v>
      </c>
      <c r="J68" s="35">
        <f t="shared" ref="J68" si="72">(J35-I35)/I35</f>
        <v>9.5581497963153031E-2</v>
      </c>
      <c r="K68" s="35">
        <f t="shared" ref="K68" si="73">(K35-J35)/J35</f>
        <v>9.5801440620006437E-2</v>
      </c>
    </row>
    <row r="69" spans="2:11" x14ac:dyDescent="0.2">
      <c r="B69" s="5" t="s">
        <v>552</v>
      </c>
      <c r="C69" s="35"/>
      <c r="D69" s="35">
        <f t="shared" ref="D69:I69" si="74">(D29-C29)/C29</f>
        <v>-8.0480071500010644E-2</v>
      </c>
      <c r="E69" s="35">
        <f t="shared" si="74"/>
        <v>-7.7179421906459003E-2</v>
      </c>
      <c r="F69" s="35">
        <f t="shared" si="74"/>
        <v>1.5179238157361286E-3</v>
      </c>
      <c r="G69" s="35">
        <f t="shared" si="74"/>
        <v>4.2491220326876737E-2</v>
      </c>
      <c r="H69" s="35">
        <f t="shared" si="74"/>
        <v>0.11205992082640498</v>
      </c>
      <c r="I69" s="35">
        <f t="shared" si="74"/>
        <v>4.4899874713373908E-2</v>
      </c>
      <c r="J69" s="35">
        <f t="shared" ref="J69" si="75">(J29-I29)/I29</f>
        <v>4.9598355400668426E-2</v>
      </c>
      <c r="K69" s="35">
        <f t="shared" ref="K69" si="76">(K29-J29)/J29</f>
        <v>5.197518002691736E-2</v>
      </c>
    </row>
    <row r="70" spans="2:11" x14ac:dyDescent="0.2">
      <c r="B70" s="5" t="s">
        <v>554</v>
      </c>
      <c r="C70" s="39">
        <f>C46/C45</f>
        <v>-5.7273768613974796E-3</v>
      </c>
      <c r="D70" s="39">
        <f>D46/D45</f>
        <v>4.9047893825735715E-3</v>
      </c>
      <c r="E70" s="39">
        <f>E46/E45</f>
        <v>1.1804384485666104E-2</v>
      </c>
      <c r="F70" s="39">
        <f t="shared" ref="F70:I70" si="77">F46/F45</f>
        <v>9.93174313418611E-3</v>
      </c>
      <c r="G70" s="39">
        <f t="shared" si="77"/>
        <v>9.6951127717753195E-3</v>
      </c>
      <c r="H70" s="39">
        <f t="shared" si="77"/>
        <v>8.2502481035111666E-3</v>
      </c>
      <c r="I70" s="39">
        <f t="shared" si="77"/>
        <v>7.3379843041674981E-3</v>
      </c>
      <c r="J70" s="39">
        <f t="shared" ref="J70:K70" si="78">J46/J45</f>
        <v>7.4001311571377506E-3</v>
      </c>
      <c r="K70" s="39">
        <f t="shared" si="78"/>
        <v>7.4815421621596302E-3</v>
      </c>
    </row>
    <row r="71" spans="2:11" x14ac:dyDescent="0.2">
      <c r="B71" s="5" t="s">
        <v>565</v>
      </c>
      <c r="C71" s="39">
        <f>(C28+C30)/C28</f>
        <v>4.9822153513567863E-2</v>
      </c>
      <c r="D71" s="39">
        <f t="shared" ref="D71:I71" si="79">(D28+D30)/D28</f>
        <v>5.9066270803257701E-2</v>
      </c>
      <c r="E71" s="39">
        <f t="shared" si="79"/>
        <v>4.062180527993265E-2</v>
      </c>
      <c r="F71" s="39">
        <f t="shared" si="79"/>
        <v>4.4603699027085331E-2</v>
      </c>
      <c r="G71" s="39">
        <f t="shared" si="79"/>
        <v>4.3580499325894216E-2</v>
      </c>
      <c r="H71" s="39">
        <f t="shared" si="79"/>
        <v>4.2938310415256115E-2</v>
      </c>
      <c r="I71" s="39">
        <f t="shared" si="79"/>
        <v>4.3707994832735957E-2</v>
      </c>
      <c r="J71" s="39">
        <f t="shared" ref="J71:K71" si="80">(J28+J30)/J28</f>
        <v>4.3409053432800944E-2</v>
      </c>
      <c r="K71" s="39">
        <f t="shared" si="80"/>
        <v>4.3351891141817561E-2</v>
      </c>
    </row>
    <row r="72" spans="2:11" x14ac:dyDescent="0.2">
      <c r="B72" s="5"/>
      <c r="C72" s="39"/>
      <c r="D72" s="39"/>
      <c r="E72" s="39"/>
      <c r="F72" s="39"/>
      <c r="G72" s="39"/>
      <c r="H72" s="39"/>
      <c r="I72" s="39"/>
      <c r="J72" s="39"/>
      <c r="K72" s="39"/>
    </row>
    <row r="73" spans="2:11" x14ac:dyDescent="0.2">
      <c r="B73" s="78" t="s">
        <v>597</v>
      </c>
      <c r="C73" s="39"/>
      <c r="D73" s="39"/>
      <c r="E73" s="39"/>
      <c r="F73" s="39"/>
      <c r="G73" s="39"/>
      <c r="H73" s="39"/>
      <c r="I73" s="39"/>
      <c r="J73" s="39"/>
      <c r="K73" s="39"/>
    </row>
    <row r="74" spans="2:11" x14ac:dyDescent="0.2">
      <c r="B74" s="5" t="s">
        <v>583</v>
      </c>
      <c r="C74" s="39">
        <f>C28/C27</f>
        <v>0.78343967860096897</v>
      </c>
      <c r="D74" s="39">
        <f>D28/D27</f>
        <v>0.78166817480172457</v>
      </c>
      <c r="E74" s="39">
        <f>E28/E27</f>
        <v>0.77769203788144514</v>
      </c>
      <c r="F74" s="39">
        <f>AVERAGE(C74:E74)</f>
        <v>0.78093329709471293</v>
      </c>
      <c r="G74" s="39">
        <f>AVERAGE(D74:F74)</f>
        <v>0.78009783659262755</v>
      </c>
      <c r="H74" s="39">
        <f>AVERAGE(E74:G74)</f>
        <v>0.77957439052292854</v>
      </c>
      <c r="I74" s="39">
        <f>AVERAGE(F74:H74)</f>
        <v>0.78020184140342297</v>
      </c>
      <c r="J74" s="39">
        <f t="shared" ref="J74:K74" si="81">AVERAGE(G74:I74)</f>
        <v>0.77995802283965965</v>
      </c>
      <c r="K74" s="39">
        <f t="shared" si="81"/>
        <v>0.77991141825533694</v>
      </c>
    </row>
    <row r="75" spans="2:11" ht="15.75" customHeight="1" x14ac:dyDescent="0.2">
      <c r="B75" s="5" t="s">
        <v>574</v>
      </c>
      <c r="C75">
        <f>SUM(C76:C77)</f>
        <v>19.753</v>
      </c>
      <c r="D75">
        <f>SUM(D76:D77)</f>
        <v>19.314</v>
      </c>
      <c r="E75">
        <f>SUM(E76:E77)</f>
        <v>16.809000000000001</v>
      </c>
      <c r="F75">
        <f>F5</f>
        <v>17.14518</v>
      </c>
      <c r="G75">
        <f>G5</f>
        <v>18.002438999999999</v>
      </c>
      <c r="H75">
        <f>H5</f>
        <v>19.802682900000001</v>
      </c>
      <c r="I75">
        <f>I5</f>
        <v>20.792817045000003</v>
      </c>
      <c r="J75">
        <f t="shared" ref="J75:K75" si="82">J5</f>
        <v>21.832457897250006</v>
      </c>
      <c r="K75">
        <f t="shared" si="82"/>
        <v>22.924080792112505</v>
      </c>
    </row>
    <row r="76" spans="2:11" ht="15.75" customHeight="1" x14ac:dyDescent="0.2">
      <c r="B76" s="68" t="s">
        <v>580</v>
      </c>
      <c r="C76" s="94">
        <v>0.16200000000000001</v>
      </c>
      <c r="D76" s="94">
        <v>0.17</v>
      </c>
      <c r="E76" s="94">
        <v>0.2</v>
      </c>
    </row>
    <row r="77" spans="2:11" ht="15.75" customHeight="1" x14ac:dyDescent="0.2">
      <c r="B77" s="68" t="s">
        <v>581</v>
      </c>
      <c r="C77" s="94">
        <v>19.591000000000001</v>
      </c>
      <c r="D77" s="94">
        <v>19.143999999999998</v>
      </c>
      <c r="E77" s="94">
        <v>16.609000000000002</v>
      </c>
    </row>
    <row r="78" spans="2:11" ht="15.75" customHeight="1" x14ac:dyDescent="0.2"/>
    <row r="79" spans="2:11" x14ac:dyDescent="0.2">
      <c r="B79" s="95" t="s">
        <v>445</v>
      </c>
      <c r="C79" s="96">
        <v>44926</v>
      </c>
      <c r="D79" s="96">
        <f>EOMONTH(C79,12)</f>
        <v>45291</v>
      </c>
      <c r="E79" s="96">
        <f t="shared" ref="E79:I79" si="83">EOMONTH(D79,12)</f>
        <v>45657</v>
      </c>
      <c r="F79" s="96">
        <f t="shared" si="83"/>
        <v>46022</v>
      </c>
      <c r="G79" s="96">
        <f t="shared" si="83"/>
        <v>46387</v>
      </c>
      <c r="H79" s="96">
        <f t="shared" si="83"/>
        <v>46752</v>
      </c>
      <c r="I79" s="96">
        <f t="shared" si="83"/>
        <v>47118</v>
      </c>
      <c r="J79" s="96">
        <f t="shared" ref="J79" si="84">EOMONTH(I79,12)</f>
        <v>47483</v>
      </c>
      <c r="K79" s="96">
        <f t="shared" ref="K79" si="85">EOMONTH(J79,12)</f>
        <v>47848</v>
      </c>
    </row>
    <row r="80" spans="2:11" x14ac:dyDescent="0.2">
      <c r="B80" s="79"/>
      <c r="D80" s="20"/>
      <c r="E80" s="20"/>
    </row>
    <row r="81" spans="2:12" x14ac:dyDescent="0.2">
      <c r="B81" s="65" t="s">
        <v>431</v>
      </c>
      <c r="C81" s="97">
        <v>1037</v>
      </c>
      <c r="D81" s="97">
        <v>1368</v>
      </c>
      <c r="E81" s="97">
        <v>611</v>
      </c>
      <c r="F81" s="98">
        <f>E81+F197</f>
        <v>359.68635180470392</v>
      </c>
      <c r="G81" s="98">
        <f t="shared" ref="G81:I81" si="86">F81+G197</f>
        <v>1554.2249334864609</v>
      </c>
      <c r="H81" s="98">
        <f t="shared" si="86"/>
        <v>3976.3597495135436</v>
      </c>
      <c r="I81" s="98">
        <f t="shared" si="86"/>
        <v>5845.3970510184708</v>
      </c>
      <c r="J81" s="98">
        <f t="shared" ref="J81" si="87">I81+J197</f>
        <v>7852.0930043641165</v>
      </c>
      <c r="K81" s="98">
        <f t="shared" ref="K81" si="88">J81+K197</f>
        <v>9985.4647897145023</v>
      </c>
    </row>
    <row r="82" spans="2:12" x14ac:dyDescent="0.2">
      <c r="B82" s="65" t="s">
        <v>432</v>
      </c>
      <c r="C82" s="97" t="s">
        <v>47</v>
      </c>
      <c r="D82" s="97" t="s">
        <v>47</v>
      </c>
      <c r="E82" s="97">
        <v>246</v>
      </c>
      <c r="F82" s="98">
        <f>E82*(1+F64)</f>
        <v>248.09492245013118</v>
      </c>
      <c r="G82" s="98">
        <f>F82*(1+G64)</f>
        <v>258.58886253640583</v>
      </c>
      <c r="H82" s="98">
        <f>G82*(1+H64)</f>
        <v>286.93356472792897</v>
      </c>
      <c r="I82" s="98">
        <f>H82*(1+I64)</f>
        <v>300.27582213221791</v>
      </c>
      <c r="J82" s="98">
        <f t="shared" ref="J82:K82" si="89">I82*(1+J64)</f>
        <v>315.07889680986409</v>
      </c>
      <c r="K82" s="98">
        <f t="shared" si="89"/>
        <v>331.34930388734369</v>
      </c>
    </row>
    <row r="83" spans="2:12" x14ac:dyDescent="0.2">
      <c r="B83" s="65" t="s">
        <v>433</v>
      </c>
      <c r="C83" s="97">
        <v>9010</v>
      </c>
      <c r="D83" s="97">
        <v>7228</v>
      </c>
      <c r="E83" s="97">
        <v>7212</v>
      </c>
      <c r="F83" s="98">
        <f>E83*(1+F64)</f>
        <v>7273.4169947575047</v>
      </c>
      <c r="G83" s="98">
        <f>F83*(1+G64)</f>
        <v>7581.0686041160934</v>
      </c>
      <c r="H83" s="98">
        <f>G83*(1+H64)</f>
        <v>8412.0523122675768</v>
      </c>
      <c r="I83" s="98">
        <f>H83*(1+I64)</f>
        <v>8803.2082488518536</v>
      </c>
      <c r="J83" s="98">
        <f t="shared" ref="J83:K83" si="90">I83*(1+J64)</f>
        <v>9237.1910723282126</v>
      </c>
      <c r="K83" s="98">
        <f t="shared" si="90"/>
        <v>9714.191787136273</v>
      </c>
    </row>
    <row r="84" spans="2:12" x14ac:dyDescent="0.2">
      <c r="B84" s="65" t="s">
        <v>434</v>
      </c>
      <c r="C84" s="97">
        <v>4926</v>
      </c>
      <c r="D84" s="97">
        <v>4232</v>
      </c>
      <c r="E84" s="97">
        <v>3708</v>
      </c>
      <c r="F84" s="98">
        <f>E84*(1+F64)</f>
        <v>3739.577123760514</v>
      </c>
      <c r="G84" s="98">
        <f>F84*(1+G64)</f>
        <v>3897.7540743292398</v>
      </c>
      <c r="H84" s="98">
        <f>G84*(1+H64)</f>
        <v>4324.998609801466</v>
      </c>
      <c r="I84" s="98">
        <f>H84*(1+I64)</f>
        <v>4526.1087336026994</v>
      </c>
      <c r="J84" s="98">
        <f t="shared" ref="J84:K84" si="91">I84*(1+J64)</f>
        <v>4749.2380055730737</v>
      </c>
      <c r="K84" s="98">
        <f t="shared" si="91"/>
        <v>4994.4846293263026</v>
      </c>
    </row>
    <row r="85" spans="2:12" x14ac:dyDescent="0.2">
      <c r="B85" s="65" t="s">
        <v>54</v>
      </c>
      <c r="C85" s="97">
        <v>14771</v>
      </c>
      <c r="D85" s="97">
        <v>11957</v>
      </c>
      <c r="E85" s="97">
        <v>11572</v>
      </c>
      <c r="F85" s="98">
        <f>E85*(1+F69)</f>
        <v>11589.565414395698</v>
      </c>
      <c r="G85" s="98">
        <f t="shared" ref="G85:I85" si="92">F85*(1+G69)</f>
        <v>12082.020191911537</v>
      </c>
      <c r="H85" s="98">
        <f t="shared" si="92"/>
        <v>13435.93041804017</v>
      </c>
      <c r="I85" s="98">
        <f t="shared" si="92"/>
        <v>14039.202010467785</v>
      </c>
      <c r="J85" s="98">
        <f t="shared" ref="J85" si="93">I85*(1+J69)</f>
        <v>14735.523341324746</v>
      </c>
      <c r="K85" s="98">
        <f t="shared" ref="K85" si="94">J85*(1+K69)</f>
        <v>15501.404819780941</v>
      </c>
    </row>
    <row r="86" spans="2:12" x14ac:dyDescent="0.2">
      <c r="B86" s="65" t="s">
        <v>435</v>
      </c>
      <c r="C86" s="97">
        <v>5666</v>
      </c>
      <c r="D86" s="97">
        <v>4982</v>
      </c>
      <c r="E86" s="97">
        <v>4369</v>
      </c>
      <c r="F86" s="98">
        <f>E86*(1+F64)</f>
        <v>4406.2061633521271</v>
      </c>
      <c r="G86" s="98">
        <f>F86*(1+G64)</f>
        <v>4592.5802456160864</v>
      </c>
      <c r="H86" s="98">
        <f>G86*(1+H64)</f>
        <v>5095.9867654322024</v>
      </c>
      <c r="I86" s="98">
        <f>H86*(1+I64)</f>
        <v>5332.9474264051232</v>
      </c>
      <c r="J86" s="98">
        <f t="shared" ref="J86:K86" si="95">I86*(1+J64)</f>
        <v>5595.8524396841322</v>
      </c>
      <c r="K86" s="98">
        <f t="shared" si="95"/>
        <v>5884.8175149748167</v>
      </c>
    </row>
    <row r="87" spans="2:12" x14ac:dyDescent="0.2">
      <c r="B87" s="86" t="s">
        <v>436</v>
      </c>
      <c r="C87" s="99">
        <f>SUM(C81:C86)</f>
        <v>35410</v>
      </c>
      <c r="D87" s="99">
        <f>SUM(D81:D86)</f>
        <v>29767</v>
      </c>
      <c r="E87" s="99">
        <f>SUM(E81:E86)</f>
        <v>27718</v>
      </c>
      <c r="F87" s="99">
        <f t="shared" ref="F87:I87" si="96">SUM(F81:F86)</f>
        <v>27616.546970520678</v>
      </c>
      <c r="G87" s="99">
        <f t="shared" si="96"/>
        <v>29966.23691199582</v>
      </c>
      <c r="H87" s="99">
        <f t="shared" si="96"/>
        <v>35532.261419782888</v>
      </c>
      <c r="I87" s="99">
        <f t="shared" si="96"/>
        <v>38847.139292478154</v>
      </c>
      <c r="J87" s="99">
        <f t="shared" ref="J87:K87" si="97">SUM(J81:J86)</f>
        <v>42484.976760084144</v>
      </c>
      <c r="K87" s="99">
        <f t="shared" si="97"/>
        <v>46411.712844820184</v>
      </c>
      <c r="L87" s="98"/>
    </row>
    <row r="88" spans="2:12" x14ac:dyDescent="0.2">
      <c r="C88" s="98"/>
      <c r="D88" s="100"/>
      <c r="E88" s="100"/>
      <c r="F88" s="98"/>
      <c r="G88" s="98"/>
      <c r="H88" s="98"/>
      <c r="I88" s="98"/>
      <c r="J88" s="98"/>
      <c r="K88" s="98"/>
    </row>
    <row r="89" spans="2:12" x14ac:dyDescent="0.2">
      <c r="B89" s="101" t="s">
        <v>493</v>
      </c>
      <c r="C89" s="98"/>
      <c r="D89" s="100"/>
      <c r="E89" s="100"/>
      <c r="F89" s="98"/>
      <c r="G89" s="98"/>
      <c r="H89" s="98"/>
      <c r="I89" s="98"/>
      <c r="J89" s="98"/>
      <c r="K89" s="98"/>
    </row>
    <row r="90" spans="2:12" x14ac:dyDescent="0.2">
      <c r="B90" s="65" t="s">
        <v>437</v>
      </c>
      <c r="C90" s="97">
        <v>5467</v>
      </c>
      <c r="D90" s="97">
        <v>5500</v>
      </c>
      <c r="E90" s="97">
        <v>5276</v>
      </c>
      <c r="F90" s="98">
        <f>E90*(1+F$64)</f>
        <v>5320.9301253938702</v>
      </c>
      <c r="G90" s="98">
        <f t="shared" ref="G90:I90" si="98">F90*(1+G$64)</f>
        <v>5545.9952794393384</v>
      </c>
      <c r="H90" s="98">
        <f t="shared" si="98"/>
        <v>6153.9084857908674</v>
      </c>
      <c r="I90" s="98">
        <f t="shared" si="98"/>
        <v>6440.0619413397635</v>
      </c>
      <c r="J90" s="98">
        <f t="shared" ref="J90" si="99">I90*(1+J$64)</f>
        <v>6757.5457706050529</v>
      </c>
      <c r="K90" s="98">
        <f t="shared" ref="K90" si="100">J90*(1+K$64)</f>
        <v>7106.499704510672</v>
      </c>
    </row>
    <row r="91" spans="2:12" x14ac:dyDescent="0.2">
      <c r="B91" s="65" t="s">
        <v>553</v>
      </c>
      <c r="C91" s="97">
        <v>9933</v>
      </c>
      <c r="D91" s="97">
        <v>10508</v>
      </c>
      <c r="E91" s="102">
        <v>10837</v>
      </c>
      <c r="F91" s="98">
        <f>F140</f>
        <v>11454.548548195671</v>
      </c>
      <c r="G91" s="98">
        <f t="shared" ref="G91:I91" si="101">G140</f>
        <v>12098.218217295918</v>
      </c>
      <c r="H91" s="98">
        <f t="shared" si="101"/>
        <v>12812.442452828021</v>
      </c>
      <c r="I91" s="98">
        <f t="shared" si="101"/>
        <v>13559.877733585476</v>
      </c>
      <c r="J91" s="98">
        <f t="shared" ref="J91:K91" si="102">J140</f>
        <v>14344.160270972498</v>
      </c>
      <c r="K91" s="98">
        <f t="shared" si="102"/>
        <v>15168.942493601042</v>
      </c>
    </row>
    <row r="92" spans="2:12" x14ac:dyDescent="0.2">
      <c r="B92" s="65" t="s">
        <v>438</v>
      </c>
      <c r="C92" s="97">
        <v>6544</v>
      </c>
      <c r="D92" s="97">
        <v>6341</v>
      </c>
      <c r="E92" s="97">
        <v>6769</v>
      </c>
      <c r="F92" s="98">
        <f>E92*(1+F$64)</f>
        <v>6826.6444311582845</v>
      </c>
      <c r="G92" s="98">
        <f t="shared" ref="G92:I94" si="103">F92*(1+G$64)</f>
        <v>7115.3984167029721</v>
      </c>
      <c r="H92" s="98">
        <f t="shared" si="103"/>
        <v>7895.3386164363874</v>
      </c>
      <c r="I92" s="98">
        <f t="shared" si="103"/>
        <v>8262.4676423292003</v>
      </c>
      <c r="J92" s="98">
        <f t="shared" ref="J92:J94" si="104">I92*(1+J$64)</f>
        <v>8669.7928963657323</v>
      </c>
      <c r="K92" s="98">
        <f t="shared" ref="K92:K94" si="105">J92*(1+K$64)</f>
        <v>9117.493650461096</v>
      </c>
    </row>
    <row r="93" spans="2:12" x14ac:dyDescent="0.2">
      <c r="B93" s="65" t="s">
        <v>439</v>
      </c>
      <c r="C93" s="97">
        <v>1088</v>
      </c>
      <c r="D93" s="97">
        <v>1211</v>
      </c>
      <c r="E93" s="97">
        <v>1358</v>
      </c>
      <c r="F93" s="98">
        <f>E93*(1+F$64)</f>
        <v>1369.5646532003177</v>
      </c>
      <c r="G93" s="98">
        <f t="shared" si="103"/>
        <v>1427.4946151399965</v>
      </c>
      <c r="H93" s="98">
        <f t="shared" si="103"/>
        <v>1583.9665890265348</v>
      </c>
      <c r="I93" s="98">
        <f t="shared" si="103"/>
        <v>1657.6201888437072</v>
      </c>
      <c r="J93" s="98">
        <f t="shared" si="104"/>
        <v>1739.3379750723393</v>
      </c>
      <c r="K93" s="98">
        <f t="shared" si="105"/>
        <v>1829.1559133293201</v>
      </c>
    </row>
    <row r="94" spans="2:12" x14ac:dyDescent="0.2">
      <c r="B94" s="65" t="s">
        <v>550</v>
      </c>
      <c r="C94" s="97">
        <v>1332</v>
      </c>
      <c r="D94" s="97">
        <v>1304</v>
      </c>
      <c r="E94" s="97">
        <v>1313</v>
      </c>
      <c r="F94" s="98">
        <f>E94*(1+F$64)</f>
        <v>1324.1814356789523</v>
      </c>
      <c r="G94" s="98">
        <f t="shared" si="103"/>
        <v>1380.1917744321174</v>
      </c>
      <c r="H94" s="98">
        <f t="shared" si="103"/>
        <v>1531.4787418202063</v>
      </c>
      <c r="I94" s="98">
        <f t="shared" si="103"/>
        <v>1602.6916847951306</v>
      </c>
      <c r="J94" s="98">
        <f t="shared" si="104"/>
        <v>1681.7015915095592</v>
      </c>
      <c r="K94" s="98">
        <f t="shared" si="105"/>
        <v>1768.5432357889524</v>
      </c>
    </row>
    <row r="95" spans="2:12" x14ac:dyDescent="0.2">
      <c r="B95" s="86" t="s">
        <v>441</v>
      </c>
      <c r="C95" s="103">
        <f>SUM(C90:C94)</f>
        <v>24364</v>
      </c>
      <c r="D95" s="99">
        <f>SUM(D90:D94)</f>
        <v>24864</v>
      </c>
      <c r="E95" s="99">
        <f t="shared" ref="E95" si="106">SUM(E90:E94)</f>
        <v>25553</v>
      </c>
      <c r="F95" s="99">
        <f t="shared" ref="F95" si="107">SUM(F90:F94)</f>
        <v>26295.869193627095</v>
      </c>
      <c r="G95" s="99">
        <f t="shared" ref="G95" si="108">SUM(G90:G94)</f>
        <v>27567.298303010346</v>
      </c>
      <c r="H95" s="99">
        <f t="shared" ref="H95" si="109">SUM(H90:H94)</f>
        <v>29977.134885902018</v>
      </c>
      <c r="I95" s="99">
        <f t="shared" ref="I95:K95" si="110">SUM(I90:I94)</f>
        <v>31522.71919089328</v>
      </c>
      <c r="J95" s="99">
        <f t="shared" si="110"/>
        <v>33192.538504525182</v>
      </c>
      <c r="K95" s="99">
        <f t="shared" si="110"/>
        <v>34990.634997691079</v>
      </c>
    </row>
    <row r="96" spans="2:12" x14ac:dyDescent="0.2">
      <c r="C96" s="98"/>
      <c r="D96" s="100"/>
      <c r="E96" s="100"/>
      <c r="F96" s="98"/>
      <c r="G96" s="98"/>
      <c r="H96" s="98"/>
      <c r="I96" s="98"/>
      <c r="J96" s="98"/>
      <c r="K96" s="98"/>
    </row>
    <row r="97" spans="2:11" x14ac:dyDescent="0.2">
      <c r="B97" s="11" t="s">
        <v>497</v>
      </c>
      <c r="C97" s="104">
        <f>C87+C95</f>
        <v>59774</v>
      </c>
      <c r="D97" s="104">
        <f>D87+D95</f>
        <v>54631</v>
      </c>
      <c r="E97" s="104">
        <f t="shared" ref="E97:I97" si="111">E87+E95</f>
        <v>53271</v>
      </c>
      <c r="F97" s="104">
        <f t="shared" si="111"/>
        <v>53912.416164147769</v>
      </c>
      <c r="G97" s="104">
        <f t="shared" si="111"/>
        <v>57533.535215006166</v>
      </c>
      <c r="H97" s="104">
        <f t="shared" si="111"/>
        <v>65509.396305684902</v>
      </c>
      <c r="I97" s="104">
        <f t="shared" si="111"/>
        <v>70369.858483371441</v>
      </c>
      <c r="J97" s="104">
        <f t="shared" ref="J97:K97" si="112">J87+J95</f>
        <v>75677.515264609334</v>
      </c>
      <c r="K97" s="104">
        <f t="shared" si="112"/>
        <v>81402.347842511255</v>
      </c>
    </row>
    <row r="98" spans="2:11" x14ac:dyDescent="0.2">
      <c r="C98" s="98"/>
      <c r="D98" s="98"/>
      <c r="E98" s="98"/>
      <c r="F98" s="98"/>
      <c r="G98" s="98"/>
      <c r="H98" s="98"/>
      <c r="I98" s="98"/>
      <c r="J98" s="98"/>
      <c r="K98" s="98"/>
    </row>
    <row r="99" spans="2:11" x14ac:dyDescent="0.2">
      <c r="B99" s="65"/>
      <c r="C99" s="98"/>
      <c r="D99" s="98"/>
      <c r="E99" s="98"/>
      <c r="F99" s="98"/>
      <c r="G99" s="98"/>
      <c r="H99" s="98"/>
      <c r="I99" s="98"/>
      <c r="J99" s="98"/>
      <c r="K99" s="98"/>
    </row>
    <row r="100" spans="2:11" x14ac:dyDescent="0.2">
      <c r="B100" s="78" t="s">
        <v>499</v>
      </c>
      <c r="C100" s="98"/>
      <c r="D100" s="98"/>
      <c r="E100" s="98"/>
      <c r="F100" s="98"/>
      <c r="G100" s="98"/>
      <c r="H100" s="98"/>
      <c r="I100" s="98"/>
      <c r="J100" s="98"/>
      <c r="K100" s="98"/>
    </row>
    <row r="101" spans="2:11" x14ac:dyDescent="0.2">
      <c r="B101" s="65" t="s">
        <v>500</v>
      </c>
      <c r="C101" s="97">
        <v>503</v>
      </c>
      <c r="D101" s="97">
        <v>105</v>
      </c>
      <c r="E101" s="97">
        <v>1903</v>
      </c>
      <c r="F101" s="98">
        <f t="shared" ref="F101:I106" si="113">E101*(1+F$64)</f>
        <v>1919.2058431812993</v>
      </c>
      <c r="G101" s="98">
        <f t="shared" si="113"/>
        <v>2000.3845748243102</v>
      </c>
      <c r="H101" s="98">
        <f t="shared" si="113"/>
        <v>2219.6527385254017</v>
      </c>
      <c r="I101" s="98">
        <f t="shared" si="113"/>
        <v>2322.8654045431331</v>
      </c>
      <c r="J101" s="98">
        <f t="shared" ref="J101:J107" si="114">I101*(1+J$64)</f>
        <v>2437.3786204437861</v>
      </c>
      <c r="K101" s="98">
        <f t="shared" ref="K101:K107" si="115">J101*(1+K$64)</f>
        <v>2563.2427857626631</v>
      </c>
    </row>
    <row r="102" spans="2:11" x14ac:dyDescent="0.2">
      <c r="B102" s="65" t="s">
        <v>459</v>
      </c>
      <c r="C102" s="97">
        <v>7803</v>
      </c>
      <c r="D102" s="97">
        <v>6313</v>
      </c>
      <c r="E102" s="97">
        <v>5535</v>
      </c>
      <c r="F102" s="98">
        <f t="shared" si="113"/>
        <v>5582.1357551279516</v>
      </c>
      <c r="G102" s="98">
        <f t="shared" si="113"/>
        <v>5818.2494070691318</v>
      </c>
      <c r="H102" s="98">
        <f t="shared" si="113"/>
        <v>6456.0052063784024</v>
      </c>
      <c r="I102" s="98">
        <f t="shared" si="113"/>
        <v>6756.2059979749038</v>
      </c>
      <c r="J102" s="98">
        <f t="shared" si="114"/>
        <v>7089.275178221942</v>
      </c>
      <c r="K102" s="98">
        <f t="shared" si="115"/>
        <v>7455.3593374652328</v>
      </c>
    </row>
    <row r="103" spans="2:11" x14ac:dyDescent="0.2">
      <c r="B103" s="65" t="s">
        <v>460</v>
      </c>
      <c r="C103" s="97">
        <v>9856</v>
      </c>
      <c r="D103" s="97">
        <v>7867</v>
      </c>
      <c r="E103" s="97">
        <v>7772</v>
      </c>
      <c r="F103" s="98">
        <f>E103*(1+F$64)</f>
        <v>7838.185923912275</v>
      </c>
      <c r="G103" s="98">
        <f t="shared" si="113"/>
        <v>8169.726177369701</v>
      </c>
      <c r="H103" s="98">
        <f t="shared" si="113"/>
        <v>9065.2344108352208</v>
      </c>
      <c r="I103" s="98">
        <f t="shared" si="113"/>
        <v>9486.7629659008053</v>
      </c>
      <c r="J103" s="98">
        <f t="shared" si="114"/>
        <v>9954.4438455539184</v>
      </c>
      <c r="K103" s="98">
        <f t="shared" si="115"/>
        <v>10468.482885416404</v>
      </c>
    </row>
    <row r="104" spans="2:11" x14ac:dyDescent="0.2">
      <c r="B104" s="65" t="s">
        <v>501</v>
      </c>
      <c r="C104" s="97">
        <v>292</v>
      </c>
      <c r="D104" s="97">
        <v>300</v>
      </c>
      <c r="E104" s="97">
        <v>324</v>
      </c>
      <c r="F104" s="98">
        <f>E104*(1+F$64)</f>
        <v>326.7591661538313</v>
      </c>
      <c r="G104" s="98">
        <f t="shared" si="113"/>
        <v>340.58045309672963</v>
      </c>
      <c r="H104" s="98">
        <f t="shared" si="113"/>
        <v>377.91249988556496</v>
      </c>
      <c r="I104" s="98">
        <f t="shared" si="113"/>
        <v>395.48522914975041</v>
      </c>
      <c r="J104" s="98">
        <f t="shared" si="114"/>
        <v>414.98196165201608</v>
      </c>
      <c r="K104" s="98">
        <f t="shared" si="115"/>
        <v>436.41127829064777</v>
      </c>
    </row>
    <row r="105" spans="2:11" x14ac:dyDescent="0.2">
      <c r="B105" s="65" t="s">
        <v>461</v>
      </c>
      <c r="C105" s="97">
        <v>4795</v>
      </c>
      <c r="D105" s="97">
        <v>4076</v>
      </c>
      <c r="E105" s="97">
        <v>3730</v>
      </c>
      <c r="F105" s="98">
        <f>E105*(1+F$64)</f>
        <v>3761.7644745487369</v>
      </c>
      <c r="G105" s="98">
        <f t="shared" si="113"/>
        <v>3920.8799075642023</v>
      </c>
      <c r="H105" s="98">
        <f t="shared" si="113"/>
        <v>4350.6593351023375</v>
      </c>
      <c r="I105" s="98">
        <f t="shared" si="113"/>
        <v>4552.9626689153365</v>
      </c>
      <c r="J105" s="98">
        <f t="shared" si="114"/>
        <v>4777.415793092654</v>
      </c>
      <c r="K105" s="98">
        <f t="shared" si="115"/>
        <v>5024.1174939015928</v>
      </c>
    </row>
    <row r="106" spans="2:11" x14ac:dyDescent="0.2">
      <c r="B106" s="65" t="s">
        <v>502</v>
      </c>
      <c r="C106" s="97">
        <v>942</v>
      </c>
      <c r="D106" s="97">
        <v>1</v>
      </c>
      <c r="E106" s="97">
        <v>674</v>
      </c>
      <c r="F106" s="98">
        <f t="shared" si="113"/>
        <v>679.73974687556267</v>
      </c>
      <c r="G106" s="98">
        <f t="shared" si="113"/>
        <v>708.49143638023395</v>
      </c>
      <c r="H106" s="98">
        <f t="shared" si="113"/>
        <v>786.1513114903421</v>
      </c>
      <c r="I106" s="98">
        <f t="shared" si="113"/>
        <v>822.70692730534518</v>
      </c>
      <c r="J106" s="98">
        <f t="shared" si="114"/>
        <v>863.26494491808307</v>
      </c>
      <c r="K106" s="98">
        <f t="shared" si="115"/>
        <v>907.84321471573048</v>
      </c>
    </row>
    <row r="107" spans="2:11" x14ac:dyDescent="0.2">
      <c r="B107" s="86" t="s">
        <v>503</v>
      </c>
      <c r="C107" s="105">
        <f>SUM(C101:C106)</f>
        <v>24191</v>
      </c>
      <c r="D107" s="105">
        <v>18662</v>
      </c>
      <c r="E107" s="105">
        <v>19938</v>
      </c>
      <c r="F107" s="105">
        <f>SUM(F101:F106)</f>
        <v>20107.790909799656</v>
      </c>
      <c r="G107" s="105">
        <f>F107*(1+G$64)</f>
        <v>20958.311956304307</v>
      </c>
      <c r="H107" s="105">
        <f>G107*(1+H$64)</f>
        <v>23255.615502217268</v>
      </c>
      <c r="I107" s="105">
        <f>H107*(1+I$64)</f>
        <v>24336.989193789272</v>
      </c>
      <c r="J107" s="105">
        <f t="shared" si="114"/>
        <v>25536.760343882397</v>
      </c>
      <c r="K107" s="105">
        <f t="shared" si="115"/>
        <v>26855.456995552267</v>
      </c>
    </row>
    <row r="108" spans="2:11" x14ac:dyDescent="0.2">
      <c r="C108" s="98"/>
      <c r="D108" s="98"/>
      <c r="E108" s="98"/>
      <c r="F108" s="98"/>
      <c r="G108" s="98"/>
      <c r="H108" s="98"/>
      <c r="I108" s="98"/>
      <c r="J108" s="98"/>
      <c r="K108" s="98"/>
    </row>
    <row r="109" spans="2:11" x14ac:dyDescent="0.2">
      <c r="B109" s="78" t="s">
        <v>504</v>
      </c>
      <c r="C109" s="98"/>
      <c r="D109" s="98"/>
      <c r="E109" s="98"/>
      <c r="F109" s="98"/>
      <c r="G109" s="98"/>
      <c r="H109" s="98"/>
      <c r="I109" s="98"/>
      <c r="J109" s="98"/>
      <c r="K109" s="98"/>
    </row>
    <row r="110" spans="2:11" x14ac:dyDescent="0.2">
      <c r="B110" s="65" t="s">
        <v>594</v>
      </c>
      <c r="C110" s="98"/>
      <c r="D110" s="98"/>
      <c r="E110" s="98"/>
      <c r="F110" s="98">
        <f t="shared" ref="F110:I110" si="116">E110+F200</f>
        <v>-359.68635180470415</v>
      </c>
      <c r="G110" s="98">
        <f t="shared" si="116"/>
        <v>0</v>
      </c>
      <c r="H110" s="98">
        <f t="shared" si="116"/>
        <v>0</v>
      </c>
      <c r="I110" s="98">
        <f t="shared" si="116"/>
        <v>0</v>
      </c>
      <c r="J110" s="98">
        <f t="shared" ref="J110" si="117">I110+J200</f>
        <v>0</v>
      </c>
      <c r="K110" s="98">
        <f t="shared" ref="K110" si="118">J110+K200</f>
        <v>0</v>
      </c>
    </row>
    <row r="111" spans="2:11" x14ac:dyDescent="0.2">
      <c r="B111" s="65" t="s">
        <v>505</v>
      </c>
      <c r="C111" s="97">
        <v>7735</v>
      </c>
      <c r="D111" s="97">
        <v>8259</v>
      </c>
      <c r="E111" s="97">
        <v>7580</v>
      </c>
      <c r="F111" s="98">
        <f>E111*(1+F64)</f>
        <v>7644.5508624877821</v>
      </c>
      <c r="G111" s="98">
        <f>F111*(1+G64)</f>
        <v>7967.9007236827492</v>
      </c>
      <c r="H111" s="98">
        <f>G111*(1+H64)</f>
        <v>8841.2862627548839</v>
      </c>
      <c r="I111" s="98">
        <f>H111*(1+I64)</f>
        <v>9252.4013486268759</v>
      </c>
      <c r="J111" s="98">
        <f t="shared" ref="J111:K111" si="119">I111*(1+J64)</f>
        <v>9708.5286090193877</v>
      </c>
      <c r="K111" s="98">
        <f t="shared" si="119"/>
        <v>10209.868794577498</v>
      </c>
    </row>
    <row r="112" spans="2:11" x14ac:dyDescent="0.2">
      <c r="B112" s="65" t="s">
        <v>450</v>
      </c>
      <c r="C112" s="97">
        <v>1402</v>
      </c>
      <c r="D112" s="97">
        <v>1309</v>
      </c>
      <c r="E112" s="97">
        <v>1268</v>
      </c>
      <c r="F112" s="98">
        <f>AVERAGE(C112:E112)</f>
        <v>1326.3333333333333</v>
      </c>
      <c r="G112" s="98">
        <f t="shared" ref="G112:I112" si="120">AVERAGE(D112:F112)</f>
        <v>1301.1111111111111</v>
      </c>
      <c r="H112" s="98">
        <f t="shared" si="120"/>
        <v>1298.4814814814815</v>
      </c>
      <c r="I112" s="98">
        <f t="shared" si="120"/>
        <v>1308.641975308642</v>
      </c>
      <c r="J112" s="98">
        <f t="shared" ref="J112" si="121">AVERAGE(G112:I112)</f>
        <v>1302.7448559670781</v>
      </c>
      <c r="K112" s="98">
        <f t="shared" ref="K112" si="122">AVERAGE(H112:J112)</f>
        <v>1303.289437585734</v>
      </c>
    </row>
    <row r="113" spans="2:12" x14ac:dyDescent="0.2">
      <c r="B113" s="65" t="s">
        <v>506</v>
      </c>
      <c r="C113" s="97">
        <v>816</v>
      </c>
      <c r="D113" s="97">
        <v>931</v>
      </c>
      <c r="E113" s="97">
        <v>1057</v>
      </c>
      <c r="F113" s="98">
        <f>E113*(1+F64)</f>
        <v>1066.0013537796287</v>
      </c>
      <c r="G113" s="98">
        <f>F113*(1+G64)</f>
        <v>1111.0911695161828</v>
      </c>
      <c r="H113" s="98">
        <f>G113*(1+H64)</f>
        <v>1232.8812110464266</v>
      </c>
      <c r="I113" s="98">
        <f>H113*(1+I64)</f>
        <v>1290.209528429896</v>
      </c>
      <c r="J113" s="98">
        <f t="shared" ref="J113:K113" si="123">I113*(1+J64)</f>
        <v>1353.8146094635219</v>
      </c>
      <c r="K113" s="98">
        <f t="shared" si="123"/>
        <v>1423.7244480037493</v>
      </c>
    </row>
    <row r="114" spans="2:12" x14ac:dyDescent="0.2">
      <c r="B114" s="65" t="s">
        <v>136</v>
      </c>
      <c r="C114" s="97">
        <v>1014</v>
      </c>
      <c r="D114" s="97">
        <v>1005</v>
      </c>
      <c r="E114" s="97">
        <v>997</v>
      </c>
      <c r="F114" s="98">
        <f>AVERAGE(C114:E114)</f>
        <v>1005.3333333333334</v>
      </c>
      <c r="G114" s="98">
        <f t="shared" ref="G114:I114" si="124">AVERAGE(D114:F114)</f>
        <v>1002.4444444444445</v>
      </c>
      <c r="H114" s="98">
        <f t="shared" si="124"/>
        <v>1001.5925925925926</v>
      </c>
      <c r="I114" s="98">
        <f t="shared" si="124"/>
        <v>1003.1234567901234</v>
      </c>
      <c r="J114" s="98">
        <f t="shared" ref="J114" si="125">AVERAGE(G114:I114)</f>
        <v>1002.3868312757201</v>
      </c>
      <c r="K114" s="98">
        <f t="shared" ref="K114" si="126">AVERAGE(H114:J114)</f>
        <v>1002.3676268861453</v>
      </c>
    </row>
    <row r="115" spans="2:12" x14ac:dyDescent="0.2">
      <c r="B115" s="86" t="s">
        <v>507</v>
      </c>
      <c r="C115" s="105">
        <f>SUM(C110:C114)</f>
        <v>10967</v>
      </c>
      <c r="D115" s="105">
        <f>SUM(D110:D114)</f>
        <v>11504</v>
      </c>
      <c r="E115" s="105">
        <f>SUM(E110:E114)</f>
        <v>10902</v>
      </c>
      <c r="F115" s="105">
        <f t="shared" ref="F115:I115" si="127">SUM(F110:F114)</f>
        <v>10682.532531129375</v>
      </c>
      <c r="G115" s="105">
        <f t="shared" si="127"/>
        <v>11382.547448754489</v>
      </c>
      <c r="H115" s="105">
        <f t="shared" si="127"/>
        <v>12374.241547875385</v>
      </c>
      <c r="I115" s="105">
        <f t="shared" si="127"/>
        <v>12854.376309155537</v>
      </c>
      <c r="J115" s="105">
        <f t="shared" ref="J115:K115" si="128">SUM(J110:J114)</f>
        <v>13367.474905725707</v>
      </c>
      <c r="K115" s="105">
        <f t="shared" si="128"/>
        <v>13939.250307053127</v>
      </c>
    </row>
    <row r="116" spans="2:12" x14ac:dyDescent="0.2">
      <c r="B116" s="78"/>
      <c r="C116" s="98"/>
      <c r="D116" s="98"/>
      <c r="E116" s="98"/>
      <c r="F116" s="98"/>
      <c r="G116" s="98"/>
      <c r="H116" s="98"/>
      <c r="I116" s="98"/>
      <c r="J116" s="98"/>
      <c r="K116" s="98"/>
    </row>
    <row r="117" spans="2:12" x14ac:dyDescent="0.2">
      <c r="B117" t="s">
        <v>509</v>
      </c>
      <c r="C117" s="98">
        <v>299</v>
      </c>
      <c r="D117" s="98">
        <v>320</v>
      </c>
      <c r="E117" s="98">
        <v>253</v>
      </c>
      <c r="F117" s="98">
        <v>253</v>
      </c>
      <c r="G117" s="98">
        <v>253</v>
      </c>
      <c r="H117" s="98">
        <v>253</v>
      </c>
      <c r="I117" s="98">
        <v>253</v>
      </c>
      <c r="J117" s="98">
        <v>254</v>
      </c>
      <c r="K117" s="98">
        <v>255</v>
      </c>
    </row>
    <row r="118" spans="2:12" x14ac:dyDescent="0.2">
      <c r="C118" s="98"/>
      <c r="D118" s="98"/>
      <c r="E118" s="98"/>
      <c r="F118" s="98"/>
      <c r="G118" s="98"/>
      <c r="H118" s="98"/>
      <c r="I118" s="98"/>
      <c r="J118" s="98"/>
      <c r="K118" s="98"/>
    </row>
    <row r="119" spans="2:12" x14ac:dyDescent="0.2">
      <c r="B119" s="11" t="s">
        <v>510</v>
      </c>
      <c r="C119" s="98"/>
      <c r="D119" s="98"/>
      <c r="E119" s="98"/>
      <c r="F119" s="98"/>
      <c r="G119" s="98"/>
      <c r="H119" s="98"/>
      <c r="I119" s="98"/>
      <c r="J119" s="98"/>
      <c r="K119" s="98"/>
    </row>
    <row r="120" spans="2:12" x14ac:dyDescent="0.2">
      <c r="B120" s="65" t="s">
        <v>511</v>
      </c>
      <c r="C120" s="98">
        <v>3147</v>
      </c>
      <c r="D120" s="97">
        <v>3154</v>
      </c>
      <c r="E120" s="97">
        <v>3223</v>
      </c>
      <c r="F120" s="98">
        <f>F144</f>
        <v>3373</v>
      </c>
      <c r="G120" s="98">
        <f>G144</f>
        <v>3398</v>
      </c>
      <c r="H120" s="98">
        <f>H144</f>
        <v>3423</v>
      </c>
      <c r="I120" s="98">
        <f>I144</f>
        <v>3448</v>
      </c>
      <c r="J120" s="98">
        <f t="shared" ref="J120:K120" si="129">J144</f>
        <v>3474</v>
      </c>
      <c r="K120" s="98">
        <f t="shared" si="129"/>
        <v>3501</v>
      </c>
    </row>
    <row r="121" spans="2:12" x14ac:dyDescent="0.2">
      <c r="B121" s="65" t="s">
        <v>512</v>
      </c>
      <c r="C121" s="98">
        <v>23646</v>
      </c>
      <c r="D121" s="97">
        <v>23465</v>
      </c>
      <c r="E121" s="97">
        <v>21933</v>
      </c>
      <c r="F121" s="98">
        <f>F149</f>
        <v>22946.745193545925</v>
      </c>
      <c r="G121" s="98">
        <f>G149</f>
        <v>24010.640228477809</v>
      </c>
      <c r="H121" s="98">
        <f>H149</f>
        <v>25436.809750299624</v>
      </c>
      <c r="I121" s="98">
        <f>I149</f>
        <v>27165.353873996006</v>
      </c>
      <c r="J121" s="98">
        <f t="shared" ref="J121:K121" si="130">J149</f>
        <v>29007.141415064732</v>
      </c>
      <c r="K121" s="98">
        <f t="shared" si="130"/>
        <v>30952.711624141713</v>
      </c>
    </row>
    <row r="122" spans="2:12" x14ac:dyDescent="0.2">
      <c r="B122" s="65" t="s">
        <v>513</v>
      </c>
      <c r="C122" s="98">
        <v>-2509</v>
      </c>
      <c r="D122" s="97">
        <v>-2487</v>
      </c>
      <c r="E122" s="97">
        <v>-2988</v>
      </c>
      <c r="F122" s="98">
        <f>E122</f>
        <v>-2988</v>
      </c>
      <c r="G122" s="98">
        <f t="shared" ref="G122:I122" si="131">F122</f>
        <v>-2988</v>
      </c>
      <c r="H122" s="98">
        <f t="shared" si="131"/>
        <v>-2988</v>
      </c>
      <c r="I122" s="98">
        <f t="shared" si="131"/>
        <v>-2988</v>
      </c>
      <c r="J122" s="98">
        <f t="shared" ref="J122" si="132">I122</f>
        <v>-2988</v>
      </c>
      <c r="K122" s="98">
        <f t="shared" ref="K122" si="133">J122</f>
        <v>-2988</v>
      </c>
    </row>
    <row r="123" spans="2:12" x14ac:dyDescent="0.2">
      <c r="B123" s="65" t="s">
        <v>514</v>
      </c>
      <c r="C123" s="98">
        <v>33</v>
      </c>
      <c r="D123" s="97">
        <v>13</v>
      </c>
      <c r="E123" s="97">
        <v>10</v>
      </c>
      <c r="F123" s="98">
        <f>E123*(1+F14)</f>
        <v>10.099317431341861</v>
      </c>
      <c r="G123" s="98">
        <f>F123*(1+G14)</f>
        <v>10.197231452756675</v>
      </c>
      <c r="H123" s="98">
        <f>G123*(1+H14)</f>
        <v>10.281361142210846</v>
      </c>
      <c r="I123" s="98">
        <f>H123*(1+I14)</f>
        <v>10.356805608897867</v>
      </c>
      <c r="J123" s="98">
        <f t="shared" ref="J123:K123" si="134">I123*(1+J14)</f>
        <v>10.43344732877269</v>
      </c>
      <c r="K123" s="98">
        <f t="shared" si="134"/>
        <v>10.511505604859575</v>
      </c>
    </row>
    <row r="124" spans="2:12" x14ac:dyDescent="0.2">
      <c r="B124" s="86" t="s">
        <v>515</v>
      </c>
      <c r="C124" s="99">
        <f>SUM(C120:C123)</f>
        <v>24317</v>
      </c>
      <c r="D124" s="99">
        <f>SUM(D120:D123)</f>
        <v>24145</v>
      </c>
      <c r="E124" s="99">
        <f t="shared" ref="E124:I124" si="135">SUM(E120:E123)</f>
        <v>22178</v>
      </c>
      <c r="F124" s="99">
        <f t="shared" si="135"/>
        <v>23341.844510977266</v>
      </c>
      <c r="G124" s="99">
        <f t="shared" si="135"/>
        <v>24430.837459930564</v>
      </c>
      <c r="H124" s="99">
        <f t="shared" si="135"/>
        <v>25882.091111441834</v>
      </c>
      <c r="I124" s="99">
        <f t="shared" si="135"/>
        <v>27635.710679604905</v>
      </c>
      <c r="J124" s="99">
        <f t="shared" ref="J124:K124" si="136">SUM(J120:J123)</f>
        <v>29503.574862393507</v>
      </c>
      <c r="K124" s="99">
        <f t="shared" si="136"/>
        <v>31476.22312974657</v>
      </c>
      <c r="L124" s="106"/>
    </row>
    <row r="125" spans="2:12" x14ac:dyDescent="0.2">
      <c r="C125" s="98"/>
      <c r="D125" s="104"/>
      <c r="E125" s="104"/>
      <c r="F125" s="104"/>
      <c r="G125" s="104"/>
      <c r="H125" s="104"/>
      <c r="I125" s="104"/>
      <c r="J125" s="104"/>
      <c r="K125" s="104"/>
    </row>
    <row r="126" spans="2:12" x14ac:dyDescent="0.2">
      <c r="B126" s="11" t="s">
        <v>516</v>
      </c>
      <c r="C126" s="104">
        <f>C107+C115+C124+C117</f>
        <v>59774</v>
      </c>
      <c r="D126" s="104">
        <f>D107+D115+D124+D117</f>
        <v>54631</v>
      </c>
      <c r="E126" s="104">
        <f t="shared" ref="E126:I126" si="137">E107+E115+E124+E117</f>
        <v>53271</v>
      </c>
      <c r="F126" s="104">
        <f t="shared" si="137"/>
        <v>54385.167951906296</v>
      </c>
      <c r="G126" s="104">
        <f t="shared" si="137"/>
        <v>57024.696864989361</v>
      </c>
      <c r="H126" s="104">
        <f t="shared" si="137"/>
        <v>61764.948161534485</v>
      </c>
      <c r="I126" s="104">
        <f t="shared" si="137"/>
        <v>65080.076182549717</v>
      </c>
      <c r="J126" s="104">
        <f t="shared" ref="J126:K126" si="138">J107+J115+J124+J117</f>
        <v>68661.810112001607</v>
      </c>
      <c r="K126" s="104">
        <f t="shared" si="138"/>
        <v>72525.930432351975</v>
      </c>
    </row>
    <row r="127" spans="2:12" x14ac:dyDescent="0.2">
      <c r="C127" s="98"/>
      <c r="D127" s="98"/>
      <c r="E127" s="98"/>
      <c r="F127" s="98"/>
      <c r="G127" s="98"/>
      <c r="H127" s="98"/>
      <c r="I127" s="98"/>
      <c r="J127" s="98"/>
      <c r="K127" s="98"/>
    </row>
    <row r="128" spans="2:12" x14ac:dyDescent="0.2">
      <c r="B128" t="s">
        <v>445</v>
      </c>
      <c r="C128" s="98">
        <f>C97-C126</f>
        <v>0</v>
      </c>
      <c r="D128" s="98">
        <f>D97-D126</f>
        <v>0</v>
      </c>
      <c r="E128" s="98">
        <f t="shared" ref="E128:I128" si="139">E97-E126</f>
        <v>0</v>
      </c>
      <c r="F128" s="98">
        <f t="shared" si="139"/>
        <v>-472.75178775852692</v>
      </c>
      <c r="G128" s="98">
        <f t="shared" si="139"/>
        <v>508.83835001680563</v>
      </c>
      <c r="H128" s="98">
        <f t="shared" si="139"/>
        <v>3744.4481441504176</v>
      </c>
      <c r="I128" s="98">
        <f t="shared" si="139"/>
        <v>5289.7823008217238</v>
      </c>
      <c r="J128" s="98">
        <f t="shared" ref="J128:K128" si="140">J97-J126</f>
        <v>7015.7051526077266</v>
      </c>
      <c r="K128" s="98">
        <f t="shared" si="140"/>
        <v>8876.4174101592798</v>
      </c>
    </row>
    <row r="130" spans="2:11" x14ac:dyDescent="0.2">
      <c r="B130" s="11" t="s">
        <v>598</v>
      </c>
    </row>
    <row r="131" spans="2:11" x14ac:dyDescent="0.2">
      <c r="B131" t="s">
        <v>558</v>
      </c>
      <c r="C131" s="26">
        <f t="shared" ref="C131:D131" si="141">-C29/((C85+D85)/2)</f>
        <v>7.0327746183777311</v>
      </c>
      <c r="D131" s="26">
        <f t="shared" si="141"/>
        <v>7.3459985549747122</v>
      </c>
      <c r="E131" s="26">
        <f>-E29/((E85+F85)/2)</f>
        <v>6.8865811591846393</v>
      </c>
      <c r="F131" s="26">
        <f>-F29/((F85+G85)/2)</f>
        <v>6.7484332303342294</v>
      </c>
      <c r="G131" s="26">
        <f>-G29/((G85+H85)/2)</f>
        <v>6.5261479979822559</v>
      </c>
      <c r="H131" s="26">
        <f>-H29/((H85+I85)/2)</f>
        <v>6.7404843603170566</v>
      </c>
      <c r="I131" s="26">
        <f>-I29/((I85+J85)/2)</f>
        <v>6.7250325350818771</v>
      </c>
      <c r="J131" s="26">
        <f t="shared" ref="J131:K131" si="142">-J29/((J85+K85)/2)</f>
        <v>6.7172428585315505</v>
      </c>
      <c r="K131" s="26">
        <f t="shared" si="142"/>
        <v>13.783615623919804</v>
      </c>
    </row>
    <row r="132" spans="2:11" x14ac:dyDescent="0.2">
      <c r="B132" t="s">
        <v>622</v>
      </c>
      <c r="C132" s="26">
        <f>C87/C107</f>
        <v>1.4637675168451076</v>
      </c>
      <c r="D132" s="26">
        <f t="shared" ref="D132:I132" si="143">D87/D107</f>
        <v>1.5950594791555031</v>
      </c>
      <c r="E132" s="26">
        <f t="shared" si="143"/>
        <v>1.3902096499147356</v>
      </c>
      <c r="F132" s="26">
        <f t="shared" si="143"/>
        <v>1.3734252108749343</v>
      </c>
      <c r="G132" s="26">
        <f t="shared" si="143"/>
        <v>1.4298020267315426</v>
      </c>
      <c r="H132" s="26">
        <f t="shared" si="143"/>
        <v>1.5279002792420233</v>
      </c>
      <c r="I132" s="26">
        <f t="shared" si="143"/>
        <v>1.5962179620144561</v>
      </c>
      <c r="J132" s="26">
        <f t="shared" ref="J132:K132" si="144">J87/J107</f>
        <v>1.6636791898413956</v>
      </c>
      <c r="K132" s="26">
        <f t="shared" si="144"/>
        <v>1.7282041728988926</v>
      </c>
    </row>
    <row r="133" spans="2:11" x14ac:dyDescent="0.2">
      <c r="B133" t="s">
        <v>618</v>
      </c>
      <c r="C133" s="26">
        <f>(C115+C107)/C124</f>
        <v>1.4458197968499404</v>
      </c>
      <c r="D133" s="26">
        <f t="shared" ref="D133:I133" si="145">(D115+D107)/D124</f>
        <v>1.2493683992545039</v>
      </c>
      <c r="E133" s="26">
        <f t="shared" si="145"/>
        <v>1.3905672287852826</v>
      </c>
      <c r="F133" s="26">
        <f t="shared" si="145"/>
        <v>1.3191041276300539</v>
      </c>
      <c r="G133" s="26">
        <f t="shared" si="145"/>
        <v>1.3237720343439554</v>
      </c>
      <c r="H133" s="26">
        <f t="shared" si="145"/>
        <v>1.3766220394124788</v>
      </c>
      <c r="I133" s="26">
        <f t="shared" si="145"/>
        <v>1.3457719953043206</v>
      </c>
      <c r="J133" s="26">
        <f t="shared" ref="J133:K133" si="146">(J115+J107)/J124</f>
        <v>1.3186278419161017</v>
      </c>
      <c r="K133" s="26">
        <f t="shared" si="146"/>
        <v>1.2960483579763546</v>
      </c>
    </row>
    <row r="134" spans="2:11" x14ac:dyDescent="0.2">
      <c r="B134" t="s">
        <v>619</v>
      </c>
      <c r="C134" s="26">
        <f>(C107+C115)/C97</f>
        <v>0.58818215277545416</v>
      </c>
      <c r="D134" s="26">
        <f t="shared" ref="D134:I134" si="147">(D107+D115)/D97</f>
        <v>0.55217733521260826</v>
      </c>
      <c r="E134" s="26">
        <f t="shared" si="147"/>
        <v>0.57892662048769494</v>
      </c>
      <c r="F134" s="26">
        <f t="shared" si="147"/>
        <v>0.57111748334894452</v>
      </c>
      <c r="G134" s="26">
        <f t="shared" si="147"/>
        <v>0.56212188742094715</v>
      </c>
      <c r="H134" s="26">
        <f t="shared" si="147"/>
        <v>0.54388925954734668</v>
      </c>
      <c r="I134" s="26">
        <f t="shared" si="147"/>
        <v>0.52851272269835836</v>
      </c>
      <c r="J134" s="26">
        <f t="shared" ref="J134:K134" si="148">(J107+J115)/J97</f>
        <v>0.5140791834084133</v>
      </c>
      <c r="K134" s="26">
        <f t="shared" si="148"/>
        <v>0.50114902559728047</v>
      </c>
    </row>
    <row r="136" spans="2:11" x14ac:dyDescent="0.2">
      <c r="B136" s="11" t="s">
        <v>566</v>
      </c>
    </row>
    <row r="137" spans="2:11" x14ac:dyDescent="0.2">
      <c r="B137" t="s">
        <v>589</v>
      </c>
      <c r="E137" s="98"/>
      <c r="F137" s="98">
        <f>E91</f>
        <v>10837</v>
      </c>
      <c r="G137" s="98">
        <f>F91</f>
        <v>11454.548548195671</v>
      </c>
      <c r="H137" s="98">
        <f>G91</f>
        <v>12098.218217295918</v>
      </c>
      <c r="I137" s="98">
        <f>H91</f>
        <v>12812.442452828021</v>
      </c>
      <c r="J137" s="98">
        <f t="shared" ref="J137:K137" si="149">I91</f>
        <v>13559.877733585476</v>
      </c>
      <c r="K137" s="98">
        <f t="shared" si="149"/>
        <v>14344.160270972498</v>
      </c>
    </row>
    <row r="138" spans="2:11" x14ac:dyDescent="0.2">
      <c r="B138" t="s">
        <v>590</v>
      </c>
      <c r="E138" s="83"/>
      <c r="F138" s="98">
        <f>-F51</f>
        <v>1500</v>
      </c>
      <c r="G138" s="98">
        <f>-G51</f>
        <v>1563.4471273090082</v>
      </c>
      <c r="H138" s="98">
        <f>-H51</f>
        <v>1734.8212645440453</v>
      </c>
      <c r="I138" s="98">
        <f>-I51</f>
        <v>1815.4895261464417</v>
      </c>
      <c r="J138" s="98">
        <f t="shared" ref="J138:K138" si="150">-J51</f>
        <v>1904.9899955521892</v>
      </c>
      <c r="K138" s="98">
        <f t="shared" si="150"/>
        <v>2003.3620636912503</v>
      </c>
    </row>
    <row r="139" spans="2:11" x14ac:dyDescent="0.2">
      <c r="B139" t="s">
        <v>591</v>
      </c>
      <c r="E139" s="26"/>
      <c r="F139" s="83">
        <f>F49</f>
        <v>-882.45145180432837</v>
      </c>
      <c r="G139" s="83">
        <f>G49</f>
        <v>-919.77745820876066</v>
      </c>
      <c r="H139" s="83">
        <f>H49</f>
        <v>-1020.5970290119425</v>
      </c>
      <c r="I139" s="83">
        <f>I49</f>
        <v>-1068.0542453889866</v>
      </c>
      <c r="J139" s="83">
        <f t="shared" ref="J139:K139" si="151">J49</f>
        <v>-1120.7074581651671</v>
      </c>
      <c r="K139" s="83">
        <f t="shared" si="151"/>
        <v>-1178.5798410627062</v>
      </c>
    </row>
    <row r="140" spans="2:11" x14ac:dyDescent="0.2">
      <c r="B140" t="s">
        <v>592</v>
      </c>
      <c r="E140" s="98"/>
      <c r="F140" s="98">
        <f>SUM(F137:F139)</f>
        <v>11454.548548195671</v>
      </c>
      <c r="G140" s="98">
        <f t="shared" ref="G140:I140" si="152">SUM(G137:G139)</f>
        <v>12098.218217295918</v>
      </c>
      <c r="H140" s="98">
        <f t="shared" si="152"/>
        <v>12812.442452828021</v>
      </c>
      <c r="I140" s="98">
        <f t="shared" si="152"/>
        <v>13559.877733585476</v>
      </c>
      <c r="J140" s="98">
        <f t="shared" ref="J140:K140" si="153">SUM(J137:J139)</f>
        <v>14344.160270972498</v>
      </c>
      <c r="K140" s="98">
        <f t="shared" si="153"/>
        <v>15168.942493601042</v>
      </c>
    </row>
    <row r="141" spans="2:11" x14ac:dyDescent="0.2">
      <c r="F141" s="98"/>
      <c r="G141" s="98"/>
      <c r="H141" s="98"/>
      <c r="I141" s="98"/>
      <c r="J141" s="98"/>
      <c r="K141" s="98"/>
    </row>
    <row r="142" spans="2:11" x14ac:dyDescent="0.2">
      <c r="B142" t="s">
        <v>615</v>
      </c>
      <c r="F142" s="98">
        <f>E120</f>
        <v>3223</v>
      </c>
      <c r="G142" s="98">
        <f>F144</f>
        <v>3373</v>
      </c>
      <c r="H142" s="98">
        <f t="shared" ref="H142:I142" si="154">G144</f>
        <v>3398</v>
      </c>
      <c r="I142" s="98">
        <f t="shared" si="154"/>
        <v>3423</v>
      </c>
      <c r="J142" s="98">
        <f t="shared" ref="J142" si="155">I144</f>
        <v>3448</v>
      </c>
      <c r="K142" s="98">
        <f t="shared" ref="K142" si="156">J144</f>
        <v>3474</v>
      </c>
    </row>
    <row r="143" spans="2:11" x14ac:dyDescent="0.2">
      <c r="B143" t="s">
        <v>616</v>
      </c>
      <c r="F143" s="98">
        <v>150</v>
      </c>
      <c r="G143" s="98">
        <v>25</v>
      </c>
      <c r="H143" s="98">
        <v>25</v>
      </c>
      <c r="I143" s="98">
        <v>25</v>
      </c>
      <c r="J143" s="98">
        <v>26</v>
      </c>
      <c r="K143" s="98">
        <v>27</v>
      </c>
    </row>
    <row r="144" spans="2:11" x14ac:dyDescent="0.2">
      <c r="B144" t="s">
        <v>617</v>
      </c>
      <c r="F144" s="98">
        <f>F142+F143</f>
        <v>3373</v>
      </c>
      <c r="G144" s="98">
        <f t="shared" ref="G144:I144" si="157">G142+G143</f>
        <v>3398</v>
      </c>
      <c r="H144" s="98">
        <f t="shared" si="157"/>
        <v>3423</v>
      </c>
      <c r="I144" s="98">
        <f t="shared" si="157"/>
        <v>3448</v>
      </c>
      <c r="J144" s="98">
        <f t="shared" ref="J144:K144" si="158">J142+J143</f>
        <v>3474</v>
      </c>
      <c r="K144" s="98">
        <f t="shared" si="158"/>
        <v>3501</v>
      </c>
    </row>
    <row r="146" spans="2:12" x14ac:dyDescent="0.2">
      <c r="B146" t="s">
        <v>586</v>
      </c>
      <c r="F146" s="98">
        <f>E121</f>
        <v>21933</v>
      </c>
      <c r="G146" s="98">
        <f>F121</f>
        <v>22946.745193545925</v>
      </c>
      <c r="H146" s="98">
        <f>G121</f>
        <v>24010.640228477809</v>
      </c>
      <c r="I146" s="98">
        <f>H121</f>
        <v>25436.809750299624</v>
      </c>
      <c r="J146" s="98">
        <f t="shared" ref="J146:K146" si="159">I121</f>
        <v>27165.353873996006</v>
      </c>
      <c r="K146" s="98">
        <f t="shared" si="159"/>
        <v>29007.141415064732</v>
      </c>
    </row>
    <row r="147" spans="2:12" x14ac:dyDescent="0.2">
      <c r="B147" t="s">
        <v>490</v>
      </c>
      <c r="F147" s="98">
        <f>F45</f>
        <v>2013.745193545923</v>
      </c>
      <c r="G147" s="98">
        <f>G45</f>
        <v>2062.8950349318839</v>
      </c>
      <c r="H147" s="98">
        <f>H45</f>
        <v>2424.1695218218151</v>
      </c>
      <c r="I147" s="98">
        <f>I45</f>
        <v>2725.5441236963807</v>
      </c>
      <c r="J147" s="98">
        <f t="shared" ref="J147:K147" si="160">J45</f>
        <v>2837.7875410687257</v>
      </c>
      <c r="K147" s="98">
        <f t="shared" si="160"/>
        <v>2940.5702090769819</v>
      </c>
    </row>
    <row r="148" spans="2:12" x14ac:dyDescent="0.2">
      <c r="B148" t="s">
        <v>587</v>
      </c>
      <c r="C148">
        <v>0</v>
      </c>
      <c r="D148">
        <v>0</v>
      </c>
      <c r="E148">
        <v>0</v>
      </c>
      <c r="F148" s="98">
        <v>-1000</v>
      </c>
      <c r="G148" s="98">
        <v>-999</v>
      </c>
      <c r="H148" s="98">
        <v>-998</v>
      </c>
      <c r="I148" s="98">
        <v>-997</v>
      </c>
      <c r="J148" s="98">
        <v>-996</v>
      </c>
      <c r="K148" s="98">
        <v>-995</v>
      </c>
    </row>
    <row r="149" spans="2:12" x14ac:dyDescent="0.2">
      <c r="B149" t="s">
        <v>588</v>
      </c>
      <c r="F149" s="98">
        <f>SUM(F146:F148)</f>
        <v>22946.745193545925</v>
      </c>
      <c r="G149" s="98">
        <f t="shared" ref="G149:I149" si="161">SUM(G146:G148)</f>
        <v>24010.640228477809</v>
      </c>
      <c r="H149" s="98">
        <f t="shared" si="161"/>
        <v>25436.809750299624</v>
      </c>
      <c r="I149" s="98">
        <f t="shared" si="161"/>
        <v>27165.353873996006</v>
      </c>
      <c r="J149" s="98">
        <f t="shared" ref="J149:K149" si="162">SUM(J146:J148)</f>
        <v>29007.141415064732</v>
      </c>
      <c r="K149" s="98">
        <f t="shared" si="162"/>
        <v>30952.711624141713</v>
      </c>
    </row>
    <row r="151" spans="2:12" x14ac:dyDescent="0.2">
      <c r="B151" s="107" t="s">
        <v>555</v>
      </c>
      <c r="C151" s="108">
        <v>44926</v>
      </c>
      <c r="D151" s="108">
        <f>EOMONTH(C151,12)</f>
        <v>45291</v>
      </c>
      <c r="E151" s="108">
        <f t="shared" ref="E151:I151" si="163">EOMONTH(D151,12)</f>
        <v>45657</v>
      </c>
      <c r="F151" s="108">
        <f t="shared" si="163"/>
        <v>46022</v>
      </c>
      <c r="G151" s="108">
        <f t="shared" si="163"/>
        <v>46387</v>
      </c>
      <c r="H151" s="108">
        <f t="shared" si="163"/>
        <v>46752</v>
      </c>
      <c r="I151" s="108">
        <f t="shared" si="163"/>
        <v>47118</v>
      </c>
      <c r="J151" s="108">
        <f t="shared" ref="J151" si="164">EOMONTH(I151,12)</f>
        <v>47483</v>
      </c>
      <c r="K151" s="108">
        <f t="shared" ref="K151" si="165">EOMONTH(J151,12)</f>
        <v>47848</v>
      </c>
    </row>
    <row r="152" spans="2:12" x14ac:dyDescent="0.2">
      <c r="B152" s="79"/>
      <c r="C152" s="109"/>
      <c r="D152" s="109"/>
      <c r="E152" s="109"/>
      <c r="F152" s="109"/>
      <c r="G152" s="109"/>
      <c r="H152" s="109"/>
      <c r="I152" s="109"/>
      <c r="J152" s="109"/>
      <c r="K152" s="109"/>
    </row>
    <row r="153" spans="2:12" x14ac:dyDescent="0.2">
      <c r="B153" s="78" t="s">
        <v>489</v>
      </c>
    </row>
    <row r="154" spans="2:12" x14ac:dyDescent="0.2">
      <c r="B154" s="65" t="s">
        <v>421</v>
      </c>
      <c r="C154" s="89">
        <f t="shared" ref="C154:I154" si="166">C45</f>
        <v>4365</v>
      </c>
      <c r="D154" s="89">
        <f t="shared" si="166"/>
        <v>3466</v>
      </c>
      <c r="E154" s="89">
        <f t="shared" si="166"/>
        <v>1779</v>
      </c>
      <c r="F154" s="110">
        <f t="shared" si="166"/>
        <v>2013.745193545923</v>
      </c>
      <c r="G154" s="110">
        <f t="shared" si="166"/>
        <v>2062.8950349318839</v>
      </c>
      <c r="H154" s="110">
        <f t="shared" si="166"/>
        <v>2424.1695218218151</v>
      </c>
      <c r="I154" s="110">
        <f t="shared" si="166"/>
        <v>2725.5441236963807</v>
      </c>
      <c r="J154" s="110">
        <f t="shared" ref="J154:K154" si="167">J45</f>
        <v>2837.7875410687257</v>
      </c>
      <c r="K154" s="110">
        <f t="shared" si="167"/>
        <v>2940.5702090769819</v>
      </c>
    </row>
    <row r="155" spans="2:12" x14ac:dyDescent="0.2">
      <c r="F155" s="19"/>
      <c r="G155" s="19"/>
      <c r="H155" s="19"/>
      <c r="I155" s="19"/>
      <c r="J155" s="19"/>
      <c r="K155" s="19"/>
    </row>
    <row r="156" spans="2:12" x14ac:dyDescent="0.2">
      <c r="B156" s="101" t="s">
        <v>447</v>
      </c>
      <c r="C156" s="111"/>
      <c r="D156" s="111"/>
      <c r="E156" s="111"/>
      <c r="F156" s="19"/>
      <c r="G156" s="19"/>
      <c r="H156" s="19"/>
      <c r="I156" s="19"/>
      <c r="J156" s="19"/>
      <c r="K156" s="19"/>
    </row>
    <row r="157" spans="2:12" x14ac:dyDescent="0.2">
      <c r="B157" s="65" t="s">
        <v>448</v>
      </c>
      <c r="C157" s="97">
        <v>1028</v>
      </c>
      <c r="D157" s="97">
        <v>1059</v>
      </c>
      <c r="E157" s="97">
        <v>1141</v>
      </c>
      <c r="F157" s="19">
        <f>-F49</f>
        <v>882.45145180432837</v>
      </c>
      <c r="G157" s="19">
        <f>-G49</f>
        <v>919.77745820876066</v>
      </c>
      <c r="H157" s="19">
        <f>-H49</f>
        <v>1020.5970290119425</v>
      </c>
      <c r="I157" s="19">
        <f>-I49</f>
        <v>1068.0542453889866</v>
      </c>
      <c r="J157" s="19">
        <f t="shared" ref="J157:K157" si="168">-J49</f>
        <v>1120.7074581651671</v>
      </c>
      <c r="K157" s="19">
        <f t="shared" si="168"/>
        <v>1178.5798410627062</v>
      </c>
    </row>
    <row r="158" spans="2:12" x14ac:dyDescent="0.2">
      <c r="B158" s="65" t="s">
        <v>449</v>
      </c>
      <c r="C158" s="97">
        <v>37</v>
      </c>
      <c r="D158" s="97">
        <v>309</v>
      </c>
      <c r="E158" s="97">
        <v>519</v>
      </c>
      <c r="F158" s="19">
        <f>E158*(1+F64)</f>
        <v>523.41977541308165</v>
      </c>
      <c r="G158" s="19">
        <f>F158*(1+G64)</f>
        <v>545.55942949753921</v>
      </c>
      <c r="H158" s="19">
        <f>G158*(1+H64)</f>
        <v>605.35983777965509</v>
      </c>
      <c r="I158" s="19">
        <f>H158*(1+I64)</f>
        <v>633.50874669358177</v>
      </c>
      <c r="J158" s="19">
        <f t="shared" ref="J158:K158" si="169">I158*(1+J64)</f>
        <v>664.7396237573962</v>
      </c>
      <c r="K158" s="19">
        <f t="shared" si="169"/>
        <v>699.06621429890799</v>
      </c>
      <c r="L158" s="83"/>
    </row>
    <row r="159" spans="2:12" x14ac:dyDescent="0.2">
      <c r="B159" s="65" t="s">
        <v>450</v>
      </c>
      <c r="C159" s="97">
        <v>-89</v>
      </c>
      <c r="D159" s="97">
        <v>-23</v>
      </c>
      <c r="E159" s="97">
        <v>-130</v>
      </c>
      <c r="F159" s="19">
        <f>E159*(1+F64)</f>
        <v>-131.10707283950023</v>
      </c>
      <c r="G159" s="19">
        <f>F159*(1+G64)</f>
        <v>-136.65265093387302</v>
      </c>
      <c r="H159" s="19">
        <f>G159*(1+H64)</f>
        <v>-151.63155859606005</v>
      </c>
      <c r="I159" s="19">
        <f>H159*(1+I64)</f>
        <v>-158.68234502922087</v>
      </c>
      <c r="J159" s="19">
        <f t="shared" ref="J159:K159" si="170">I159*(1+J64)</f>
        <v>-166.50510807025339</v>
      </c>
      <c r="K159" s="19">
        <f t="shared" si="170"/>
        <v>-175.1032906721735</v>
      </c>
    </row>
    <row r="160" spans="2:12" x14ac:dyDescent="0.2">
      <c r="B160" s="65" t="s">
        <v>451</v>
      </c>
      <c r="C160" s="97">
        <v>-457</v>
      </c>
      <c r="D160" s="97">
        <v>-143</v>
      </c>
      <c r="E160" s="97">
        <v>-180</v>
      </c>
      <c r="F160" s="19">
        <f>E37-F37</f>
        <v>-47</v>
      </c>
      <c r="G160" s="19">
        <f>F37-G37</f>
        <v>54.666666666666629</v>
      </c>
      <c r="H160" s="19">
        <f>G37-H37</f>
        <v>-20.777777777777828</v>
      </c>
      <c r="I160" s="19">
        <f>H37-I37</f>
        <v>-4.3703703703704377</v>
      </c>
      <c r="J160" s="19">
        <f t="shared" ref="J160:K160" si="171">I37-J37</f>
        <v>9.8395061728396058</v>
      </c>
      <c r="K160" s="19">
        <f t="shared" si="171"/>
        <v>-5.1028806584362201</v>
      </c>
    </row>
    <row r="161" spans="2:11" x14ac:dyDescent="0.2">
      <c r="B161" s="65" t="s">
        <v>452</v>
      </c>
      <c r="C161" s="97">
        <v>147</v>
      </c>
      <c r="D161" s="97">
        <v>112</v>
      </c>
      <c r="E161" s="97">
        <v>74</v>
      </c>
      <c r="F161" s="19">
        <f>F120-E120</f>
        <v>150</v>
      </c>
      <c r="G161" s="19">
        <f>G120-F120</f>
        <v>25</v>
      </c>
      <c r="H161" s="19">
        <f>H120-G120</f>
        <v>25</v>
      </c>
      <c r="I161" s="19">
        <f>I120-H120</f>
        <v>25</v>
      </c>
      <c r="J161" s="19">
        <f t="shared" ref="J161:K161" si="172">J120-I120</f>
        <v>26</v>
      </c>
      <c r="K161" s="19">
        <f t="shared" si="172"/>
        <v>27</v>
      </c>
    </row>
    <row r="162" spans="2:11" x14ac:dyDescent="0.2">
      <c r="B162" s="65" t="s">
        <v>453</v>
      </c>
      <c r="C162" s="97">
        <v>-84</v>
      </c>
      <c r="D162" s="97">
        <v>15</v>
      </c>
      <c r="E162" s="97">
        <v>-40</v>
      </c>
      <c r="F162" s="19">
        <f>E122-F122</f>
        <v>0</v>
      </c>
      <c r="G162" s="19">
        <f>F122-G122</f>
        <v>0</v>
      </c>
      <c r="H162" s="19">
        <f>G122-H122</f>
        <v>0</v>
      </c>
      <c r="I162" s="19">
        <f>H122-I122</f>
        <v>0</v>
      </c>
      <c r="J162" s="19">
        <f t="shared" ref="J162:K162" si="173">I122-J122</f>
        <v>0</v>
      </c>
      <c r="K162" s="19">
        <f t="shared" si="173"/>
        <v>0</v>
      </c>
    </row>
    <row r="163" spans="2:11" x14ac:dyDescent="0.2">
      <c r="B163" s="65" t="s">
        <v>454</v>
      </c>
      <c r="C163" s="97">
        <v>-115</v>
      </c>
      <c r="D163" s="97">
        <v>38</v>
      </c>
      <c r="E163" s="97">
        <v>-12</v>
      </c>
      <c r="F163" s="19">
        <v>5</v>
      </c>
      <c r="G163" s="19">
        <v>5</v>
      </c>
      <c r="H163" s="19">
        <v>5</v>
      </c>
      <c r="I163" s="19">
        <v>5</v>
      </c>
      <c r="J163" s="19">
        <v>6</v>
      </c>
      <c r="K163" s="19">
        <v>7</v>
      </c>
    </row>
    <row r="164" spans="2:11" x14ac:dyDescent="0.2">
      <c r="B164" s="65" t="s">
        <v>455</v>
      </c>
      <c r="C164" s="97">
        <v>178</v>
      </c>
      <c r="D164" s="97">
        <v>-106</v>
      </c>
      <c r="E164" s="97">
        <v>131</v>
      </c>
      <c r="F164" s="19">
        <f>E40-F40</f>
        <v>-12.475166608207644</v>
      </c>
      <c r="G164" s="19">
        <f>F40-G40</f>
        <v>-12.67077414899876</v>
      </c>
      <c r="H164" s="19">
        <f>G40-H40</f>
        <v>-12.070169158670979</v>
      </c>
      <c r="I164" s="19">
        <f>H40-I40</f>
        <v>-12.140503630788601</v>
      </c>
      <c r="J164" s="19">
        <f t="shared" ref="J164:K164" si="174">I40-J40</f>
        <v>-12.16016499110367</v>
      </c>
      <c r="K164" s="19">
        <f t="shared" si="174"/>
        <v>-12.133654652580674</v>
      </c>
    </row>
    <row r="165" spans="2:11" x14ac:dyDescent="0.2">
      <c r="B165" s="65"/>
      <c r="C165" s="97"/>
      <c r="D165" s="97"/>
      <c r="E165" s="97"/>
    </row>
    <row r="166" spans="2:11" x14ac:dyDescent="0.2">
      <c r="B166" s="101" t="s">
        <v>456</v>
      </c>
      <c r="C166" s="97"/>
      <c r="D166" s="97"/>
      <c r="E166" s="97"/>
    </row>
    <row r="167" spans="2:11" x14ac:dyDescent="0.2">
      <c r="B167" s="65" t="s">
        <v>457</v>
      </c>
      <c r="C167" s="97">
        <v>-1512</v>
      </c>
      <c r="D167" s="97">
        <v>-194</v>
      </c>
      <c r="E167" s="97">
        <v>-693</v>
      </c>
      <c r="F167" s="98">
        <f>E167*(1+F64)</f>
        <v>-698.90154982902811</v>
      </c>
      <c r="G167" s="98">
        <f>F167*(1+G64)</f>
        <v>-728.46374690133848</v>
      </c>
      <c r="H167" s="98">
        <f>G167*(1+H64)</f>
        <v>-808.31284697745855</v>
      </c>
      <c r="I167" s="98">
        <f>H167*(1+I64)</f>
        <v>-845.89896234807748</v>
      </c>
      <c r="J167" s="98">
        <f t="shared" ref="J167:K167" si="175">I167*(1+J64)</f>
        <v>-887.60030686681239</v>
      </c>
      <c r="K167" s="98">
        <f t="shared" si="175"/>
        <v>-933.43523412166348</v>
      </c>
    </row>
    <row r="168" spans="2:11" x14ac:dyDescent="0.2">
      <c r="B168" s="65" t="s">
        <v>458</v>
      </c>
      <c r="C168" s="97">
        <v>-1682</v>
      </c>
      <c r="D168" s="97">
        <v>737</v>
      </c>
      <c r="E168" s="97">
        <v>447</v>
      </c>
      <c r="F168" s="98">
        <f>E84-F84</f>
        <v>-31.577123760514041</v>
      </c>
      <c r="G168" s="98">
        <f t="shared" ref="G168:I168" si="176">F84-G84</f>
        <v>-158.17695056872572</v>
      </c>
      <c r="H168" s="98">
        <f t="shared" si="176"/>
        <v>-427.24453547222629</v>
      </c>
      <c r="I168" s="98">
        <f t="shared" si="176"/>
        <v>-201.11012380123339</v>
      </c>
      <c r="J168" s="98">
        <f t="shared" ref="J168:J169" si="177">I84-J84</f>
        <v>-223.12927197037425</v>
      </c>
      <c r="K168" s="98">
        <f t="shared" ref="K168:K169" si="178">J84-K84</f>
        <v>-245.24662375322896</v>
      </c>
    </row>
    <row r="169" spans="2:11" x14ac:dyDescent="0.2">
      <c r="B169" s="65" t="s">
        <v>54</v>
      </c>
      <c r="C169" s="97">
        <v>-295</v>
      </c>
      <c r="D169" s="97">
        <v>2889</v>
      </c>
      <c r="E169" s="97">
        <v>162</v>
      </c>
      <c r="F169" s="98">
        <f>E85-F85</f>
        <v>-17.565414395698099</v>
      </c>
      <c r="G169" s="98">
        <f>F85-G85</f>
        <v>-492.45477751583894</v>
      </c>
      <c r="H169" s="98">
        <f>G85-H85</f>
        <v>-1353.9102261286334</v>
      </c>
      <c r="I169" s="98">
        <f>H85-I85</f>
        <v>-603.27159242761445</v>
      </c>
      <c r="J169" s="98">
        <f t="shared" si="177"/>
        <v>-696.32133085696114</v>
      </c>
      <c r="K169" s="98">
        <f t="shared" si="178"/>
        <v>-765.8814784561946</v>
      </c>
    </row>
    <row r="170" spans="2:11" x14ac:dyDescent="0.2">
      <c r="B170" s="65" t="s">
        <v>435</v>
      </c>
      <c r="C170" s="97">
        <v>-279</v>
      </c>
      <c r="D170" s="97">
        <v>694</v>
      </c>
      <c r="E170" s="97">
        <v>665</v>
      </c>
      <c r="F170" s="98">
        <f>F94-E94</f>
        <v>11.181435678952312</v>
      </c>
      <c r="G170" s="98">
        <f t="shared" ref="G170:I170" si="179">G94-F94</f>
        <v>56.010338753165115</v>
      </c>
      <c r="H170" s="98">
        <f t="shared" si="179"/>
        <v>151.2869673880889</v>
      </c>
      <c r="I170" s="98">
        <f t="shared" si="179"/>
        <v>71.212942974924317</v>
      </c>
      <c r="J170" s="98">
        <f t="shared" ref="J170" si="180">J94-I94</f>
        <v>79.009906714428553</v>
      </c>
      <c r="K170" s="98">
        <f t="shared" ref="K170" si="181">K94-J94</f>
        <v>86.841644279393222</v>
      </c>
    </row>
    <row r="171" spans="2:11" x14ac:dyDescent="0.2">
      <c r="B171" s="65" t="s">
        <v>459</v>
      </c>
      <c r="C171" s="97">
        <v>1389</v>
      </c>
      <c r="D171" s="97">
        <v>-1544</v>
      </c>
      <c r="E171" s="97">
        <v>-719</v>
      </c>
      <c r="F171" s="98">
        <f t="shared" ref="F171:I172" si="182">F102-E102</f>
        <v>47.135755127951597</v>
      </c>
      <c r="G171" s="98">
        <f t="shared" si="182"/>
        <v>236.11365194118025</v>
      </c>
      <c r="H171" s="98">
        <f t="shared" si="182"/>
        <v>637.75579930927051</v>
      </c>
      <c r="I171" s="98">
        <f t="shared" si="182"/>
        <v>300.2007915965014</v>
      </c>
      <c r="J171" s="98">
        <f t="shared" ref="J171:J172" si="183">J102-I102</f>
        <v>333.06918024703828</v>
      </c>
      <c r="K171" s="98">
        <f t="shared" ref="K171:K172" si="184">K102-J102</f>
        <v>366.08415924329074</v>
      </c>
    </row>
    <row r="172" spans="2:11" x14ac:dyDescent="0.2">
      <c r="B172" s="65" t="s">
        <v>460</v>
      </c>
      <c r="C172" s="97">
        <v>891</v>
      </c>
      <c r="D172" s="97">
        <v>-2059</v>
      </c>
      <c r="E172" s="97">
        <v>-78</v>
      </c>
      <c r="F172" s="98">
        <f t="shared" si="182"/>
        <v>66.18592391227503</v>
      </c>
      <c r="G172" s="98">
        <f t="shared" si="182"/>
        <v>331.54025345742593</v>
      </c>
      <c r="H172" s="98">
        <f t="shared" si="182"/>
        <v>895.50823346551988</v>
      </c>
      <c r="I172" s="98">
        <f t="shared" si="182"/>
        <v>421.52855506558444</v>
      </c>
      <c r="J172" s="98">
        <f t="shared" si="183"/>
        <v>467.68087965311315</v>
      </c>
      <c r="K172" s="98">
        <f t="shared" si="184"/>
        <v>514.03903986248588</v>
      </c>
    </row>
    <row r="173" spans="2:11" x14ac:dyDescent="0.2">
      <c r="B173" s="65" t="s">
        <v>461</v>
      </c>
      <c r="C173" s="97">
        <v>-44</v>
      </c>
      <c r="D173" s="97">
        <v>-790</v>
      </c>
      <c r="E173" s="97">
        <v>-276</v>
      </c>
      <c r="F173" s="98">
        <f>F105-E105</f>
        <v>31.764474548736871</v>
      </c>
      <c r="G173" s="98">
        <f t="shared" ref="G173:I173" si="185">G105-F105</f>
        <v>159.11543301546544</v>
      </c>
      <c r="H173" s="98">
        <f t="shared" si="185"/>
        <v>429.77942753813522</v>
      </c>
      <c r="I173" s="98">
        <f t="shared" si="185"/>
        <v>202.30333381299897</v>
      </c>
      <c r="J173" s="98">
        <f t="shared" ref="J173" si="186">J105-I105</f>
        <v>224.45312417731748</v>
      </c>
      <c r="K173" s="98">
        <f t="shared" ref="K173" si="187">K105-J105</f>
        <v>246.70170080893877</v>
      </c>
    </row>
    <row r="174" spans="2:11" x14ac:dyDescent="0.2">
      <c r="B174" s="112" t="s">
        <v>462</v>
      </c>
      <c r="C174" s="105">
        <f t="shared" ref="C174:I174" si="188">SUM(C154:C173)</f>
        <v>3478</v>
      </c>
      <c r="D174" s="105">
        <f t="shared" si="188"/>
        <v>4460</v>
      </c>
      <c r="E174" s="105">
        <f t="shared" si="188"/>
        <v>2790</v>
      </c>
      <c r="F174" s="105">
        <f t="shared" si="188"/>
        <v>2792.2576825983006</v>
      </c>
      <c r="G174" s="105">
        <f t="shared" si="188"/>
        <v>2867.2593664033116</v>
      </c>
      <c r="H174" s="105">
        <f t="shared" si="188"/>
        <v>3420.5097022036002</v>
      </c>
      <c r="I174" s="105">
        <f t="shared" si="188"/>
        <v>3626.8788416216535</v>
      </c>
      <c r="J174" s="105">
        <f t="shared" ref="J174:K174" si="189">SUM(J154:J173)</f>
        <v>3783.5710372005215</v>
      </c>
      <c r="K174" s="105">
        <f t="shared" si="189"/>
        <v>3928.9796463184257</v>
      </c>
    </row>
    <row r="175" spans="2:11" x14ac:dyDescent="0.2">
      <c r="C175" s="98"/>
      <c r="D175" s="98"/>
      <c r="E175" s="98"/>
    </row>
    <row r="176" spans="2:11" x14ac:dyDescent="0.2">
      <c r="B176" s="78" t="s">
        <v>556</v>
      </c>
      <c r="C176" s="98"/>
      <c r="D176" s="98"/>
      <c r="E176" s="98"/>
    </row>
    <row r="177" spans="2:11" x14ac:dyDescent="0.2">
      <c r="B177" s="65" t="s">
        <v>464</v>
      </c>
      <c r="C177" s="97">
        <v>-1319</v>
      </c>
      <c r="D177" s="97">
        <v>-1494</v>
      </c>
      <c r="E177" s="97">
        <v>-1563</v>
      </c>
      <c r="F177" s="83">
        <f>F51</f>
        <v>-1500</v>
      </c>
      <c r="G177" s="83">
        <f>G51</f>
        <v>-1563.4471273090082</v>
      </c>
      <c r="H177" s="83">
        <f>H51</f>
        <v>-1734.8212645440453</v>
      </c>
      <c r="I177" s="83">
        <f>I51</f>
        <v>-1815.4895261464417</v>
      </c>
      <c r="J177" s="83">
        <f t="shared" ref="J177:K177" si="190">J51</f>
        <v>-1904.9899955521892</v>
      </c>
      <c r="K177" s="83">
        <f t="shared" si="190"/>
        <v>-2003.3620636912503</v>
      </c>
    </row>
    <row r="178" spans="2:11" x14ac:dyDescent="0.2">
      <c r="B178" s="65" t="s">
        <v>465</v>
      </c>
      <c r="C178" s="97">
        <f>'Cash Flow Schedule'!C30+'Cash Flow Schedule'!C31</f>
        <v>109</v>
      </c>
      <c r="D178" s="97">
        <f>'Cash Flow Schedule'!D30+'Cash Flow Schedule'!D31</f>
        <v>37</v>
      </c>
      <c r="E178" s="97">
        <f>'Cash Flow Schedule'!E30+'Cash Flow Schedule'!E31</f>
        <v>-861</v>
      </c>
      <c r="F178" s="97">
        <f>F92-E92</f>
        <v>57.644431158284533</v>
      </c>
      <c r="G178" s="97">
        <f t="shared" ref="G178:I178" si="191">G92-F92</f>
        <v>288.75398554468757</v>
      </c>
      <c r="H178" s="97">
        <f t="shared" si="191"/>
        <v>779.94019973341528</v>
      </c>
      <c r="I178" s="97">
        <f t="shared" si="191"/>
        <v>367.12902589281293</v>
      </c>
      <c r="J178" s="97">
        <f t="shared" ref="J178" si="192">J92-I92</f>
        <v>407.32525403653199</v>
      </c>
      <c r="K178" s="97">
        <f t="shared" ref="K178" si="193">K92-J92</f>
        <v>447.70075409536366</v>
      </c>
    </row>
    <row r="179" spans="2:11" x14ac:dyDescent="0.2">
      <c r="B179" s="65" t="s">
        <v>467</v>
      </c>
      <c r="C179" s="97">
        <v>-77</v>
      </c>
      <c r="D179" s="97">
        <v>-18</v>
      </c>
      <c r="E179" s="97">
        <v>-58</v>
      </c>
      <c r="F179" s="98">
        <f>E90-F90</f>
        <v>-44.930125393870185</v>
      </c>
      <c r="G179" s="98">
        <f t="shared" ref="G179:I179" si="194">F90-G90</f>
        <v>-225.06515404546826</v>
      </c>
      <c r="H179" s="98">
        <f t="shared" si="194"/>
        <v>-607.91320635152897</v>
      </c>
      <c r="I179" s="98">
        <f t="shared" si="194"/>
        <v>-286.15345554889609</v>
      </c>
      <c r="J179" s="98">
        <f t="shared" ref="J179" si="195">I90-J90</f>
        <v>-317.48382926528939</v>
      </c>
      <c r="K179" s="98">
        <f t="shared" ref="K179" si="196">J90-K90</f>
        <v>-348.95393390561912</v>
      </c>
    </row>
    <row r="180" spans="2:11" x14ac:dyDescent="0.2">
      <c r="B180" s="65" t="s">
        <v>468</v>
      </c>
      <c r="C180" s="97" t="s">
        <v>47</v>
      </c>
      <c r="D180" s="97" t="s">
        <v>47</v>
      </c>
      <c r="E180" s="97">
        <v>-308</v>
      </c>
      <c r="F180" s="98">
        <f>E82-F82</f>
        <v>-2.0949224501311789</v>
      </c>
      <c r="G180" s="98">
        <f t="shared" ref="G180:I180" si="197">F82-G82</f>
        <v>-10.493940086274648</v>
      </c>
      <c r="H180" s="98">
        <f t="shared" si="197"/>
        <v>-28.34470219152314</v>
      </c>
      <c r="I180" s="98">
        <f t="shared" si="197"/>
        <v>-13.342257404288944</v>
      </c>
      <c r="J180" s="98">
        <f t="shared" ref="J180" si="198">I82-J82</f>
        <v>-14.80307467764618</v>
      </c>
      <c r="K180" s="98">
        <f t="shared" ref="K180" si="199">J82-K82</f>
        <v>-16.270407077479604</v>
      </c>
    </row>
    <row r="181" spans="2:11" x14ac:dyDescent="0.2">
      <c r="B181" s="65" t="s">
        <v>469</v>
      </c>
      <c r="C181" s="97" t="s">
        <v>47</v>
      </c>
      <c r="D181" s="97" t="s">
        <v>47</v>
      </c>
      <c r="E181" s="97">
        <v>84</v>
      </c>
      <c r="F181" s="97" t="s">
        <v>47</v>
      </c>
      <c r="G181" s="97" t="s">
        <v>47</v>
      </c>
      <c r="H181" s="97" t="s">
        <v>47</v>
      </c>
      <c r="I181" s="97" t="s">
        <v>47</v>
      </c>
      <c r="J181" s="97" t="s">
        <v>47</v>
      </c>
      <c r="K181" s="97" t="s">
        <v>47</v>
      </c>
    </row>
    <row r="182" spans="2:11" x14ac:dyDescent="0.2">
      <c r="B182" s="65" t="s">
        <v>470</v>
      </c>
      <c r="C182" s="97">
        <v>-155</v>
      </c>
      <c r="D182" s="97" t="s">
        <v>47</v>
      </c>
      <c r="E182" s="97" t="s">
        <v>47</v>
      </c>
      <c r="F182" s="97" t="s">
        <v>47</v>
      </c>
      <c r="G182" s="97" t="s">
        <v>47</v>
      </c>
      <c r="H182" s="97" t="s">
        <v>47</v>
      </c>
      <c r="I182" s="97" t="s">
        <v>47</v>
      </c>
      <c r="J182" s="97" t="s">
        <v>47</v>
      </c>
      <c r="K182" s="97" t="s">
        <v>47</v>
      </c>
    </row>
    <row r="183" spans="2:11" x14ac:dyDescent="0.2">
      <c r="B183" s="65" t="s">
        <v>455</v>
      </c>
      <c r="C183" s="97">
        <v>42</v>
      </c>
      <c r="D183" s="97">
        <v>-21</v>
      </c>
      <c r="E183" s="97">
        <v>4</v>
      </c>
      <c r="F183" s="98">
        <f>E94-F94</f>
        <v>-11.181435678952312</v>
      </c>
      <c r="G183" s="98">
        <f t="shared" ref="G183:I183" si="200">F94-G94</f>
        <v>-56.010338753165115</v>
      </c>
      <c r="H183" s="98">
        <f t="shared" si="200"/>
        <v>-151.2869673880889</v>
      </c>
      <c r="I183" s="98">
        <f t="shared" si="200"/>
        <v>-71.212942974924317</v>
      </c>
      <c r="J183" s="98">
        <f t="shared" ref="J183" si="201">I94-J94</f>
        <v>-79.009906714428553</v>
      </c>
      <c r="K183" s="98">
        <f t="shared" ref="K183" si="202">J94-K94</f>
        <v>-86.841644279393222</v>
      </c>
    </row>
    <row r="184" spans="2:11" x14ac:dyDescent="0.2">
      <c r="B184" s="18" t="s">
        <v>471</v>
      </c>
      <c r="C184" s="105">
        <f t="shared" ref="C184:I184" si="203">SUM(C177:C183)</f>
        <v>-1400</v>
      </c>
      <c r="D184" s="105">
        <f t="shared" si="203"/>
        <v>-1496</v>
      </c>
      <c r="E184" s="105">
        <f t="shared" si="203"/>
        <v>-2702</v>
      </c>
      <c r="F184" s="87">
        <f t="shared" si="203"/>
        <v>-1500.5620523646692</v>
      </c>
      <c r="G184" s="87">
        <f t="shared" si="203"/>
        <v>-1566.2625746492288</v>
      </c>
      <c r="H184" s="87">
        <f t="shared" si="203"/>
        <v>-1742.425940741771</v>
      </c>
      <c r="I184" s="87">
        <f t="shared" si="203"/>
        <v>-1819.069156181738</v>
      </c>
      <c r="J184" s="87">
        <f t="shared" ref="J184:K184" si="204">SUM(J177:J183)</f>
        <v>-1908.9615521730213</v>
      </c>
      <c r="K184" s="87">
        <f t="shared" si="204"/>
        <v>-2007.7272948583786</v>
      </c>
    </row>
    <row r="185" spans="2:11" x14ac:dyDescent="0.2">
      <c r="C185" s="98"/>
      <c r="D185" s="98"/>
      <c r="E185" s="98"/>
    </row>
    <row r="186" spans="2:11" x14ac:dyDescent="0.2">
      <c r="B186" s="78" t="s">
        <v>557</v>
      </c>
      <c r="C186" s="98"/>
      <c r="D186" s="98"/>
      <c r="E186" s="98"/>
    </row>
    <row r="187" spans="2:11" x14ac:dyDescent="0.2">
      <c r="B187" s="65" t="s">
        <v>594</v>
      </c>
      <c r="C187" s="98" t="e">
        <f t="shared" ref="C187:I187" si="205">C110-B110</f>
        <v>#VALUE!</v>
      </c>
      <c r="D187" s="98">
        <f t="shared" si="205"/>
        <v>0</v>
      </c>
      <c r="E187" s="98">
        <f t="shared" si="205"/>
        <v>0</v>
      </c>
      <c r="F187" s="98">
        <f t="shared" si="205"/>
        <v>-359.68635180470415</v>
      </c>
      <c r="G187" s="98">
        <f t="shared" si="205"/>
        <v>359.68635180470415</v>
      </c>
      <c r="H187" s="98">
        <f t="shared" si="205"/>
        <v>0</v>
      </c>
      <c r="I187" s="98">
        <f t="shared" si="205"/>
        <v>0</v>
      </c>
      <c r="J187" s="98">
        <f t="shared" ref="J187:J188" si="206">J110-I110</f>
        <v>0</v>
      </c>
      <c r="K187" s="98">
        <f t="shared" ref="K187:K188" si="207">K110-J110</f>
        <v>0</v>
      </c>
    </row>
    <row r="188" spans="2:11" x14ac:dyDescent="0.2">
      <c r="B188" s="65" t="s">
        <v>473</v>
      </c>
      <c r="C188" s="97">
        <v>752</v>
      </c>
      <c r="D188" s="97">
        <v>501</v>
      </c>
      <c r="E188" s="97">
        <v>27</v>
      </c>
      <c r="F188" s="98">
        <f>F111-E111</f>
        <v>64.550862487782069</v>
      </c>
      <c r="G188" s="98">
        <f t="shared" ref="G188:I188" si="208">G111-F111</f>
        <v>323.34986119496716</v>
      </c>
      <c r="H188" s="98">
        <f t="shared" si="208"/>
        <v>873.38553907213463</v>
      </c>
      <c r="I188" s="98">
        <f t="shared" si="208"/>
        <v>411.11508587199205</v>
      </c>
      <c r="J188" s="98">
        <f t="shared" si="206"/>
        <v>456.12726039251174</v>
      </c>
      <c r="K188" s="98">
        <f t="shared" si="207"/>
        <v>501.34018555811053</v>
      </c>
    </row>
    <row r="189" spans="2:11" x14ac:dyDescent="0.2">
      <c r="B189" s="65" t="s">
        <v>474</v>
      </c>
      <c r="C189" s="97">
        <v>-482</v>
      </c>
      <c r="D189" s="97">
        <v>-963</v>
      </c>
      <c r="E189" s="97">
        <v>-1</v>
      </c>
      <c r="F189" s="97">
        <f>AVERAGE(C189:E189)</f>
        <v>-482</v>
      </c>
      <c r="G189" s="97">
        <f t="shared" ref="G189:I189" si="209">AVERAGE(D189:F189)</f>
        <v>-482</v>
      </c>
      <c r="H189" s="97">
        <f t="shared" si="209"/>
        <v>-321.66666666666669</v>
      </c>
      <c r="I189" s="97">
        <f t="shared" si="209"/>
        <v>-428.5555555555556</v>
      </c>
      <c r="J189" s="97">
        <f t="shared" ref="J189" si="210">AVERAGE(G189:I189)</f>
        <v>-410.74074074074082</v>
      </c>
      <c r="K189" s="97">
        <f t="shared" ref="K189" si="211">AVERAGE(H189:J189)</f>
        <v>-386.9876543209877</v>
      </c>
    </row>
    <row r="190" spans="2:11" x14ac:dyDescent="0.2">
      <c r="B190" s="65" t="s">
        <v>475</v>
      </c>
      <c r="C190" s="97">
        <v>-428</v>
      </c>
      <c r="D190" s="97">
        <v>-390</v>
      </c>
      <c r="E190" s="97">
        <v>1800</v>
      </c>
      <c r="F190" s="98">
        <f>F101-E101</f>
        <v>16.205843181299315</v>
      </c>
      <c r="G190" s="98">
        <f>G101-F101</f>
        <v>81.178731643010906</v>
      </c>
      <c r="H190" s="98">
        <f>H101-G101</f>
        <v>219.26816370109145</v>
      </c>
      <c r="I190" s="98">
        <f>I101-H101</f>
        <v>103.21266601773141</v>
      </c>
      <c r="J190" s="98">
        <f t="shared" ref="J190:K190" si="212">J101-I101</f>
        <v>114.51321590065299</v>
      </c>
      <c r="K190" s="98">
        <f t="shared" si="212"/>
        <v>125.86416531887699</v>
      </c>
    </row>
    <row r="191" spans="2:11" x14ac:dyDescent="0.2">
      <c r="B191" s="65" t="s">
        <v>476</v>
      </c>
      <c r="C191" s="97">
        <v>-1450</v>
      </c>
      <c r="D191" s="97">
        <v>-2673</v>
      </c>
      <c r="E191" s="97">
        <v>-2327</v>
      </c>
      <c r="F191" s="98">
        <f>E120-F120</f>
        <v>-150</v>
      </c>
      <c r="G191" s="98">
        <f>F120-G120</f>
        <v>-25</v>
      </c>
      <c r="H191" s="98">
        <f>G120-H120</f>
        <v>-25</v>
      </c>
      <c r="I191" s="98">
        <f>H120-I120</f>
        <v>-25</v>
      </c>
      <c r="J191" s="98">
        <f t="shared" ref="J191:K191" si="213">I120-J120</f>
        <v>-26</v>
      </c>
      <c r="K191" s="98">
        <f t="shared" si="213"/>
        <v>-27</v>
      </c>
    </row>
    <row r="192" spans="2:11" x14ac:dyDescent="0.2">
      <c r="B192" s="65" t="s">
        <v>477</v>
      </c>
      <c r="C192" s="97">
        <v>-899</v>
      </c>
      <c r="D192" s="97">
        <v>-977</v>
      </c>
      <c r="E192" s="97">
        <v>-985</v>
      </c>
      <c r="F192" s="98">
        <f>F148</f>
        <v>-1000</v>
      </c>
      <c r="G192" s="98">
        <f t="shared" ref="G192:I192" si="214">F148-G148</f>
        <v>-1</v>
      </c>
      <c r="H192" s="98">
        <f t="shared" si="214"/>
        <v>-1</v>
      </c>
      <c r="I192" s="98">
        <f t="shared" si="214"/>
        <v>-1</v>
      </c>
      <c r="J192" s="98">
        <f t="shared" ref="J192" si="215">I148-J148</f>
        <v>-1</v>
      </c>
      <c r="K192" s="98">
        <f t="shared" ref="K192" si="216">J148-K148</f>
        <v>-1</v>
      </c>
    </row>
    <row r="193" spans="2:11" x14ac:dyDescent="0.2">
      <c r="B193" s="65" t="s">
        <v>478</v>
      </c>
      <c r="C193" s="97" t="s">
        <v>47</v>
      </c>
      <c r="D193" s="97" t="s">
        <v>47</v>
      </c>
      <c r="E193" s="97">
        <v>-8</v>
      </c>
      <c r="F193" s="98">
        <f>E123-F123</f>
        <v>-9.9317431341860996E-2</v>
      </c>
      <c r="G193" s="98">
        <f t="shared" ref="G193:I193" si="217">F123-G123</f>
        <v>-9.7914021414814201E-2</v>
      </c>
      <c r="H193" s="98">
        <f t="shared" si="217"/>
        <v>-8.4129689454170986E-2</v>
      </c>
      <c r="I193" s="98">
        <f t="shared" si="217"/>
        <v>-7.544446668702065E-2</v>
      </c>
      <c r="J193" s="98">
        <f t="shared" ref="J193" si="218">I123-J123</f>
        <v>-7.6641719874823266E-2</v>
      </c>
      <c r="K193" s="98">
        <f t="shared" ref="K193" si="219">J123-K123</f>
        <v>-7.8058276086885314E-2</v>
      </c>
    </row>
    <row r="194" spans="2:11" x14ac:dyDescent="0.2">
      <c r="B194" s="65" t="s">
        <v>455</v>
      </c>
      <c r="C194" s="97"/>
      <c r="D194" s="97">
        <v>-102</v>
      </c>
      <c r="E194" s="97">
        <v>-36</v>
      </c>
      <c r="F194" s="98">
        <f>F114-E114</f>
        <v>8.3333333333333712</v>
      </c>
      <c r="G194" s="98">
        <f t="shared" ref="G194:I194" si="220">G114-F114</f>
        <v>-2.8888888888889142</v>
      </c>
      <c r="H194" s="98">
        <f t="shared" si="220"/>
        <v>-0.85185185185184764</v>
      </c>
      <c r="I194" s="98">
        <f t="shared" si="220"/>
        <v>1.5308641975308319</v>
      </c>
      <c r="J194" s="98">
        <f t="shared" ref="J194" si="221">J114-I114</f>
        <v>-0.73662551440338575</v>
      </c>
      <c r="K194" s="98">
        <f t="shared" ref="K194" si="222">K114-J114</f>
        <v>-1.9204389574724701E-2</v>
      </c>
    </row>
    <row r="195" spans="2:11" x14ac:dyDescent="0.2">
      <c r="B195" s="113" t="s">
        <v>479</v>
      </c>
      <c r="C195" s="99">
        <f>SUM(C188:C194)</f>
        <v>-2507</v>
      </c>
      <c r="D195" s="99">
        <f t="shared" ref="D195:I195" si="223">SUM(D188:D194)</f>
        <v>-4604</v>
      </c>
      <c r="E195" s="99">
        <f t="shared" si="223"/>
        <v>-1530</v>
      </c>
      <c r="F195" s="99">
        <f t="shared" si="223"/>
        <v>-1543.0092784289272</v>
      </c>
      <c r="G195" s="99">
        <f t="shared" si="223"/>
        <v>-106.45821007232566</v>
      </c>
      <c r="H195" s="99">
        <f t="shared" si="223"/>
        <v>744.05105456525337</v>
      </c>
      <c r="I195" s="99">
        <f t="shared" si="223"/>
        <v>61.227616065011674</v>
      </c>
      <c r="J195" s="99">
        <f t="shared" ref="J195:K195" si="224">SUM(J188:J194)</f>
        <v>132.08646831814571</v>
      </c>
      <c r="K195" s="99">
        <f t="shared" si="224"/>
        <v>212.1194338903382</v>
      </c>
    </row>
    <row r="196" spans="2:11" x14ac:dyDescent="0.2">
      <c r="B196" s="65"/>
      <c r="C196" s="69"/>
      <c r="D196" s="69"/>
      <c r="E196" s="69"/>
    </row>
    <row r="197" spans="2:11" x14ac:dyDescent="0.2">
      <c r="B197" s="78" t="s">
        <v>585</v>
      </c>
      <c r="C197" s="114">
        <f>C195+C184+C174</f>
        <v>-429</v>
      </c>
      <c r="D197" s="114">
        <f t="shared" ref="D197:I197" si="225">D195+D184+D174</f>
        <v>-1640</v>
      </c>
      <c r="E197" s="114">
        <f t="shared" si="225"/>
        <v>-1442</v>
      </c>
      <c r="F197" s="114">
        <f t="shared" si="225"/>
        <v>-251.31364819529608</v>
      </c>
      <c r="G197" s="114">
        <f t="shared" si="225"/>
        <v>1194.538581681757</v>
      </c>
      <c r="H197" s="114">
        <f t="shared" si="225"/>
        <v>2422.1348160270827</v>
      </c>
      <c r="I197" s="114">
        <f t="shared" si="225"/>
        <v>1869.0373015049272</v>
      </c>
      <c r="J197" s="114">
        <f t="shared" ref="J197:K197" si="226">J195+J184+J174</f>
        <v>2006.6959533456459</v>
      </c>
      <c r="K197" s="114">
        <f t="shared" si="226"/>
        <v>2133.3717853503854</v>
      </c>
    </row>
    <row r="199" spans="2:11" x14ac:dyDescent="0.2">
      <c r="B199" t="s">
        <v>595</v>
      </c>
      <c r="C199" s="98"/>
      <c r="D199" s="98">
        <f t="shared" ref="D199:I199" si="227">C81+D174+D184+SUM(D188:D194)</f>
        <v>-603</v>
      </c>
      <c r="E199" s="98">
        <f t="shared" si="227"/>
        <v>-74</v>
      </c>
      <c r="F199" s="98">
        <f t="shared" si="227"/>
        <v>359.68635180470415</v>
      </c>
      <c r="G199" s="98">
        <f t="shared" si="227"/>
        <v>1554.2249334864609</v>
      </c>
      <c r="H199" s="98">
        <f t="shared" si="227"/>
        <v>3976.3597495135436</v>
      </c>
      <c r="I199" s="98">
        <f t="shared" si="227"/>
        <v>5845.3970510184708</v>
      </c>
      <c r="J199" s="98">
        <f t="shared" ref="J199" si="228">I81+J174+J184+SUM(J188:J194)</f>
        <v>7852.0930043641174</v>
      </c>
      <c r="K199" s="98">
        <f t="shared" ref="K199" si="229">J81+K174+K184+SUM(K188:K194)</f>
        <v>9985.4647897145023</v>
      </c>
    </row>
    <row r="200" spans="2:11" x14ac:dyDescent="0.2">
      <c r="B200" t="s">
        <v>596</v>
      </c>
      <c r="C200" s="98"/>
      <c r="D200" s="98">
        <f t="shared" ref="D200:I200" si="230">-MIN(D199,C110)</f>
        <v>603</v>
      </c>
      <c r="E200" s="98">
        <f t="shared" si="230"/>
        <v>74</v>
      </c>
      <c r="F200" s="98">
        <f t="shared" si="230"/>
        <v>-359.68635180470415</v>
      </c>
      <c r="G200" s="98">
        <f t="shared" si="230"/>
        <v>359.68635180470415</v>
      </c>
      <c r="H200" s="98">
        <f t="shared" si="230"/>
        <v>0</v>
      </c>
      <c r="I200" s="98">
        <f t="shared" si="230"/>
        <v>0</v>
      </c>
      <c r="J200" s="98">
        <f t="shared" ref="J200" si="231">-MIN(J199,I110)</f>
        <v>0</v>
      </c>
      <c r="K200" s="98">
        <f t="shared" ref="K200" si="232">-MIN(K199,J110)</f>
        <v>0</v>
      </c>
    </row>
  </sheetData>
  <mergeCells count="2">
    <mergeCell ref="C2:E2"/>
    <mergeCell ref="F2:K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CE8C-C958-4B53-9C44-4A3A3ED06812}">
  <dimension ref="A1:Q39"/>
  <sheetViews>
    <sheetView workbookViewId="0">
      <selection activeCell="C39" sqref="C39"/>
    </sheetView>
  </sheetViews>
  <sheetFormatPr baseColWidth="10" defaultColWidth="8.83203125" defaultRowHeight="15" x14ac:dyDescent="0.2"/>
  <cols>
    <col min="1" max="1" width="27.5" bestFit="1" customWidth="1"/>
    <col min="2" max="2" width="23.83203125" customWidth="1"/>
    <col min="3" max="3" width="10" bestFit="1" customWidth="1"/>
  </cols>
  <sheetData>
    <row r="1" spans="1:17" ht="19" x14ac:dyDescent="0.25">
      <c r="A1" s="42" t="s">
        <v>601</v>
      </c>
      <c r="C1" s="43">
        <v>45627</v>
      </c>
      <c r="D1" s="43">
        <f>EOMONTH(C1,1)</f>
        <v>45688</v>
      </c>
      <c r="E1" s="43">
        <f>EOMONTH(D1,1)</f>
        <v>45716</v>
      </c>
      <c r="F1" s="43">
        <f t="shared" ref="F1:O1" si="0">EOMONTH(E1,1)</f>
        <v>45747</v>
      </c>
      <c r="G1" s="43">
        <f t="shared" si="0"/>
        <v>45777</v>
      </c>
      <c r="H1" s="43">
        <f t="shared" si="0"/>
        <v>45808</v>
      </c>
      <c r="I1" s="43">
        <f t="shared" si="0"/>
        <v>45838</v>
      </c>
      <c r="J1" s="43">
        <f t="shared" si="0"/>
        <v>45869</v>
      </c>
      <c r="K1" s="43">
        <f t="shared" si="0"/>
        <v>45900</v>
      </c>
      <c r="L1" s="43">
        <f t="shared" si="0"/>
        <v>45930</v>
      </c>
      <c r="M1" s="43">
        <f t="shared" si="0"/>
        <v>45961</v>
      </c>
      <c r="N1" s="43">
        <f t="shared" si="0"/>
        <v>45991</v>
      </c>
      <c r="O1" s="43">
        <f t="shared" si="0"/>
        <v>46022</v>
      </c>
      <c r="P1" s="44"/>
      <c r="Q1" s="44"/>
    </row>
    <row r="2" spans="1:17" x14ac:dyDescent="0.2">
      <c r="A2" t="s">
        <v>546</v>
      </c>
    </row>
    <row r="3" spans="1:17" s="46" customFormat="1" x14ac:dyDescent="0.2">
      <c r="A3" s="45" t="s">
        <v>602</v>
      </c>
      <c r="C3" s="47"/>
    </row>
    <row r="4" spans="1:17" x14ac:dyDescent="0.2">
      <c r="A4" s="11"/>
      <c r="B4" s="25">
        <v>1500</v>
      </c>
      <c r="C4" s="48"/>
    </row>
    <row r="5" spans="1:17" s="48" customFormat="1" x14ac:dyDescent="0.2">
      <c r="A5" t="s">
        <v>442</v>
      </c>
      <c r="B5" s="57">
        <v>2.01912100456621E-2</v>
      </c>
      <c r="D5">
        <f>$B$4*B5</f>
        <v>30.286815068493151</v>
      </c>
      <c r="E5"/>
      <c r="F5"/>
      <c r="G5"/>
      <c r="H5"/>
    </row>
    <row r="6" spans="1:17" s="48" customFormat="1" x14ac:dyDescent="0.2">
      <c r="A6" t="s">
        <v>83</v>
      </c>
      <c r="B6" s="57">
        <v>0.21914240867579909</v>
      </c>
      <c r="D6"/>
      <c r="E6"/>
      <c r="F6"/>
      <c r="G6"/>
      <c r="H6">
        <f>B4*B6</f>
        <v>328.71361301369865</v>
      </c>
    </row>
    <row r="7" spans="1:17" s="48" customFormat="1" x14ac:dyDescent="0.2">
      <c r="A7" t="s">
        <v>443</v>
      </c>
      <c r="B7" s="57">
        <v>0.73615867579908678</v>
      </c>
      <c r="D7"/>
      <c r="E7">
        <f>B4*B7</f>
        <v>1104.2380136986301</v>
      </c>
      <c r="F7"/>
      <c r="G7"/>
      <c r="H7"/>
    </row>
    <row r="8" spans="1:17" s="48" customFormat="1" x14ac:dyDescent="0.2">
      <c r="A8" t="s">
        <v>444</v>
      </c>
      <c r="B8" s="57">
        <v>5.5400970319634701E-2</v>
      </c>
      <c r="D8"/>
      <c r="E8"/>
      <c r="F8">
        <f>B4*B8</f>
        <v>83.101455479452056</v>
      </c>
      <c r="G8"/>
      <c r="H8"/>
    </row>
    <row r="9" spans="1:17" s="49" customFormat="1" x14ac:dyDescent="0.2">
      <c r="A9" s="49" t="s">
        <v>603</v>
      </c>
      <c r="C9" s="60">
        <f>SUM(C5:C8)</f>
        <v>0</v>
      </c>
      <c r="D9" s="60">
        <f t="shared" ref="D9:O9" si="1">SUM(D5:D8)</f>
        <v>30.286815068493151</v>
      </c>
      <c r="E9" s="60">
        <f t="shared" si="1"/>
        <v>1104.2380136986301</v>
      </c>
      <c r="F9" s="60">
        <f t="shared" si="1"/>
        <v>83.101455479452056</v>
      </c>
      <c r="G9" s="60">
        <f t="shared" si="1"/>
        <v>0</v>
      </c>
      <c r="H9" s="60">
        <f t="shared" si="1"/>
        <v>328.71361301369865</v>
      </c>
      <c r="I9" s="60">
        <f t="shared" si="1"/>
        <v>0</v>
      </c>
      <c r="J9" s="60">
        <f t="shared" si="1"/>
        <v>0</v>
      </c>
      <c r="K9" s="60">
        <f t="shared" si="1"/>
        <v>0</v>
      </c>
      <c r="L9" s="60">
        <f t="shared" si="1"/>
        <v>0</v>
      </c>
      <c r="M9" s="60">
        <f t="shared" si="1"/>
        <v>0</v>
      </c>
      <c r="N9" s="60">
        <f t="shared" si="1"/>
        <v>0</v>
      </c>
      <c r="O9" s="60">
        <f t="shared" si="1"/>
        <v>0</v>
      </c>
    </row>
    <row r="11" spans="1:17" s="45" customFormat="1" x14ac:dyDescent="0.2">
      <c r="A11" s="45" t="s">
        <v>604</v>
      </c>
    </row>
    <row r="13" spans="1:17" x14ac:dyDescent="0.2">
      <c r="A13" s="48" t="s">
        <v>605</v>
      </c>
      <c r="B13" s="50" t="s">
        <v>606</v>
      </c>
    </row>
    <row r="14" spans="1:17" x14ac:dyDescent="0.2">
      <c r="A14" t="s">
        <v>442</v>
      </c>
      <c r="B14" s="51">
        <v>12</v>
      </c>
      <c r="D14">
        <f>$D$5/$B$14</f>
        <v>2.5239012557077625</v>
      </c>
      <c r="E14">
        <f t="shared" ref="E14:O14" si="2">$D$5/$B$14</f>
        <v>2.5239012557077625</v>
      </c>
      <c r="F14">
        <f t="shared" si="2"/>
        <v>2.5239012557077625</v>
      </c>
      <c r="G14">
        <f t="shared" si="2"/>
        <v>2.5239012557077625</v>
      </c>
      <c r="H14">
        <f t="shared" si="2"/>
        <v>2.5239012557077625</v>
      </c>
      <c r="I14">
        <f t="shared" si="2"/>
        <v>2.5239012557077625</v>
      </c>
      <c r="J14">
        <f t="shared" si="2"/>
        <v>2.5239012557077625</v>
      </c>
      <c r="K14">
        <f t="shared" si="2"/>
        <v>2.5239012557077625</v>
      </c>
      <c r="L14">
        <f t="shared" si="2"/>
        <v>2.5239012557077625</v>
      </c>
      <c r="M14">
        <f t="shared" si="2"/>
        <v>2.5239012557077625</v>
      </c>
      <c r="N14">
        <f t="shared" si="2"/>
        <v>2.5239012557077625</v>
      </c>
      <c r="O14">
        <f t="shared" si="2"/>
        <v>2.5239012557077625</v>
      </c>
    </row>
    <row r="15" spans="1:17" x14ac:dyDescent="0.2">
      <c r="A15" t="s">
        <v>83</v>
      </c>
      <c r="B15" s="51">
        <v>40</v>
      </c>
      <c r="F15" s="52"/>
      <c r="G15" s="52"/>
      <c r="H15" s="52">
        <f>$H$6/$B$15</f>
        <v>8.2178403253424666</v>
      </c>
      <c r="I15" s="52">
        <f t="shared" ref="I15:O15" si="3">$H$6/$B$15</f>
        <v>8.2178403253424666</v>
      </c>
      <c r="J15" s="52">
        <f t="shared" si="3"/>
        <v>8.2178403253424666</v>
      </c>
      <c r="K15" s="52">
        <f t="shared" si="3"/>
        <v>8.2178403253424666</v>
      </c>
      <c r="L15" s="52">
        <f t="shared" si="3"/>
        <v>8.2178403253424666</v>
      </c>
      <c r="M15" s="52">
        <f t="shared" si="3"/>
        <v>8.2178403253424666</v>
      </c>
      <c r="N15" s="52">
        <f t="shared" si="3"/>
        <v>8.2178403253424666</v>
      </c>
      <c r="O15" s="52">
        <f t="shared" si="3"/>
        <v>8.2178403253424666</v>
      </c>
    </row>
    <row r="16" spans="1:17" x14ac:dyDescent="0.2">
      <c r="A16" t="s">
        <v>443</v>
      </c>
      <c r="B16" s="51">
        <v>40</v>
      </c>
      <c r="E16">
        <f>$E$7/$B$16</f>
        <v>27.605950342465754</v>
      </c>
      <c r="F16">
        <f t="shared" ref="F16:O16" si="4">$E$7/$B$16</f>
        <v>27.605950342465754</v>
      </c>
      <c r="G16">
        <f t="shared" si="4"/>
        <v>27.605950342465754</v>
      </c>
      <c r="H16">
        <f t="shared" si="4"/>
        <v>27.605950342465754</v>
      </c>
      <c r="I16">
        <f t="shared" si="4"/>
        <v>27.605950342465754</v>
      </c>
      <c r="J16">
        <f t="shared" si="4"/>
        <v>27.605950342465754</v>
      </c>
      <c r="K16">
        <f t="shared" si="4"/>
        <v>27.605950342465754</v>
      </c>
      <c r="L16">
        <f t="shared" si="4"/>
        <v>27.605950342465754</v>
      </c>
      <c r="M16">
        <f t="shared" si="4"/>
        <v>27.605950342465754</v>
      </c>
      <c r="N16">
        <f t="shared" si="4"/>
        <v>27.605950342465754</v>
      </c>
      <c r="O16">
        <f t="shared" si="4"/>
        <v>27.605950342465754</v>
      </c>
    </row>
    <row r="17" spans="1:15" x14ac:dyDescent="0.2">
      <c r="A17" t="s">
        <v>444</v>
      </c>
      <c r="B17" s="51"/>
      <c r="C17">
        <v>30</v>
      </c>
      <c r="F17" s="52"/>
      <c r="G17" s="52"/>
      <c r="H17" s="52"/>
      <c r="I17" s="52"/>
      <c r="J17" s="52"/>
      <c r="K17" s="52"/>
      <c r="L17" s="52"/>
      <c r="M17" s="52"/>
      <c r="N17" s="52"/>
      <c r="O17" s="52"/>
    </row>
    <row r="18" spans="1:15" x14ac:dyDescent="0.2">
      <c r="A18" s="11" t="s">
        <v>607</v>
      </c>
      <c r="C18" s="58">
        <f>SUM(C14:C15)</f>
        <v>0</v>
      </c>
      <c r="D18" s="59">
        <f>SUM(D14:D17)</f>
        <v>2.5239012557077625</v>
      </c>
      <c r="E18" s="59">
        <f>SUM(E14:E17)</f>
        <v>30.129851598173516</v>
      </c>
      <c r="F18" s="59">
        <f t="shared" ref="F18:O18" si="5">SUM(F14:F17)</f>
        <v>30.129851598173516</v>
      </c>
      <c r="G18" s="59">
        <f t="shared" si="5"/>
        <v>30.129851598173516</v>
      </c>
      <c r="H18" s="59">
        <f t="shared" si="5"/>
        <v>38.347691923515981</v>
      </c>
      <c r="I18" s="59">
        <f t="shared" si="5"/>
        <v>38.347691923515981</v>
      </c>
      <c r="J18" s="59">
        <f t="shared" si="5"/>
        <v>38.347691923515981</v>
      </c>
      <c r="K18" s="59">
        <f t="shared" si="5"/>
        <v>38.347691923515981</v>
      </c>
      <c r="L18" s="59">
        <f t="shared" si="5"/>
        <v>38.347691923515981</v>
      </c>
      <c r="M18" s="59">
        <f t="shared" si="5"/>
        <v>38.347691923515981</v>
      </c>
      <c r="N18" s="59">
        <f t="shared" si="5"/>
        <v>38.347691923515981</v>
      </c>
      <c r="O18" s="59">
        <f t="shared" si="5"/>
        <v>38.347691923515981</v>
      </c>
    </row>
    <row r="19" spans="1:15" x14ac:dyDescent="0.2">
      <c r="D19" s="54"/>
      <c r="E19" s="54"/>
      <c r="F19" s="54"/>
      <c r="G19" s="54"/>
      <c r="H19" s="54"/>
      <c r="I19" s="54"/>
      <c r="J19" s="54"/>
      <c r="K19" s="54"/>
      <c r="L19" s="54"/>
      <c r="M19" s="54"/>
      <c r="N19" s="54"/>
      <c r="O19" s="54"/>
    </row>
    <row r="20" spans="1:15" x14ac:dyDescent="0.2">
      <c r="A20" t="s">
        <v>608</v>
      </c>
      <c r="B20" s="16"/>
      <c r="C20" s="55">
        <v>537</v>
      </c>
      <c r="D20" s="55">
        <v>537</v>
      </c>
      <c r="E20" s="55">
        <v>537</v>
      </c>
      <c r="F20" s="55">
        <v>537</v>
      </c>
      <c r="G20" s="55">
        <v>537</v>
      </c>
      <c r="H20" s="55">
        <v>537</v>
      </c>
      <c r="I20" s="55">
        <v>537</v>
      </c>
      <c r="J20" s="55">
        <v>537</v>
      </c>
      <c r="K20" s="55">
        <v>537</v>
      </c>
      <c r="L20" s="55">
        <v>537</v>
      </c>
      <c r="M20" s="55">
        <v>537</v>
      </c>
      <c r="N20" s="55">
        <v>537</v>
      </c>
      <c r="O20" s="55">
        <v>537</v>
      </c>
    </row>
    <row r="22" spans="1:15" s="11" customFormat="1" x14ac:dyDescent="0.2">
      <c r="A22" s="11" t="s">
        <v>609</v>
      </c>
      <c r="C22" s="56">
        <f>C18+C20</f>
        <v>537</v>
      </c>
      <c r="D22" s="56">
        <f t="shared" ref="D22:O22" si="6">D18+D20</f>
        <v>539.52390125570776</v>
      </c>
      <c r="E22" s="56">
        <f t="shared" si="6"/>
        <v>567.12985159817356</v>
      </c>
      <c r="F22" s="56">
        <f t="shared" si="6"/>
        <v>567.12985159817356</v>
      </c>
      <c r="G22" s="56">
        <f t="shared" si="6"/>
        <v>567.12985159817356</v>
      </c>
      <c r="H22" s="56">
        <f t="shared" si="6"/>
        <v>575.34769192351598</v>
      </c>
      <c r="I22" s="56">
        <f t="shared" si="6"/>
        <v>575.34769192351598</v>
      </c>
      <c r="J22" s="56">
        <f t="shared" si="6"/>
        <v>575.34769192351598</v>
      </c>
      <c r="K22" s="56">
        <f t="shared" si="6"/>
        <v>575.34769192351598</v>
      </c>
      <c r="L22" s="56">
        <f t="shared" si="6"/>
        <v>575.34769192351598</v>
      </c>
      <c r="M22" s="56">
        <f t="shared" si="6"/>
        <v>575.34769192351598</v>
      </c>
      <c r="N22" s="56">
        <f t="shared" si="6"/>
        <v>575.34769192351598</v>
      </c>
      <c r="O22" s="56">
        <f t="shared" si="6"/>
        <v>575.34769192351598</v>
      </c>
    </row>
    <row r="24" spans="1:15" s="46" customFormat="1" x14ac:dyDescent="0.2">
      <c r="A24" s="45" t="s">
        <v>445</v>
      </c>
    </row>
    <row r="26" spans="1:15" x14ac:dyDescent="0.2">
      <c r="A26" s="48" t="s">
        <v>610</v>
      </c>
    </row>
    <row r="27" spans="1:15" x14ac:dyDescent="0.2">
      <c r="A27" t="s">
        <v>40</v>
      </c>
      <c r="C27" s="26">
        <v>53271</v>
      </c>
      <c r="D27" s="52">
        <f>C27+D9</f>
        <v>53301.286815068495</v>
      </c>
      <c r="E27" s="52">
        <f t="shared" ref="E27:O27" si="7">D27+E9</f>
        <v>54405.524828767127</v>
      </c>
      <c r="F27" s="52">
        <f t="shared" si="7"/>
        <v>54488.62628424658</v>
      </c>
      <c r="G27" s="52">
        <f t="shared" si="7"/>
        <v>54488.62628424658</v>
      </c>
      <c r="H27" s="52">
        <f t="shared" si="7"/>
        <v>54817.339897260281</v>
      </c>
      <c r="I27" s="52">
        <f t="shared" si="7"/>
        <v>54817.339897260281</v>
      </c>
      <c r="J27" s="52">
        <f t="shared" si="7"/>
        <v>54817.339897260281</v>
      </c>
      <c r="K27" s="52">
        <f t="shared" si="7"/>
        <v>54817.339897260281</v>
      </c>
      <c r="L27" s="52">
        <f t="shared" si="7"/>
        <v>54817.339897260281</v>
      </c>
      <c r="M27" s="52">
        <f t="shared" si="7"/>
        <v>54817.339897260281</v>
      </c>
      <c r="N27" s="52">
        <f t="shared" si="7"/>
        <v>54817.339897260281</v>
      </c>
      <c r="O27" s="52">
        <f t="shared" si="7"/>
        <v>54817.339897260281</v>
      </c>
    </row>
    <row r="28" spans="1:15" x14ac:dyDescent="0.2">
      <c r="A28" t="s">
        <v>611</v>
      </c>
      <c r="C28" s="61">
        <v>-18061</v>
      </c>
      <c r="D28" s="53">
        <f>C28-D22</f>
        <v>-18600.523901255707</v>
      </c>
      <c r="E28" s="53">
        <f t="shared" ref="E28:O28" si="8">D28-E22</f>
        <v>-19167.653752853879</v>
      </c>
      <c r="F28" s="53">
        <f t="shared" si="8"/>
        <v>-19734.783604452052</v>
      </c>
      <c r="G28" s="53">
        <f t="shared" si="8"/>
        <v>-20301.913456050224</v>
      </c>
      <c r="H28" s="53">
        <f t="shared" si="8"/>
        <v>-20877.261147973739</v>
      </c>
      <c r="I28" s="53">
        <f t="shared" si="8"/>
        <v>-21452.608839897253</v>
      </c>
      <c r="J28" s="53">
        <f t="shared" si="8"/>
        <v>-22027.956531820768</v>
      </c>
      <c r="K28" s="53">
        <f t="shared" si="8"/>
        <v>-22603.304223744282</v>
      </c>
      <c r="L28" s="53">
        <f t="shared" si="8"/>
        <v>-23178.651915667797</v>
      </c>
      <c r="M28" s="53">
        <f t="shared" si="8"/>
        <v>-23753.999607591311</v>
      </c>
      <c r="N28" s="53">
        <f t="shared" si="8"/>
        <v>-24329.347299514826</v>
      </c>
      <c r="O28" s="53">
        <f t="shared" si="8"/>
        <v>-24904.69499143834</v>
      </c>
    </row>
    <row r="29" spans="1:15" x14ac:dyDescent="0.2">
      <c r="A29" t="s">
        <v>612</v>
      </c>
      <c r="C29" s="62">
        <f>SUM(C27:C28)</f>
        <v>35210</v>
      </c>
      <c r="D29" s="52">
        <f t="shared" ref="D29:O29" si="9">SUM(D27:D28)</f>
        <v>34700.762913812789</v>
      </c>
      <c r="E29" s="52">
        <f t="shared" si="9"/>
        <v>35237.871075913252</v>
      </c>
      <c r="F29" s="52">
        <f t="shared" si="9"/>
        <v>34753.842679794529</v>
      </c>
      <c r="G29" s="52">
        <f t="shared" si="9"/>
        <v>34186.712828196352</v>
      </c>
      <c r="H29" s="52">
        <f t="shared" si="9"/>
        <v>33940.078749286542</v>
      </c>
      <c r="I29" s="52">
        <f t="shared" si="9"/>
        <v>33364.731057363024</v>
      </c>
      <c r="J29" s="52">
        <f t="shared" si="9"/>
        <v>32789.383365439513</v>
      </c>
      <c r="K29" s="52">
        <f t="shared" si="9"/>
        <v>32214.035673515998</v>
      </c>
      <c r="L29" s="52">
        <f t="shared" si="9"/>
        <v>31638.687981592484</v>
      </c>
      <c r="M29" s="52">
        <f t="shared" si="9"/>
        <v>31063.340289668969</v>
      </c>
      <c r="N29" s="52">
        <f t="shared" si="9"/>
        <v>30487.992597745455</v>
      </c>
      <c r="O29" s="52">
        <f t="shared" si="9"/>
        <v>29912.64490582194</v>
      </c>
    </row>
    <row r="31" spans="1:15" s="46" customFormat="1" x14ac:dyDescent="0.2">
      <c r="A31" s="45" t="s">
        <v>408</v>
      </c>
    </row>
    <row r="32" spans="1:15" x14ac:dyDescent="0.2">
      <c r="A32" s="11"/>
    </row>
    <row r="33" spans="1:15" x14ac:dyDescent="0.2">
      <c r="A33" s="48" t="s">
        <v>613</v>
      </c>
    </row>
    <row r="34" spans="1:15" x14ac:dyDescent="0.2">
      <c r="A34" t="s">
        <v>604</v>
      </c>
      <c r="C34" s="52">
        <f>C22</f>
        <v>537</v>
      </c>
      <c r="D34" s="52">
        <f t="shared" ref="D34:O34" si="10">D22</f>
        <v>539.52390125570776</v>
      </c>
      <c r="E34" s="52">
        <f t="shared" si="10"/>
        <v>567.12985159817356</v>
      </c>
      <c r="F34" s="52">
        <f t="shared" si="10"/>
        <v>567.12985159817356</v>
      </c>
      <c r="G34" s="52">
        <f t="shared" si="10"/>
        <v>567.12985159817356</v>
      </c>
      <c r="H34" s="52">
        <f t="shared" si="10"/>
        <v>575.34769192351598</v>
      </c>
      <c r="I34" s="52">
        <f t="shared" si="10"/>
        <v>575.34769192351598</v>
      </c>
      <c r="J34" s="52">
        <f t="shared" si="10"/>
        <v>575.34769192351598</v>
      </c>
      <c r="K34" s="52">
        <f t="shared" si="10"/>
        <v>575.34769192351598</v>
      </c>
      <c r="L34" s="52">
        <f t="shared" si="10"/>
        <v>575.34769192351598</v>
      </c>
      <c r="M34" s="52">
        <f t="shared" si="10"/>
        <v>575.34769192351598</v>
      </c>
      <c r="N34" s="52">
        <f t="shared" si="10"/>
        <v>575.34769192351598</v>
      </c>
      <c r="O34" s="52">
        <f t="shared" si="10"/>
        <v>575.34769192351598</v>
      </c>
    </row>
    <row r="36" spans="1:15" s="46" customFormat="1" x14ac:dyDescent="0.2">
      <c r="A36" s="45" t="s">
        <v>555</v>
      </c>
    </row>
    <row r="38" spans="1:15" x14ac:dyDescent="0.2">
      <c r="A38" s="48" t="s">
        <v>614</v>
      </c>
    </row>
    <row r="39" spans="1:15" x14ac:dyDescent="0.2">
      <c r="A39" t="s">
        <v>604</v>
      </c>
      <c r="C39" s="52">
        <f>C22</f>
        <v>537</v>
      </c>
      <c r="D39" s="52">
        <f t="shared" ref="D39:O39" si="11">D22</f>
        <v>539.52390125570776</v>
      </c>
      <c r="E39" s="52">
        <f t="shared" si="11"/>
        <v>567.12985159817356</v>
      </c>
      <c r="F39" s="52">
        <f t="shared" si="11"/>
        <v>567.12985159817356</v>
      </c>
      <c r="G39" s="52">
        <f t="shared" si="11"/>
        <v>567.12985159817356</v>
      </c>
      <c r="H39" s="52">
        <f t="shared" si="11"/>
        <v>575.34769192351598</v>
      </c>
      <c r="I39" s="52">
        <f t="shared" si="11"/>
        <v>575.34769192351598</v>
      </c>
      <c r="J39" s="52">
        <f t="shared" si="11"/>
        <v>575.34769192351598</v>
      </c>
      <c r="K39" s="52">
        <f t="shared" si="11"/>
        <v>575.34769192351598</v>
      </c>
      <c r="L39" s="52">
        <f t="shared" si="11"/>
        <v>575.34769192351598</v>
      </c>
      <c r="M39" s="52">
        <f t="shared" si="11"/>
        <v>575.34769192351598</v>
      </c>
      <c r="N39" s="52">
        <f t="shared" si="11"/>
        <v>575.34769192351598</v>
      </c>
      <c r="O39" s="52">
        <f t="shared" si="11"/>
        <v>575.34769192351598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9D496-06C3-49AC-BB6B-74071D842FC1}">
  <dimension ref="B2:L72"/>
  <sheetViews>
    <sheetView zoomScaleNormal="100" workbookViewId="0">
      <selection activeCell="L28" sqref="L28"/>
    </sheetView>
  </sheetViews>
  <sheetFormatPr baseColWidth="10" defaultColWidth="8.83203125" defaultRowHeight="15" x14ac:dyDescent="0.2"/>
  <cols>
    <col min="2" max="2" width="56.33203125" bestFit="1" customWidth="1"/>
    <col min="10" max="10" width="38.6640625" bestFit="1" customWidth="1"/>
    <col min="12" max="12" width="9.33203125" bestFit="1" customWidth="1"/>
  </cols>
  <sheetData>
    <row r="2" spans="2:5" x14ac:dyDescent="0.2">
      <c r="C2" s="116" t="s">
        <v>426</v>
      </c>
      <c r="D2" s="116"/>
      <c r="E2" s="116"/>
    </row>
    <row r="3" spans="2:5" x14ac:dyDescent="0.2">
      <c r="B3" t="s">
        <v>427</v>
      </c>
      <c r="C3" s="7"/>
      <c r="D3" s="7"/>
      <c r="E3" s="7"/>
    </row>
    <row r="4" spans="2:5" x14ac:dyDescent="0.2">
      <c r="B4" s="1" t="s">
        <v>445</v>
      </c>
      <c r="C4" s="8">
        <v>2022</v>
      </c>
      <c r="D4" s="8">
        <v>2023</v>
      </c>
      <c r="E4" s="8">
        <v>2024</v>
      </c>
    </row>
    <row r="5" spans="2:5" x14ac:dyDescent="0.2">
      <c r="B5" s="2"/>
      <c r="C5" s="4"/>
      <c r="D5" s="4"/>
      <c r="E5" s="4"/>
    </row>
    <row r="6" spans="2:5" x14ac:dyDescent="0.2">
      <c r="B6" s="11" t="s">
        <v>40</v>
      </c>
    </row>
    <row r="7" spans="2:5" x14ac:dyDescent="0.2">
      <c r="B7" s="11" t="s">
        <v>492</v>
      </c>
      <c r="C7" s="4"/>
    </row>
    <row r="8" spans="2:5" x14ac:dyDescent="0.2">
      <c r="B8" t="s">
        <v>431</v>
      </c>
      <c r="C8" s="4"/>
      <c r="D8" s="26" t="s">
        <v>44</v>
      </c>
      <c r="E8" s="26" t="s">
        <v>43</v>
      </c>
    </row>
    <row r="9" spans="2:5" x14ac:dyDescent="0.2">
      <c r="B9" t="s">
        <v>432</v>
      </c>
      <c r="C9" s="4"/>
      <c r="D9" s="26" t="s">
        <v>47</v>
      </c>
      <c r="E9" s="26" t="s">
        <v>46</v>
      </c>
    </row>
    <row r="10" spans="2:5" x14ac:dyDescent="0.2">
      <c r="B10" t="s">
        <v>433</v>
      </c>
      <c r="C10" s="4"/>
      <c r="D10" s="26" t="s">
        <v>50</v>
      </c>
      <c r="E10" s="26" t="s">
        <v>49</v>
      </c>
    </row>
    <row r="11" spans="2:5" x14ac:dyDescent="0.2">
      <c r="B11" t="s">
        <v>434</v>
      </c>
      <c r="C11" s="4"/>
      <c r="D11" s="26" t="s">
        <v>53</v>
      </c>
      <c r="E11" s="26" t="s">
        <v>52</v>
      </c>
    </row>
    <row r="12" spans="2:5" x14ac:dyDescent="0.2">
      <c r="B12" t="s">
        <v>54</v>
      </c>
      <c r="C12" s="4"/>
      <c r="D12" s="26" t="s">
        <v>56</v>
      </c>
      <c r="E12" s="26" t="s">
        <v>55</v>
      </c>
    </row>
    <row r="13" spans="2:5" x14ac:dyDescent="0.2">
      <c r="B13" t="s">
        <v>435</v>
      </c>
      <c r="C13" s="4"/>
      <c r="D13" s="26" t="s">
        <v>59</v>
      </c>
      <c r="E13" s="26" t="s">
        <v>58</v>
      </c>
    </row>
    <row r="14" spans="2:5" x14ac:dyDescent="0.2">
      <c r="B14" t="s">
        <v>436</v>
      </c>
      <c r="C14" s="4"/>
      <c r="D14" s="26" t="s">
        <v>62</v>
      </c>
      <c r="E14" s="26" t="s">
        <v>61</v>
      </c>
    </row>
    <row r="15" spans="2:5" x14ac:dyDescent="0.2">
      <c r="C15" s="4"/>
      <c r="D15" s="26"/>
      <c r="E15" s="26"/>
    </row>
    <row r="16" spans="2:5" x14ac:dyDescent="0.2">
      <c r="B16" t="s">
        <v>493</v>
      </c>
      <c r="C16" s="4"/>
      <c r="D16" s="26"/>
      <c r="E16" s="26"/>
    </row>
    <row r="17" spans="2:12" x14ac:dyDescent="0.2">
      <c r="B17" t="s">
        <v>437</v>
      </c>
      <c r="C17" s="4"/>
      <c r="D17" s="26" t="s">
        <v>66</v>
      </c>
      <c r="E17" s="26" t="s">
        <v>65</v>
      </c>
    </row>
    <row r="18" spans="2:12" x14ac:dyDescent="0.2">
      <c r="B18" t="s">
        <v>438</v>
      </c>
      <c r="C18" s="4"/>
      <c r="D18" s="26" t="s">
        <v>69</v>
      </c>
      <c r="E18" s="26" t="s">
        <v>68</v>
      </c>
      <c r="K18">
        <v>2023</v>
      </c>
      <c r="L18">
        <v>2024</v>
      </c>
    </row>
    <row r="19" spans="2:12" x14ac:dyDescent="0.2">
      <c r="B19" t="s">
        <v>439</v>
      </c>
      <c r="C19" s="4"/>
      <c r="D19" s="26" t="s">
        <v>72</v>
      </c>
      <c r="E19" s="26" t="s">
        <v>71</v>
      </c>
    </row>
    <row r="20" spans="2:12" x14ac:dyDescent="0.2">
      <c r="B20" t="s">
        <v>440</v>
      </c>
      <c r="C20" s="4"/>
      <c r="D20" s="26" t="s">
        <v>75</v>
      </c>
      <c r="E20" s="26" t="s">
        <v>74</v>
      </c>
      <c r="J20" t="s">
        <v>442</v>
      </c>
      <c r="K20" s="37">
        <f t="shared" ref="K20:L23" si="0">D24/$D$28</f>
        <v>2.0440924657534245E-2</v>
      </c>
      <c r="L20" s="37">
        <f t="shared" si="0"/>
        <v>2.01912100456621E-2</v>
      </c>
    </row>
    <row r="21" spans="2:12" x14ac:dyDescent="0.2">
      <c r="B21" t="s">
        <v>441</v>
      </c>
      <c r="C21" s="4"/>
      <c r="D21" s="26" t="s">
        <v>78</v>
      </c>
      <c r="E21" s="26" t="s">
        <v>77</v>
      </c>
      <c r="J21" t="s">
        <v>83</v>
      </c>
      <c r="K21" s="37">
        <f t="shared" si="0"/>
        <v>0.2096175799086758</v>
      </c>
      <c r="L21" s="37">
        <f t="shared" si="0"/>
        <v>0.21914240867579909</v>
      </c>
    </row>
    <row r="22" spans="2:12" x14ac:dyDescent="0.2">
      <c r="C22" s="4"/>
      <c r="D22" s="26"/>
      <c r="E22" s="26"/>
      <c r="J22" t="s">
        <v>443</v>
      </c>
      <c r="K22" s="37">
        <f t="shared" si="0"/>
        <v>0.72142551369863017</v>
      </c>
      <c r="L22" s="37">
        <f t="shared" si="0"/>
        <v>0.73615867579908678</v>
      </c>
    </row>
    <row r="23" spans="2:12" x14ac:dyDescent="0.2">
      <c r="B23" t="s">
        <v>494</v>
      </c>
      <c r="C23" s="4"/>
      <c r="D23" s="26"/>
      <c r="E23" s="26"/>
      <c r="J23" t="s">
        <v>444</v>
      </c>
      <c r="K23" s="37">
        <f t="shared" si="0"/>
        <v>4.8515981735159815E-2</v>
      </c>
      <c r="L23" s="37">
        <f t="shared" si="0"/>
        <v>5.5400970319634701E-2</v>
      </c>
    </row>
    <row r="24" spans="2:12" x14ac:dyDescent="0.2">
      <c r="B24" t="s">
        <v>442</v>
      </c>
      <c r="C24" s="4"/>
      <c r="D24" s="26" t="s">
        <v>82</v>
      </c>
      <c r="E24" s="26" t="s">
        <v>81</v>
      </c>
    </row>
    <row r="25" spans="2:12" x14ac:dyDescent="0.2">
      <c r="B25" t="s">
        <v>83</v>
      </c>
      <c r="C25" s="4"/>
      <c r="D25" s="26" t="s">
        <v>85</v>
      </c>
      <c r="E25" s="26" t="s">
        <v>84</v>
      </c>
      <c r="J25" t="s">
        <v>497</v>
      </c>
      <c r="K25" s="26">
        <f>D28-D29</f>
        <v>45556</v>
      </c>
      <c r="L25" s="26">
        <f>E28-E29</f>
        <v>46959</v>
      </c>
    </row>
    <row r="26" spans="2:12" x14ac:dyDescent="0.2">
      <c r="B26" t="s">
        <v>443</v>
      </c>
      <c r="C26" s="4"/>
      <c r="D26" s="26" t="s">
        <v>88</v>
      </c>
      <c r="E26" s="26" t="s">
        <v>87</v>
      </c>
      <c r="K26" s="26"/>
      <c r="L26" s="26"/>
    </row>
    <row r="27" spans="2:12" x14ac:dyDescent="0.2">
      <c r="B27" t="s">
        <v>444</v>
      </c>
      <c r="C27" s="4"/>
      <c r="D27" s="26" t="s">
        <v>91</v>
      </c>
      <c r="E27" s="26" t="s">
        <v>90</v>
      </c>
      <c r="J27" t="s">
        <v>495</v>
      </c>
      <c r="K27" s="26" t="s">
        <v>96</v>
      </c>
      <c r="L27" s="26" t="s">
        <v>95</v>
      </c>
    </row>
    <row r="28" spans="2:12" x14ac:dyDescent="0.2">
      <c r="C28" s="4"/>
      <c r="D28" s="26" t="s">
        <v>93</v>
      </c>
      <c r="E28" s="26" t="s">
        <v>92</v>
      </c>
      <c r="G28" s="26"/>
      <c r="J28" t="s">
        <v>599</v>
      </c>
      <c r="K28" s="26">
        <f>-D29+C29</f>
        <v>682</v>
      </c>
      <c r="L28" s="26">
        <f>-E29+D29</f>
        <v>537</v>
      </c>
    </row>
    <row r="29" spans="2:12" x14ac:dyDescent="0.2">
      <c r="B29" t="s">
        <v>495</v>
      </c>
      <c r="C29" s="25">
        <v>-16842</v>
      </c>
      <c r="D29" s="26" t="s">
        <v>96</v>
      </c>
      <c r="E29" s="26" t="s">
        <v>95</v>
      </c>
    </row>
    <row r="30" spans="2:12" x14ac:dyDescent="0.2">
      <c r="B30" t="s">
        <v>496</v>
      </c>
      <c r="C30" s="4"/>
      <c r="D30" s="26">
        <v>10508</v>
      </c>
      <c r="E30" s="26">
        <v>10837</v>
      </c>
      <c r="J30" s="36"/>
      <c r="K30" s="35"/>
    </row>
    <row r="31" spans="2:12" x14ac:dyDescent="0.2">
      <c r="C31" s="4"/>
      <c r="D31" s="26"/>
      <c r="E31" s="26"/>
      <c r="J31" s="38" t="s">
        <v>566</v>
      </c>
      <c r="K31" s="35"/>
    </row>
    <row r="32" spans="2:12" x14ac:dyDescent="0.2">
      <c r="B32" s="11" t="s">
        <v>497</v>
      </c>
      <c r="C32" s="4"/>
      <c r="D32" s="26" t="s">
        <v>102</v>
      </c>
      <c r="E32" s="26" t="s">
        <v>101</v>
      </c>
      <c r="J32" s="35" t="s">
        <v>600</v>
      </c>
      <c r="K32" s="39">
        <f>-K27/K25</f>
        <v>0.38466941785933795</v>
      </c>
      <c r="L32" s="39">
        <f>-L27/L25</f>
        <v>0.38461210843501781</v>
      </c>
    </row>
    <row r="33" spans="2:12" x14ac:dyDescent="0.2">
      <c r="C33" s="4"/>
      <c r="J33" s="35"/>
      <c r="K33" s="35"/>
    </row>
    <row r="34" spans="2:12" x14ac:dyDescent="0.2">
      <c r="C34" s="4"/>
      <c r="J34" t="s">
        <v>442</v>
      </c>
      <c r="K34">
        <f>-K$27*K20</f>
        <v>358.20676369863008</v>
      </c>
      <c r="L34">
        <f>-L$27*L20</f>
        <v>364.67344463470317</v>
      </c>
    </row>
    <row r="35" spans="2:12" x14ac:dyDescent="0.2">
      <c r="C35" s="4"/>
      <c r="J35" t="s">
        <v>83</v>
      </c>
      <c r="K35">
        <f t="shared" ref="K35:L37" si="1">-K$27*K21</f>
        <v>3673.3384703196348</v>
      </c>
      <c r="L35">
        <f t="shared" si="1"/>
        <v>3957.9310430936075</v>
      </c>
    </row>
    <row r="36" spans="2:12" x14ac:dyDescent="0.2">
      <c r="B36" s="11" t="s">
        <v>498</v>
      </c>
      <c r="C36" s="4"/>
      <c r="J36" t="s">
        <v>443</v>
      </c>
      <c r="K36">
        <f t="shared" si="1"/>
        <v>12642.260702054795</v>
      </c>
      <c r="L36">
        <f t="shared" si="1"/>
        <v>13295.761843607306</v>
      </c>
    </row>
    <row r="37" spans="2:12" x14ac:dyDescent="0.2">
      <c r="B37" s="11" t="s">
        <v>499</v>
      </c>
      <c r="C37" s="4"/>
      <c r="J37" t="s">
        <v>444</v>
      </c>
      <c r="K37">
        <f t="shared" si="1"/>
        <v>850.19406392694054</v>
      </c>
      <c r="L37">
        <f t="shared" si="1"/>
        <v>1000.5969249429223</v>
      </c>
    </row>
    <row r="38" spans="2:12" x14ac:dyDescent="0.2">
      <c r="B38" t="s">
        <v>500</v>
      </c>
      <c r="C38" s="4"/>
      <c r="D38" t="s">
        <v>107</v>
      </c>
      <c r="E38" t="s">
        <v>106</v>
      </c>
      <c r="J38" s="35"/>
      <c r="K38">
        <f>SUM(K34:K37)</f>
        <v>17524</v>
      </c>
      <c r="L38">
        <f>SUM(L34:L37)</f>
        <v>18618.963256278537</v>
      </c>
    </row>
    <row r="39" spans="2:12" x14ac:dyDescent="0.2">
      <c r="B39" t="s">
        <v>459</v>
      </c>
      <c r="C39" s="4"/>
      <c r="D39" t="s">
        <v>110</v>
      </c>
      <c r="E39" t="s">
        <v>109</v>
      </c>
    </row>
    <row r="40" spans="2:12" x14ac:dyDescent="0.2">
      <c r="B40" t="s">
        <v>460</v>
      </c>
      <c r="C40" s="4"/>
      <c r="D40" t="s">
        <v>113</v>
      </c>
      <c r="E40" t="s">
        <v>112</v>
      </c>
    </row>
    <row r="41" spans="2:12" x14ac:dyDescent="0.2">
      <c r="B41" t="s">
        <v>501</v>
      </c>
      <c r="C41" s="4"/>
      <c r="D41" t="s">
        <v>116</v>
      </c>
      <c r="E41" t="s">
        <v>115</v>
      </c>
    </row>
    <row r="42" spans="2:12" x14ac:dyDescent="0.2">
      <c r="B42" t="s">
        <v>461</v>
      </c>
      <c r="C42" s="4"/>
      <c r="D42" t="s">
        <v>119</v>
      </c>
      <c r="E42" t="s">
        <v>118</v>
      </c>
    </row>
    <row r="43" spans="2:12" x14ac:dyDescent="0.2">
      <c r="B43" t="s">
        <v>502</v>
      </c>
      <c r="C43" s="4"/>
      <c r="D43" t="s">
        <v>122</v>
      </c>
      <c r="E43" t="s">
        <v>121</v>
      </c>
    </row>
    <row r="44" spans="2:12" x14ac:dyDescent="0.2">
      <c r="B44" t="s">
        <v>503</v>
      </c>
      <c r="C44" s="4"/>
      <c r="D44" t="s">
        <v>125</v>
      </c>
      <c r="E44" t="s">
        <v>124</v>
      </c>
    </row>
    <row r="45" spans="2:12" x14ac:dyDescent="0.2">
      <c r="C45" s="4"/>
    </row>
    <row r="46" spans="2:12" x14ac:dyDescent="0.2">
      <c r="B46" s="11" t="s">
        <v>504</v>
      </c>
      <c r="C46" s="4"/>
    </row>
    <row r="47" spans="2:12" x14ac:dyDescent="0.2">
      <c r="B47" t="s">
        <v>505</v>
      </c>
      <c r="C47" s="4"/>
      <c r="D47" t="s">
        <v>129</v>
      </c>
      <c r="E47" t="s">
        <v>128</v>
      </c>
    </row>
    <row r="48" spans="2:12" x14ac:dyDescent="0.2">
      <c r="B48" t="s">
        <v>450</v>
      </c>
      <c r="C48" s="4"/>
      <c r="D48" t="s">
        <v>132</v>
      </c>
      <c r="E48" t="s">
        <v>131</v>
      </c>
    </row>
    <row r="49" spans="2:5" x14ac:dyDescent="0.2">
      <c r="B49" t="s">
        <v>506</v>
      </c>
      <c r="C49" s="4"/>
      <c r="D49" t="s">
        <v>135</v>
      </c>
      <c r="E49" t="s">
        <v>134</v>
      </c>
    </row>
    <row r="50" spans="2:5" x14ac:dyDescent="0.2">
      <c r="B50" t="s">
        <v>136</v>
      </c>
      <c r="C50" s="4"/>
      <c r="D50" t="s">
        <v>138</v>
      </c>
      <c r="E50" t="s">
        <v>137</v>
      </c>
    </row>
    <row r="51" spans="2:5" x14ac:dyDescent="0.2">
      <c r="B51" t="s">
        <v>507</v>
      </c>
      <c r="C51" s="4"/>
      <c r="D51" t="s">
        <v>141</v>
      </c>
      <c r="E51" t="s">
        <v>140</v>
      </c>
    </row>
    <row r="52" spans="2:5" x14ac:dyDescent="0.2">
      <c r="C52" s="4"/>
    </row>
    <row r="53" spans="2:5" x14ac:dyDescent="0.2">
      <c r="B53" s="2" t="s">
        <v>508</v>
      </c>
      <c r="C53" s="4"/>
    </row>
    <row r="54" spans="2:5" x14ac:dyDescent="0.2">
      <c r="B54" s="2" t="s">
        <v>509</v>
      </c>
      <c r="C54" s="4"/>
      <c r="D54" t="s">
        <v>145</v>
      </c>
      <c r="E54" t="s">
        <v>144</v>
      </c>
    </row>
    <row r="55" spans="2:5" x14ac:dyDescent="0.2">
      <c r="B55" s="2"/>
      <c r="C55" s="4"/>
    </row>
    <row r="56" spans="2:5" x14ac:dyDescent="0.2">
      <c r="B56" s="1" t="s">
        <v>510</v>
      </c>
      <c r="C56" s="4"/>
    </row>
    <row r="57" spans="2:5" x14ac:dyDescent="0.2">
      <c r="B57" s="2" t="s">
        <v>511</v>
      </c>
      <c r="C57" s="4"/>
      <c r="D57" t="s">
        <v>149</v>
      </c>
      <c r="E57" t="s">
        <v>148</v>
      </c>
    </row>
    <row r="58" spans="2:5" x14ac:dyDescent="0.2">
      <c r="B58" s="2" t="s">
        <v>512</v>
      </c>
      <c r="C58" s="4"/>
      <c r="D58" t="s">
        <v>152</v>
      </c>
      <c r="E58" t="s">
        <v>151</v>
      </c>
    </row>
    <row r="59" spans="2:5" x14ac:dyDescent="0.2">
      <c r="B59" s="2" t="s">
        <v>513</v>
      </c>
      <c r="C59" s="4"/>
      <c r="D59" t="s">
        <v>155</v>
      </c>
      <c r="E59" t="s">
        <v>154</v>
      </c>
    </row>
    <row r="60" spans="2:5" x14ac:dyDescent="0.2">
      <c r="B60" s="2" t="s">
        <v>514</v>
      </c>
      <c r="C60" s="4"/>
      <c r="D60" t="s">
        <v>158</v>
      </c>
      <c r="E60" t="s">
        <v>157</v>
      </c>
    </row>
    <row r="61" spans="2:5" x14ac:dyDescent="0.2">
      <c r="B61" s="2" t="s">
        <v>515</v>
      </c>
      <c r="C61" s="4"/>
      <c r="D61" t="s">
        <v>161</v>
      </c>
      <c r="E61" t="s">
        <v>160</v>
      </c>
    </row>
    <row r="62" spans="2:5" x14ac:dyDescent="0.2">
      <c r="B62" s="2"/>
      <c r="C62" s="4"/>
    </row>
    <row r="63" spans="2:5" x14ac:dyDescent="0.2">
      <c r="B63" s="1" t="s">
        <v>516</v>
      </c>
      <c r="C63" s="4"/>
      <c r="D63" t="s">
        <v>102</v>
      </c>
      <c r="E63" t="s">
        <v>101</v>
      </c>
    </row>
    <row r="64" spans="2:5" x14ac:dyDescent="0.2">
      <c r="B64" s="2"/>
      <c r="C64" s="4"/>
      <c r="D64" s="4"/>
    </row>
    <row r="65" spans="2:4" x14ac:dyDescent="0.2">
      <c r="B65" s="2"/>
      <c r="C65" s="4"/>
      <c r="D65" s="4"/>
    </row>
    <row r="66" spans="2:4" x14ac:dyDescent="0.2">
      <c r="B66" s="2"/>
      <c r="C66" s="4"/>
      <c r="D66" s="4"/>
    </row>
    <row r="67" spans="2:4" x14ac:dyDescent="0.2">
      <c r="B67" s="2"/>
      <c r="C67" s="4"/>
      <c r="D67" s="4">
        <f>D44+D51+D61</f>
        <v>54311</v>
      </c>
    </row>
    <row r="68" spans="2:4" x14ac:dyDescent="0.2">
      <c r="B68" s="2"/>
      <c r="C68" s="4"/>
      <c r="D68" s="4">
        <f>D67+D54</f>
        <v>54631</v>
      </c>
    </row>
    <row r="69" spans="2:4" x14ac:dyDescent="0.2">
      <c r="B69" s="2"/>
      <c r="C69" s="4"/>
      <c r="D69" s="4"/>
    </row>
    <row r="70" spans="2:4" x14ac:dyDescent="0.2">
      <c r="B70" s="2"/>
      <c r="C70" s="4"/>
      <c r="D70" s="4"/>
    </row>
    <row r="71" spans="2:4" x14ac:dyDescent="0.2">
      <c r="B71" s="2"/>
      <c r="C71" s="4"/>
      <c r="D71" s="4"/>
    </row>
    <row r="72" spans="2:4" x14ac:dyDescent="0.2">
      <c r="B72" s="2"/>
      <c r="C72" s="4"/>
      <c r="D72" s="4"/>
    </row>
  </sheetData>
  <mergeCells count="1">
    <mergeCell ref="C2:E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DDBF-B82C-4368-8948-205C9A895803}">
  <dimension ref="B2:G25"/>
  <sheetViews>
    <sheetView workbookViewId="0">
      <selection activeCell="B5" sqref="B5:E25"/>
    </sheetView>
  </sheetViews>
  <sheetFormatPr baseColWidth="10" defaultColWidth="8.83203125" defaultRowHeight="15" x14ac:dyDescent="0.2"/>
  <cols>
    <col min="2" max="2" width="53.5" bestFit="1" customWidth="1"/>
    <col min="3" max="5" width="11.5" style="3" bestFit="1" customWidth="1"/>
  </cols>
  <sheetData>
    <row r="2" spans="2:7" x14ac:dyDescent="0.2">
      <c r="C2" s="116" t="s">
        <v>426</v>
      </c>
      <c r="D2" s="116"/>
      <c r="E2" s="116"/>
    </row>
    <row r="3" spans="2:7" x14ac:dyDescent="0.2">
      <c r="B3" t="s">
        <v>427</v>
      </c>
      <c r="C3" s="7"/>
      <c r="D3" s="7"/>
      <c r="E3" s="7"/>
    </row>
    <row r="4" spans="2:7" x14ac:dyDescent="0.2">
      <c r="B4" s="1" t="s">
        <v>408</v>
      </c>
      <c r="C4" s="8">
        <v>2022</v>
      </c>
      <c r="D4" s="8">
        <v>2023</v>
      </c>
      <c r="E4" s="8">
        <v>2024</v>
      </c>
    </row>
    <row r="5" spans="2:7" x14ac:dyDescent="0.2">
      <c r="B5" s="2"/>
      <c r="C5" s="4"/>
      <c r="D5" s="4"/>
      <c r="E5" s="4"/>
    </row>
    <row r="6" spans="2:7" x14ac:dyDescent="0.2">
      <c r="B6" s="2" t="s">
        <v>4</v>
      </c>
      <c r="C6" s="4">
        <v>101556</v>
      </c>
      <c r="D6" s="4" t="s">
        <v>5</v>
      </c>
      <c r="E6" s="4">
        <v>85530</v>
      </c>
    </row>
    <row r="7" spans="2:7" x14ac:dyDescent="0.2">
      <c r="B7" s="2" t="s">
        <v>410</v>
      </c>
      <c r="C7" s="4">
        <v>93986</v>
      </c>
      <c r="D7" s="4" t="s">
        <v>7</v>
      </c>
      <c r="E7" s="4">
        <v>79752</v>
      </c>
    </row>
    <row r="8" spans="2:7" x14ac:dyDescent="0.2">
      <c r="B8" s="2" t="s">
        <v>411</v>
      </c>
      <c r="C8" s="4">
        <v>7570</v>
      </c>
      <c r="D8" s="4" t="s">
        <v>9</v>
      </c>
      <c r="E8" s="4">
        <v>5778</v>
      </c>
    </row>
    <row r="9" spans="2:7" x14ac:dyDescent="0.2">
      <c r="B9" s="2" t="s">
        <v>412</v>
      </c>
      <c r="C9" s="4">
        <v>3358</v>
      </c>
      <c r="D9" s="4">
        <v>3456</v>
      </c>
      <c r="E9" s="4">
        <v>3706</v>
      </c>
    </row>
    <row r="10" spans="2:7" x14ac:dyDescent="0.2">
      <c r="B10" s="2" t="s">
        <v>413</v>
      </c>
      <c r="C10" s="4">
        <v>66</v>
      </c>
      <c r="D10" s="4" t="s">
        <v>13</v>
      </c>
      <c r="E10" s="4">
        <v>545</v>
      </c>
      <c r="G10">
        <f>C6-C7</f>
        <v>7570</v>
      </c>
    </row>
    <row r="11" spans="2:7" x14ac:dyDescent="0.2">
      <c r="B11" s="2" t="s">
        <v>548</v>
      </c>
      <c r="C11" s="4">
        <f>SUM(C9:C10)</f>
        <v>3424</v>
      </c>
      <c r="D11" s="4">
        <f t="shared" ref="D11:E11" si="0">SUM(D9:D10)</f>
        <v>3456</v>
      </c>
      <c r="E11" s="4">
        <f t="shared" si="0"/>
        <v>4251</v>
      </c>
      <c r="G11">
        <f>G10-C9</f>
        <v>4212</v>
      </c>
    </row>
    <row r="12" spans="2:7" x14ac:dyDescent="0.2">
      <c r="B12" s="2" t="s">
        <v>414</v>
      </c>
      <c r="C12" s="4">
        <v>-832</v>
      </c>
      <c r="D12" s="4" t="s">
        <v>15</v>
      </c>
      <c r="E12" s="4">
        <v>-621</v>
      </c>
      <c r="G12">
        <f>G11-C10</f>
        <v>4146</v>
      </c>
    </row>
    <row r="13" spans="2:7" x14ac:dyDescent="0.2">
      <c r="B13" s="2" t="s">
        <v>415</v>
      </c>
      <c r="C13" s="4">
        <v>-293</v>
      </c>
      <c r="D13" s="4" t="s">
        <v>17</v>
      </c>
      <c r="E13" s="4">
        <v>-562</v>
      </c>
      <c r="G13">
        <f>G12-C11</f>
        <v>722</v>
      </c>
    </row>
    <row r="14" spans="2:7" x14ac:dyDescent="0.2">
      <c r="B14" t="s">
        <v>416</v>
      </c>
      <c r="C14" s="4">
        <v>396</v>
      </c>
      <c r="D14" s="4">
        <v>647</v>
      </c>
      <c r="E14" s="4">
        <v>706</v>
      </c>
    </row>
    <row r="15" spans="2:7" x14ac:dyDescent="0.2">
      <c r="B15" t="s">
        <v>417</v>
      </c>
      <c r="C15" s="4">
        <v>-358</v>
      </c>
      <c r="D15" s="4">
        <v>-176</v>
      </c>
      <c r="E15" s="4">
        <v>-251</v>
      </c>
    </row>
    <row r="16" spans="2:7" x14ac:dyDescent="0.2">
      <c r="B16" s="5" t="s">
        <v>429</v>
      </c>
      <c r="C16" s="4">
        <v>5233</v>
      </c>
      <c r="D16" s="4" t="s">
        <v>23</v>
      </c>
      <c r="E16" s="4">
        <v>2255</v>
      </c>
    </row>
    <row r="17" spans="2:5" x14ac:dyDescent="0.2">
      <c r="B17" t="s">
        <v>418</v>
      </c>
      <c r="C17" s="4">
        <v>868</v>
      </c>
      <c r="D17" s="4" t="s">
        <v>25</v>
      </c>
      <c r="E17" s="4">
        <v>476</v>
      </c>
    </row>
    <row r="18" spans="2:5" x14ac:dyDescent="0.2">
      <c r="B18" s="5" t="s">
        <v>419</v>
      </c>
      <c r="C18" s="4">
        <v>4365</v>
      </c>
      <c r="D18" s="4" t="s">
        <v>27</v>
      </c>
      <c r="E18" s="4">
        <v>1779</v>
      </c>
    </row>
    <row r="19" spans="2:5" x14ac:dyDescent="0.2">
      <c r="B19" t="s">
        <v>420</v>
      </c>
      <c r="C19" s="4">
        <v>25</v>
      </c>
      <c r="D19" s="4" t="s">
        <v>29</v>
      </c>
      <c r="E19" s="4">
        <v>-21</v>
      </c>
    </row>
    <row r="20" spans="2:5" x14ac:dyDescent="0.2">
      <c r="B20" s="5" t="s">
        <v>421</v>
      </c>
      <c r="C20" s="4">
        <v>4340</v>
      </c>
      <c r="D20" s="4" t="s">
        <v>31</v>
      </c>
      <c r="E20" s="4">
        <v>1800</v>
      </c>
    </row>
    <row r="21" spans="2:5" ht="19.5" customHeight="1" x14ac:dyDescent="0.2">
      <c r="B21" s="6"/>
      <c r="C21" s="4"/>
      <c r="D21" s="4"/>
      <c r="E21" s="4"/>
    </row>
    <row r="22" spans="2:5" x14ac:dyDescent="0.2">
      <c r="B22" t="s">
        <v>422</v>
      </c>
      <c r="C22" s="4">
        <v>562</v>
      </c>
      <c r="D22" s="4" t="s">
        <v>33</v>
      </c>
      <c r="E22" s="4">
        <v>492</v>
      </c>
    </row>
    <row r="23" spans="2:5" x14ac:dyDescent="0.2">
      <c r="B23" t="s">
        <v>423</v>
      </c>
      <c r="C23" s="4">
        <v>563</v>
      </c>
      <c r="D23" s="4" t="s">
        <v>35</v>
      </c>
      <c r="E23" s="4">
        <v>493</v>
      </c>
    </row>
    <row r="24" spans="2:5" x14ac:dyDescent="0.2">
      <c r="B24" t="s">
        <v>424</v>
      </c>
      <c r="C24" s="4">
        <v>7.72</v>
      </c>
      <c r="D24" s="4" t="s">
        <v>37</v>
      </c>
      <c r="E24" s="4">
        <v>3.66</v>
      </c>
    </row>
    <row r="25" spans="2:5" x14ac:dyDescent="0.2">
      <c r="B25" t="s">
        <v>425</v>
      </c>
      <c r="C25" s="4">
        <v>7.71</v>
      </c>
      <c r="D25" s="4" t="s">
        <v>39</v>
      </c>
      <c r="E25" s="4">
        <v>3.65</v>
      </c>
    </row>
  </sheetData>
  <mergeCells count="1">
    <mergeCell ref="C2:E2"/>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5A924-A25E-48B2-972C-84247C4A0993}">
  <dimension ref="A1:G21"/>
  <sheetViews>
    <sheetView zoomScale="86" zoomScaleNormal="145" workbookViewId="0">
      <selection activeCell="C20" sqref="C20"/>
    </sheetView>
  </sheetViews>
  <sheetFormatPr baseColWidth="10" defaultColWidth="8.83203125" defaultRowHeight="15" x14ac:dyDescent="0.2"/>
  <cols>
    <col min="1" max="1" width="35.6640625" bestFit="1" customWidth="1"/>
    <col min="2" max="3" width="11.1640625" bestFit="1" customWidth="1"/>
    <col min="5" max="5" width="36.1640625" bestFit="1" customWidth="1"/>
  </cols>
  <sheetData>
    <row r="1" spans="1:7" x14ac:dyDescent="0.2">
      <c r="A1" t="s">
        <v>314</v>
      </c>
      <c r="B1" t="s">
        <v>315</v>
      </c>
      <c r="C1" t="s">
        <v>1</v>
      </c>
    </row>
    <row r="2" spans="1:7" x14ac:dyDescent="0.2">
      <c r="A2" t="s">
        <v>42</v>
      </c>
      <c r="B2">
        <v>1368</v>
      </c>
      <c r="C2">
        <v>1037</v>
      </c>
      <c r="E2" s="27" t="s">
        <v>431</v>
      </c>
      <c r="G2" s="41">
        <v>1037</v>
      </c>
    </row>
    <row r="3" spans="1:7" x14ac:dyDescent="0.2">
      <c r="A3" t="s">
        <v>48</v>
      </c>
      <c r="B3">
        <v>7228</v>
      </c>
      <c r="C3">
        <v>9010</v>
      </c>
      <c r="E3" s="27" t="s">
        <v>433</v>
      </c>
      <c r="G3" s="40">
        <v>9010</v>
      </c>
    </row>
    <row r="4" spans="1:7" x14ac:dyDescent="0.2">
      <c r="A4" t="s">
        <v>51</v>
      </c>
      <c r="B4">
        <v>4232</v>
      </c>
      <c r="C4">
        <v>4926</v>
      </c>
      <c r="E4" s="27" t="s">
        <v>434</v>
      </c>
      <c r="G4" s="41">
        <v>4926</v>
      </c>
    </row>
    <row r="5" spans="1:7" x14ac:dyDescent="0.2">
      <c r="A5" t="s">
        <v>54</v>
      </c>
      <c r="B5">
        <v>11957</v>
      </c>
      <c r="C5">
        <v>14771</v>
      </c>
      <c r="E5" s="27" t="s">
        <v>54</v>
      </c>
      <c r="G5" s="40">
        <v>14771</v>
      </c>
    </row>
    <row r="6" spans="1:7" x14ac:dyDescent="0.2">
      <c r="A6" t="s">
        <v>57</v>
      </c>
      <c r="B6">
        <v>4982</v>
      </c>
      <c r="C6">
        <v>5666</v>
      </c>
      <c r="E6" s="27" t="s">
        <v>435</v>
      </c>
      <c r="G6" s="41">
        <v>5666</v>
      </c>
    </row>
    <row r="7" spans="1:7" x14ac:dyDescent="0.2">
      <c r="A7" t="s">
        <v>60</v>
      </c>
      <c r="B7">
        <v>29767</v>
      </c>
      <c r="C7">
        <v>35410</v>
      </c>
      <c r="E7" s="27"/>
      <c r="G7" s="40"/>
    </row>
    <row r="8" spans="1:7" x14ac:dyDescent="0.2">
      <c r="A8" t="s">
        <v>63</v>
      </c>
      <c r="E8" s="27"/>
    </row>
    <row r="9" spans="1:7" x14ac:dyDescent="0.2">
      <c r="A9" t="s">
        <v>64</v>
      </c>
      <c r="B9">
        <v>5500</v>
      </c>
      <c r="C9">
        <v>5467</v>
      </c>
      <c r="E9" s="27" t="s">
        <v>437</v>
      </c>
      <c r="G9" s="40">
        <v>5467</v>
      </c>
    </row>
    <row r="10" spans="1:7" x14ac:dyDescent="0.2">
      <c r="A10" t="s">
        <v>67</v>
      </c>
      <c r="B10">
        <v>6341</v>
      </c>
      <c r="C10">
        <v>6544</v>
      </c>
      <c r="E10" s="27" t="s">
        <v>438</v>
      </c>
      <c r="G10" s="41">
        <v>6544</v>
      </c>
    </row>
    <row r="11" spans="1:7" x14ac:dyDescent="0.2">
      <c r="A11" t="s">
        <v>70</v>
      </c>
      <c r="B11">
        <v>1211</v>
      </c>
      <c r="C11">
        <v>1088</v>
      </c>
      <c r="E11" s="27" t="s">
        <v>439</v>
      </c>
      <c r="G11" s="40">
        <v>1088</v>
      </c>
    </row>
    <row r="12" spans="1:7" x14ac:dyDescent="0.2">
      <c r="A12" t="s">
        <v>73</v>
      </c>
      <c r="B12">
        <v>1304</v>
      </c>
      <c r="C12">
        <v>1332</v>
      </c>
      <c r="E12" s="27" t="s">
        <v>550</v>
      </c>
      <c r="G12" s="41">
        <v>1332</v>
      </c>
    </row>
    <row r="13" spans="1:7" x14ac:dyDescent="0.2">
      <c r="A13" t="s">
        <v>76</v>
      </c>
      <c r="B13">
        <v>14356</v>
      </c>
      <c r="C13">
        <v>14431</v>
      </c>
    </row>
    <row r="14" spans="1:7" x14ac:dyDescent="0.2">
      <c r="A14" t="s">
        <v>620</v>
      </c>
    </row>
    <row r="15" spans="1:7" x14ac:dyDescent="0.2">
      <c r="A15" t="s">
        <v>80</v>
      </c>
      <c r="B15">
        <v>573</v>
      </c>
      <c r="C15">
        <v>502</v>
      </c>
    </row>
    <row r="16" spans="1:7" x14ac:dyDescent="0.2">
      <c r="A16" t="s">
        <v>83</v>
      </c>
      <c r="B16">
        <v>5876</v>
      </c>
      <c r="C16">
        <v>5639</v>
      </c>
      <c r="E16" s="27" t="s">
        <v>432</v>
      </c>
    </row>
    <row r="17" spans="1:5" x14ac:dyDescent="0.2">
      <c r="A17" t="s">
        <v>86</v>
      </c>
      <c r="B17">
        <v>20223</v>
      </c>
      <c r="C17">
        <v>19194</v>
      </c>
      <c r="E17" t="s">
        <v>621</v>
      </c>
    </row>
    <row r="18" spans="1:5" x14ac:dyDescent="0.2">
      <c r="A18" t="s">
        <v>89</v>
      </c>
      <c r="B18">
        <v>1360</v>
      </c>
      <c r="C18">
        <v>1440</v>
      </c>
    </row>
    <row r="19" spans="1:5" x14ac:dyDescent="0.2">
      <c r="B19">
        <v>28032</v>
      </c>
      <c r="C19">
        <v>26775</v>
      </c>
    </row>
    <row r="20" spans="1:5" x14ac:dyDescent="0.2">
      <c r="A20" t="s">
        <v>94</v>
      </c>
      <c r="B20">
        <v>-17524</v>
      </c>
      <c r="C20">
        <v>-16842</v>
      </c>
    </row>
    <row r="21" spans="1:5" x14ac:dyDescent="0.2">
      <c r="B21" cm="1">
        <f t="array" ref="B21">SUM(-B19:B20)</f>
        <v>-10508</v>
      </c>
      <c r="C21">
        <f>SUM(C19:C20)</f>
        <v>9933</v>
      </c>
    </row>
  </sheetData>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1C98C-F1EB-40C3-BD6D-9E5613573C33}">
  <dimension ref="B2:G58"/>
  <sheetViews>
    <sheetView topLeftCell="A13" zoomScaleNormal="100" workbookViewId="0">
      <selection activeCell="D54" sqref="D54"/>
    </sheetView>
  </sheetViews>
  <sheetFormatPr baseColWidth="10" defaultColWidth="8.83203125" defaultRowHeight="15" x14ac:dyDescent="0.2"/>
  <cols>
    <col min="2" max="2" width="122.5" bestFit="1" customWidth="1"/>
  </cols>
  <sheetData>
    <row r="2" spans="2:5" x14ac:dyDescent="0.2">
      <c r="B2" s="12"/>
      <c r="C2" s="118" t="s">
        <v>426</v>
      </c>
      <c r="D2" s="118"/>
      <c r="E2" s="118"/>
    </row>
    <row r="3" spans="2:5" x14ac:dyDescent="0.2">
      <c r="B3" s="12" t="s">
        <v>427</v>
      </c>
      <c r="C3" s="13"/>
      <c r="D3" s="13"/>
      <c r="E3" s="13"/>
    </row>
    <row r="4" spans="2:5" x14ac:dyDescent="0.2">
      <c r="B4" s="14" t="s">
        <v>408</v>
      </c>
      <c r="C4" s="15">
        <v>2022</v>
      </c>
      <c r="D4" s="15">
        <v>2023</v>
      </c>
      <c r="E4" s="15">
        <v>2024</v>
      </c>
    </row>
    <row r="5" spans="2:5" x14ac:dyDescent="0.2">
      <c r="B5" s="14" t="s">
        <v>489</v>
      </c>
      <c r="C5" s="15"/>
      <c r="D5" s="15"/>
      <c r="E5" s="15"/>
    </row>
    <row r="6" spans="2:5" x14ac:dyDescent="0.2">
      <c r="B6" s="12" t="s">
        <v>446</v>
      </c>
      <c r="C6" s="28">
        <v>4365</v>
      </c>
      <c r="D6" s="28">
        <v>3466</v>
      </c>
      <c r="E6" s="28">
        <v>1779</v>
      </c>
    </row>
    <row r="7" spans="2:5" x14ac:dyDescent="0.2">
      <c r="B7" s="12"/>
      <c r="C7" s="28"/>
      <c r="D7" s="28"/>
      <c r="E7" s="28"/>
    </row>
    <row r="8" spans="2:5" x14ac:dyDescent="0.2">
      <c r="B8" s="12" t="s">
        <v>447</v>
      </c>
      <c r="C8" s="12"/>
      <c r="D8" s="12"/>
      <c r="E8" s="12"/>
    </row>
    <row r="9" spans="2:5" x14ac:dyDescent="0.2">
      <c r="B9" s="12" t="s">
        <v>448</v>
      </c>
      <c r="C9" s="28">
        <v>1028</v>
      </c>
      <c r="D9" s="28">
        <v>1059</v>
      </c>
      <c r="E9" s="28">
        <v>1141</v>
      </c>
    </row>
    <row r="10" spans="2:5" x14ac:dyDescent="0.2">
      <c r="B10" s="12" t="s">
        <v>449</v>
      </c>
      <c r="C10" s="12">
        <v>37</v>
      </c>
      <c r="D10" s="12">
        <v>309</v>
      </c>
      <c r="E10" s="12">
        <v>519</v>
      </c>
    </row>
    <row r="11" spans="2:5" x14ac:dyDescent="0.2">
      <c r="B11" s="12" t="s">
        <v>450</v>
      </c>
      <c r="C11" s="12">
        <v>-89</v>
      </c>
      <c r="D11" s="12">
        <v>-23</v>
      </c>
      <c r="E11" s="12">
        <v>-130</v>
      </c>
    </row>
    <row r="12" spans="2:5" x14ac:dyDescent="0.2">
      <c r="B12" s="12" t="s">
        <v>451</v>
      </c>
      <c r="C12" s="12">
        <v>-457</v>
      </c>
      <c r="D12" s="12">
        <v>-143</v>
      </c>
      <c r="E12" s="12">
        <v>-180</v>
      </c>
    </row>
    <row r="13" spans="2:5" x14ac:dyDescent="0.2">
      <c r="B13" s="12" t="s">
        <v>452</v>
      </c>
      <c r="C13" s="12">
        <v>147</v>
      </c>
      <c r="D13" s="12">
        <v>112</v>
      </c>
      <c r="E13" s="12">
        <v>74</v>
      </c>
    </row>
    <row r="14" spans="2:5" x14ac:dyDescent="0.2">
      <c r="B14" s="12" t="s">
        <v>453</v>
      </c>
      <c r="C14" s="12">
        <v>-84</v>
      </c>
      <c r="D14" s="12">
        <v>15</v>
      </c>
      <c r="E14" s="12">
        <v>-40</v>
      </c>
    </row>
    <row r="15" spans="2:5" x14ac:dyDescent="0.2">
      <c r="B15" s="12" t="s">
        <v>454</v>
      </c>
      <c r="C15" s="12">
        <v>-115</v>
      </c>
      <c r="D15" s="12">
        <v>38</v>
      </c>
      <c r="E15" s="12">
        <v>-12</v>
      </c>
    </row>
    <row r="16" spans="2:5" x14ac:dyDescent="0.2">
      <c r="B16" s="12" t="s">
        <v>455</v>
      </c>
      <c r="C16" s="12">
        <v>178</v>
      </c>
      <c r="D16" s="12">
        <v>-106</v>
      </c>
      <c r="E16" s="12">
        <v>131</v>
      </c>
    </row>
    <row r="17" spans="2:7" x14ac:dyDescent="0.2">
      <c r="B17" s="12"/>
      <c r="C17" s="28"/>
      <c r="D17" s="12"/>
      <c r="E17" s="12"/>
    </row>
    <row r="18" spans="2:7" x14ac:dyDescent="0.2">
      <c r="B18" s="12" t="s">
        <v>456</v>
      </c>
      <c r="C18" s="12"/>
      <c r="D18" s="12"/>
      <c r="E18" s="12"/>
    </row>
    <row r="19" spans="2:7" x14ac:dyDescent="0.2">
      <c r="B19" s="12" t="s">
        <v>457</v>
      </c>
      <c r="C19" s="28">
        <v>-1512</v>
      </c>
      <c r="D19" s="12">
        <v>-194</v>
      </c>
      <c r="E19" s="12">
        <v>-693</v>
      </c>
    </row>
    <row r="20" spans="2:7" x14ac:dyDescent="0.2">
      <c r="B20" s="12" t="s">
        <v>458</v>
      </c>
      <c r="C20" s="28">
        <v>-1682</v>
      </c>
      <c r="D20" s="12">
        <v>737</v>
      </c>
      <c r="E20" s="12">
        <v>447</v>
      </c>
    </row>
    <row r="21" spans="2:7" x14ac:dyDescent="0.2">
      <c r="B21" s="12" t="s">
        <v>54</v>
      </c>
      <c r="C21" s="12">
        <v>-295</v>
      </c>
      <c r="D21" s="28">
        <v>2889</v>
      </c>
      <c r="E21" s="12">
        <v>162</v>
      </c>
    </row>
    <row r="22" spans="2:7" x14ac:dyDescent="0.2">
      <c r="B22" s="12" t="s">
        <v>435</v>
      </c>
      <c r="C22" s="12">
        <v>-279</v>
      </c>
      <c r="D22" s="12">
        <v>694</v>
      </c>
      <c r="E22" s="12">
        <v>665</v>
      </c>
    </row>
    <row r="23" spans="2:7" x14ac:dyDescent="0.2">
      <c r="B23" s="12" t="s">
        <v>459</v>
      </c>
      <c r="C23" s="28">
        <v>1389</v>
      </c>
      <c r="D23" s="28">
        <v>-1544</v>
      </c>
      <c r="E23" s="12">
        <v>-719</v>
      </c>
    </row>
    <row r="24" spans="2:7" x14ac:dyDescent="0.2">
      <c r="B24" s="12" t="s">
        <v>460</v>
      </c>
      <c r="C24" s="12">
        <v>891</v>
      </c>
      <c r="D24" s="28">
        <v>-2059</v>
      </c>
      <c r="E24" s="12">
        <v>-78</v>
      </c>
    </row>
    <row r="25" spans="2:7" x14ac:dyDescent="0.2">
      <c r="B25" s="12" t="s">
        <v>461</v>
      </c>
      <c r="C25" s="12">
        <v>-44</v>
      </c>
      <c r="D25" s="12">
        <v>-790</v>
      </c>
      <c r="E25" s="12">
        <v>-276</v>
      </c>
    </row>
    <row r="26" spans="2:7" x14ac:dyDescent="0.2">
      <c r="B26" s="30" t="s">
        <v>462</v>
      </c>
      <c r="C26" s="31">
        <v>3478</v>
      </c>
      <c r="D26" s="31">
        <v>4460</v>
      </c>
      <c r="E26" s="31">
        <v>2790</v>
      </c>
      <c r="G26" s="25">
        <f>SUM(C6:C25)</f>
        <v>3478</v>
      </c>
    </row>
    <row r="27" spans="2:7" x14ac:dyDescent="0.2">
      <c r="B27" s="14"/>
      <c r="C27" s="28"/>
      <c r="D27" s="12"/>
      <c r="E27" s="12"/>
    </row>
    <row r="28" spans="2:7" x14ac:dyDescent="0.2">
      <c r="B28" s="14" t="s">
        <v>463</v>
      </c>
      <c r="C28" s="12"/>
      <c r="D28" s="12"/>
      <c r="E28" s="12"/>
    </row>
    <row r="29" spans="2:7" x14ac:dyDescent="0.2">
      <c r="B29" s="12" t="s">
        <v>464</v>
      </c>
      <c r="C29" s="28">
        <v>-1319</v>
      </c>
      <c r="D29" s="28">
        <v>-1494</v>
      </c>
      <c r="E29" s="28">
        <v>-1563</v>
      </c>
    </row>
    <row r="30" spans="2:7" x14ac:dyDescent="0.2">
      <c r="B30" s="12" t="s">
        <v>465</v>
      </c>
      <c r="C30" s="12">
        <v>-22</v>
      </c>
      <c r="D30" s="12">
        <v>-23</v>
      </c>
      <c r="E30" s="12">
        <v>-927</v>
      </c>
    </row>
    <row r="31" spans="2:7" x14ac:dyDescent="0.2">
      <c r="B31" s="12" t="s">
        <v>466</v>
      </c>
      <c r="C31" s="12">
        <v>131</v>
      </c>
      <c r="D31" s="12">
        <v>60</v>
      </c>
      <c r="E31" s="12">
        <v>66</v>
      </c>
    </row>
    <row r="32" spans="2:7" x14ac:dyDescent="0.2">
      <c r="B32" s="12" t="s">
        <v>467</v>
      </c>
      <c r="C32" s="12">
        <v>-77</v>
      </c>
      <c r="D32" s="12">
        <v>-18</v>
      </c>
      <c r="E32" s="12">
        <v>-58</v>
      </c>
    </row>
    <row r="33" spans="2:5" x14ac:dyDescent="0.2">
      <c r="B33" s="12" t="s">
        <v>468</v>
      </c>
      <c r="C33" s="12" t="s">
        <v>47</v>
      </c>
      <c r="D33" s="12" t="s">
        <v>47</v>
      </c>
      <c r="E33" s="12">
        <v>-308</v>
      </c>
    </row>
    <row r="34" spans="2:5" x14ac:dyDescent="0.2">
      <c r="B34" s="12" t="s">
        <v>469</v>
      </c>
      <c r="C34" s="12" t="s">
        <v>47</v>
      </c>
      <c r="D34" s="12" t="s">
        <v>47</v>
      </c>
      <c r="E34" s="12">
        <v>84</v>
      </c>
    </row>
    <row r="35" spans="2:5" x14ac:dyDescent="0.2">
      <c r="B35" s="12" t="s">
        <v>470</v>
      </c>
      <c r="C35" s="12">
        <v>-155</v>
      </c>
      <c r="D35" s="12" t="s">
        <v>47</v>
      </c>
      <c r="E35" s="12" t="s">
        <v>47</v>
      </c>
    </row>
    <row r="36" spans="2:5" x14ac:dyDescent="0.2">
      <c r="B36" s="12" t="s">
        <v>455</v>
      </c>
      <c r="C36" s="12">
        <v>42</v>
      </c>
      <c r="D36" s="12">
        <v>-21</v>
      </c>
      <c r="E36" s="12">
        <v>4</v>
      </c>
    </row>
    <row r="37" spans="2:5" s="11" customFormat="1" x14ac:dyDescent="0.2">
      <c r="B37" s="14" t="s">
        <v>471</v>
      </c>
      <c r="C37" s="29">
        <v>-1400</v>
      </c>
      <c r="D37" s="29">
        <v>-1496</v>
      </c>
      <c r="E37" s="29">
        <v>-2702</v>
      </c>
    </row>
    <row r="38" spans="2:5" x14ac:dyDescent="0.2">
      <c r="B38" s="12"/>
      <c r="C38" s="12"/>
      <c r="D38" s="12"/>
      <c r="E38" s="12"/>
    </row>
    <row r="39" spans="2:5" x14ac:dyDescent="0.2">
      <c r="B39" s="14" t="s">
        <v>472</v>
      </c>
      <c r="C39" s="12"/>
      <c r="D39" s="12"/>
      <c r="E39" s="12"/>
    </row>
    <row r="40" spans="2:5" x14ac:dyDescent="0.2">
      <c r="B40" s="12" t="s">
        <v>473</v>
      </c>
      <c r="C40" s="12">
        <v>752</v>
      </c>
      <c r="D40" s="12">
        <v>501</v>
      </c>
      <c r="E40" s="12">
        <v>27</v>
      </c>
    </row>
    <row r="41" spans="2:5" x14ac:dyDescent="0.2">
      <c r="B41" s="12" t="s">
        <v>474</v>
      </c>
      <c r="C41" s="12">
        <v>-482</v>
      </c>
      <c r="D41" s="12">
        <v>-963</v>
      </c>
      <c r="E41" s="12">
        <v>-1</v>
      </c>
    </row>
    <row r="42" spans="2:5" x14ac:dyDescent="0.2">
      <c r="B42" s="12" t="s">
        <v>475</v>
      </c>
      <c r="C42" s="12">
        <v>-428</v>
      </c>
      <c r="D42" s="12">
        <v>-390</v>
      </c>
      <c r="E42" s="28">
        <v>1800</v>
      </c>
    </row>
    <row r="43" spans="2:5" x14ac:dyDescent="0.2">
      <c r="B43" s="12" t="s">
        <v>476</v>
      </c>
      <c r="C43" s="28">
        <v>-1450</v>
      </c>
      <c r="D43" s="28">
        <v>-2673</v>
      </c>
      <c r="E43" s="28">
        <v>-2327</v>
      </c>
    </row>
    <row r="44" spans="2:5" x14ac:dyDescent="0.2">
      <c r="B44" s="12" t="s">
        <v>477</v>
      </c>
      <c r="C44" s="12">
        <v>-899</v>
      </c>
      <c r="D44" s="12">
        <v>-977</v>
      </c>
      <c r="E44" s="12">
        <v>-985</v>
      </c>
    </row>
    <row r="45" spans="2:5" x14ac:dyDescent="0.2">
      <c r="B45" s="12" t="s">
        <v>478</v>
      </c>
      <c r="C45" s="12" t="s">
        <v>47</v>
      </c>
      <c r="D45" s="12" t="s">
        <v>47</v>
      </c>
      <c r="E45" s="12">
        <v>-8</v>
      </c>
    </row>
    <row r="46" spans="2:5" x14ac:dyDescent="0.2">
      <c r="B46" s="12" t="s">
        <v>455</v>
      </c>
      <c r="C46" s="12"/>
      <c r="D46" s="12">
        <v>-102</v>
      </c>
      <c r="E46" s="12">
        <v>-36</v>
      </c>
    </row>
    <row r="47" spans="2:5" x14ac:dyDescent="0.2">
      <c r="B47" s="12" t="s">
        <v>479</v>
      </c>
      <c r="C47" s="28">
        <v>-2499</v>
      </c>
      <c r="D47" s="28">
        <v>-4604</v>
      </c>
      <c r="E47" s="28">
        <v>-1530</v>
      </c>
    </row>
    <row r="48" spans="2:5" x14ac:dyDescent="0.2">
      <c r="B48" s="12" t="s">
        <v>480</v>
      </c>
      <c r="C48" s="12" t="s">
        <v>47</v>
      </c>
      <c r="D48" s="12">
        <v>-3</v>
      </c>
      <c r="E48" s="12">
        <v>-24</v>
      </c>
    </row>
    <row r="49" spans="2:5" x14ac:dyDescent="0.2">
      <c r="B49" s="12" t="s">
        <v>481</v>
      </c>
      <c r="C49" s="12">
        <v>-421</v>
      </c>
      <c r="D49" s="28">
        <v>-1643</v>
      </c>
      <c r="E49" s="28">
        <v>-1466</v>
      </c>
    </row>
    <row r="50" spans="2:5" x14ac:dyDescent="0.2">
      <c r="B50" s="12" t="s">
        <v>482</v>
      </c>
      <c r="C50" s="28">
        <v>7454</v>
      </c>
      <c r="D50" s="28">
        <v>7033</v>
      </c>
      <c r="E50" s="28">
        <v>5390</v>
      </c>
    </row>
    <row r="51" spans="2:5" x14ac:dyDescent="0.2">
      <c r="B51" s="12" t="s">
        <v>483</v>
      </c>
      <c r="C51" s="28">
        <v>7033</v>
      </c>
      <c r="D51" s="28">
        <v>5390</v>
      </c>
      <c r="E51" s="28">
        <v>3924</v>
      </c>
    </row>
    <row r="52" spans="2:5" x14ac:dyDescent="0.2">
      <c r="B52" s="12" t="s">
        <v>484</v>
      </c>
      <c r="C52" s="12"/>
      <c r="D52" s="12"/>
      <c r="E52" s="12"/>
    </row>
    <row r="53" spans="2:5" x14ac:dyDescent="0.2">
      <c r="B53" s="12" t="s">
        <v>431</v>
      </c>
      <c r="C53" s="28">
        <v>1037</v>
      </c>
      <c r="D53" s="28">
        <v>1368</v>
      </c>
      <c r="E53" s="12">
        <v>611</v>
      </c>
    </row>
    <row r="54" spans="2:5" x14ac:dyDescent="0.2">
      <c r="B54" s="12" t="s">
        <v>485</v>
      </c>
      <c r="C54" s="28">
        <v>5996</v>
      </c>
      <c r="D54" s="28">
        <v>4022</v>
      </c>
      <c r="E54" s="28">
        <v>3313</v>
      </c>
    </row>
    <row r="55" spans="2:5" x14ac:dyDescent="0.2">
      <c r="B55" s="12" t="s">
        <v>486</v>
      </c>
      <c r="C55" s="28">
        <v>7033</v>
      </c>
      <c r="D55" s="28">
        <v>5390</v>
      </c>
      <c r="E55" s="28">
        <v>3924</v>
      </c>
    </row>
    <row r="56" spans="2:5" x14ac:dyDescent="0.2">
      <c r="B56" s="12" t="s">
        <v>487</v>
      </c>
      <c r="C56" s="12"/>
      <c r="D56" s="12"/>
      <c r="E56" s="12"/>
    </row>
    <row r="57" spans="2:5" x14ac:dyDescent="0.2">
      <c r="B57" s="12" t="s">
        <v>306</v>
      </c>
      <c r="C57" s="12">
        <v>409</v>
      </c>
      <c r="D57" s="12">
        <v>711</v>
      </c>
      <c r="E57" s="12">
        <v>710</v>
      </c>
    </row>
    <row r="58" spans="2:5" x14ac:dyDescent="0.2">
      <c r="B58" s="12" t="s">
        <v>488</v>
      </c>
      <c r="C58" s="12">
        <v>708</v>
      </c>
      <c r="D58" s="12">
        <v>742</v>
      </c>
      <c r="E58" s="12">
        <v>658</v>
      </c>
    </row>
  </sheetData>
  <mergeCells count="1">
    <mergeCell ref="C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DAA9C-8B37-474E-884E-69778306FB24}">
  <dimension ref="B2:F21"/>
  <sheetViews>
    <sheetView workbookViewId="0">
      <selection activeCell="E12" sqref="E12"/>
    </sheetView>
  </sheetViews>
  <sheetFormatPr baseColWidth="10" defaultColWidth="8.83203125" defaultRowHeight="15" x14ac:dyDescent="0.2"/>
  <cols>
    <col min="2" max="2" width="56.33203125" bestFit="1" customWidth="1"/>
    <col min="3" max="3" width="13.5" customWidth="1"/>
  </cols>
  <sheetData>
    <row r="2" spans="2:6" x14ac:dyDescent="0.2">
      <c r="B2" s="16"/>
      <c r="D2" s="16"/>
      <c r="E2" s="16"/>
      <c r="F2" s="16"/>
    </row>
    <row r="3" spans="2:6" x14ac:dyDescent="0.2">
      <c r="B3" s="11" t="s">
        <v>545</v>
      </c>
      <c r="D3" s="11">
        <v>2022</v>
      </c>
      <c r="E3" s="11">
        <v>2023</v>
      </c>
      <c r="F3" s="11">
        <v>2024</v>
      </c>
    </row>
    <row r="4" spans="2:6" x14ac:dyDescent="0.2">
      <c r="B4" s="11"/>
      <c r="D4" s="119" t="s">
        <v>546</v>
      </c>
      <c r="E4" s="119"/>
      <c r="F4" s="119"/>
    </row>
    <row r="5" spans="2:6" x14ac:dyDescent="0.2">
      <c r="B5" s="11"/>
      <c r="D5" s="17"/>
      <c r="E5" s="17"/>
      <c r="F5" s="17"/>
    </row>
    <row r="6" spans="2:6" x14ac:dyDescent="0.2">
      <c r="B6" s="5" t="s">
        <v>538</v>
      </c>
      <c r="D6" s="19"/>
      <c r="E6" s="20">
        <v>3483</v>
      </c>
      <c r="F6" s="20">
        <v>1800</v>
      </c>
    </row>
    <row r="7" spans="2:6" x14ac:dyDescent="0.2">
      <c r="B7" s="5" t="s">
        <v>420</v>
      </c>
      <c r="D7" s="19"/>
      <c r="E7" s="20">
        <v>-17</v>
      </c>
      <c r="F7" s="20">
        <v>-21</v>
      </c>
    </row>
    <row r="8" spans="2:6" x14ac:dyDescent="0.2">
      <c r="B8" s="5" t="s">
        <v>418</v>
      </c>
      <c r="D8" s="19"/>
      <c r="E8" s="20">
        <v>828</v>
      </c>
      <c r="F8" s="20">
        <v>476</v>
      </c>
    </row>
    <row r="9" spans="2:6" x14ac:dyDescent="0.2">
      <c r="B9" s="18" t="s">
        <v>539</v>
      </c>
      <c r="C9" s="18"/>
      <c r="D9" s="21"/>
      <c r="E9" s="22">
        <f>SUM(E6:E8)</f>
        <v>4294</v>
      </c>
      <c r="F9" s="22">
        <f>SUM(F6:F8)</f>
        <v>2255</v>
      </c>
    </row>
    <row r="10" spans="2:6" x14ac:dyDescent="0.2">
      <c r="B10" s="11"/>
      <c r="C10" s="11"/>
      <c r="D10" s="23"/>
      <c r="E10" s="24"/>
      <c r="F10" s="24"/>
    </row>
    <row r="11" spans="2:6" x14ac:dyDescent="0.2">
      <c r="B11" s="5" t="s">
        <v>416</v>
      </c>
      <c r="D11" s="19"/>
      <c r="E11" s="20">
        <v>430</v>
      </c>
      <c r="F11" s="20">
        <v>506</v>
      </c>
    </row>
    <row r="12" spans="2:6" x14ac:dyDescent="0.2">
      <c r="B12" s="5" t="s">
        <v>448</v>
      </c>
      <c r="D12" s="19"/>
      <c r="E12" s="20">
        <v>1059</v>
      </c>
      <c r="F12" s="20">
        <v>1141</v>
      </c>
    </row>
    <row r="13" spans="2:6" x14ac:dyDescent="0.2">
      <c r="B13" s="18" t="s">
        <v>430</v>
      </c>
      <c r="C13" s="18"/>
      <c r="D13" s="21"/>
      <c r="E13" s="22">
        <f>E9+SUM(E11:E12)</f>
        <v>5783</v>
      </c>
      <c r="F13" s="22">
        <v>3902</v>
      </c>
    </row>
    <row r="14" spans="2:6" x14ac:dyDescent="0.2">
      <c r="B14" s="11"/>
      <c r="C14" s="11"/>
      <c r="D14" s="23"/>
      <c r="E14" s="24"/>
      <c r="F14" s="24"/>
    </row>
    <row r="15" spans="2:6" x14ac:dyDescent="0.2">
      <c r="B15" s="5" t="s">
        <v>540</v>
      </c>
      <c r="D15" s="19"/>
      <c r="E15" s="20">
        <v>-17</v>
      </c>
      <c r="F15" s="20">
        <v>-11</v>
      </c>
    </row>
    <row r="16" spans="2:6" x14ac:dyDescent="0.2">
      <c r="B16" s="5" t="s">
        <v>541</v>
      </c>
      <c r="D16" s="19"/>
      <c r="E16" s="20">
        <v>367</v>
      </c>
      <c r="F16" s="20">
        <v>513</v>
      </c>
    </row>
    <row r="17" spans="2:6" x14ac:dyDescent="0.2">
      <c r="B17" s="5" t="s">
        <v>542</v>
      </c>
      <c r="D17" s="19"/>
      <c r="E17" s="20">
        <v>67</v>
      </c>
      <c r="F17" s="20">
        <v>64</v>
      </c>
    </row>
    <row r="18" spans="2:6" x14ac:dyDescent="0.2">
      <c r="B18" s="5" t="s">
        <v>543</v>
      </c>
      <c r="D18" s="19"/>
      <c r="E18" s="20">
        <v>7</v>
      </c>
      <c r="F18" s="20">
        <v>7</v>
      </c>
    </row>
    <row r="19" spans="2:6" x14ac:dyDescent="0.2">
      <c r="B19" s="18" t="s">
        <v>544</v>
      </c>
      <c r="C19" s="18"/>
      <c r="D19" s="21"/>
      <c r="E19" s="22">
        <f>E13+SUM(E15:E18)</f>
        <v>6207</v>
      </c>
      <c r="F19" s="22">
        <f>F13+SUM(F15:F18)</f>
        <v>4475</v>
      </c>
    </row>
    <row r="21" spans="2:6" x14ac:dyDescent="0.2">
      <c r="E21" s="19"/>
    </row>
  </sheetData>
  <mergeCells count="1">
    <mergeCell ref="D4:F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5CEA5-CDBB-4B23-A1D9-82E71C775C0C}">
  <dimension ref="B2:I39"/>
  <sheetViews>
    <sheetView workbookViewId="0">
      <selection activeCell="F22" sqref="F22"/>
    </sheetView>
  </sheetViews>
  <sheetFormatPr baseColWidth="10" defaultColWidth="8.83203125" defaultRowHeight="15" x14ac:dyDescent="0.2"/>
  <cols>
    <col min="2" max="2" width="27" bestFit="1" customWidth="1"/>
    <col min="3" max="3" width="8.83203125" bestFit="1" customWidth="1"/>
    <col min="4" max="4" width="44.6640625" bestFit="1" customWidth="1"/>
    <col min="7" max="7" width="37.1640625" bestFit="1" customWidth="1"/>
    <col min="8" max="8" width="12.1640625" bestFit="1" customWidth="1"/>
    <col min="9" max="9" width="37.5" bestFit="1" customWidth="1"/>
  </cols>
  <sheetData>
    <row r="2" spans="2:9" ht="16" thickBot="1" x14ac:dyDescent="0.25">
      <c r="C2" t="s">
        <v>575</v>
      </c>
      <c r="D2" s="10" t="s">
        <v>574</v>
      </c>
    </row>
    <row r="3" spans="2:9" x14ac:dyDescent="0.2">
      <c r="B3" s="32" t="s">
        <v>560</v>
      </c>
      <c r="C3">
        <f>'3statementmodelReve'!D28</f>
        <v>73426</v>
      </c>
      <c r="D3">
        <f>'3statementmodelReve'!D75</f>
        <v>19.314</v>
      </c>
      <c r="G3" s="34"/>
      <c r="H3" s="34" t="s">
        <v>575</v>
      </c>
      <c r="I3" s="34" t="s">
        <v>574</v>
      </c>
    </row>
    <row r="4" spans="2:9" x14ac:dyDescent="0.2">
      <c r="C4">
        <f>'3statementmodelReve'!E28</f>
        <v>66516</v>
      </c>
      <c r="D4">
        <f>'3statementmodelReve'!E75</f>
        <v>16.809000000000001</v>
      </c>
      <c r="G4" t="s">
        <v>575</v>
      </c>
    </row>
    <row r="5" spans="2:9" ht="16" thickBot="1" x14ac:dyDescent="0.25">
      <c r="C5">
        <f>'3statementmodelReve'!C28</f>
        <v>79563</v>
      </c>
      <c r="D5">
        <f>'3statementmodelReve'!C77</f>
        <v>19.591000000000001</v>
      </c>
      <c r="G5" s="33" t="s">
        <v>574</v>
      </c>
      <c r="H5" s="33">
        <v>0.92148616881097001</v>
      </c>
      <c r="I5" s="33">
        <v>1</v>
      </c>
    </row>
    <row r="6" spans="2:9" x14ac:dyDescent="0.2">
      <c r="B6" t="s">
        <v>576</v>
      </c>
      <c r="C6">
        <f>CORREL(C3:C5,D3:D5)</f>
        <v>0.92148616881097034</v>
      </c>
    </row>
    <row r="35" spans="2:9" ht="16" thickBot="1" x14ac:dyDescent="0.25"/>
    <row r="36" spans="2:9" x14ac:dyDescent="0.2">
      <c r="C36" s="9" t="s">
        <v>575</v>
      </c>
      <c r="D36" s="10" t="s">
        <v>573</v>
      </c>
      <c r="G36" s="34"/>
      <c r="H36" s="34" t="s">
        <v>575</v>
      </c>
      <c r="I36" s="34" t="s">
        <v>573</v>
      </c>
    </row>
    <row r="37" spans="2:9" x14ac:dyDescent="0.2">
      <c r="B37" s="32" t="s">
        <v>560</v>
      </c>
      <c r="C37">
        <f>C3</f>
        <v>73426</v>
      </c>
      <c r="D37" s="26" t="e">
        <f>'3statementmodelReve'!#REF!</f>
        <v>#REF!</v>
      </c>
      <c r="G37" t="s">
        <v>575</v>
      </c>
      <c r="H37">
        <v>1</v>
      </c>
    </row>
    <row r="38" spans="2:9" ht="16" thickBot="1" x14ac:dyDescent="0.25">
      <c r="C38">
        <f>C4</f>
        <v>66516</v>
      </c>
      <c r="D38" s="25" t="e">
        <f>'3statementmodelReve'!#REF!</f>
        <v>#REF!</v>
      </c>
      <c r="G38" s="33" t="s">
        <v>573</v>
      </c>
      <c r="H38" s="33">
        <v>0.25557928767100574</v>
      </c>
      <c r="I38" s="33">
        <v>1</v>
      </c>
    </row>
    <row r="39" spans="2:9" x14ac:dyDescent="0.2">
      <c r="C39">
        <f>C5</f>
        <v>79563</v>
      </c>
      <c r="D39" s="25" t="e">
        <f>'3statementmodelReve'!#REF!</f>
        <v>#REF!</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A702F-E8C1-4A88-8E2F-58B919FC4229}">
  <dimension ref="A1:C49"/>
  <sheetViews>
    <sheetView topLeftCell="A4" workbookViewId="0">
      <selection activeCell="B49" sqref="B49"/>
    </sheetView>
  </sheetViews>
  <sheetFormatPr baseColWidth="10" defaultColWidth="8.83203125" defaultRowHeight="15" x14ac:dyDescent="0.2"/>
  <cols>
    <col min="1" max="1" width="52.33203125" bestFit="1" customWidth="1"/>
    <col min="2" max="3" width="11.5" bestFit="1" customWidth="1"/>
  </cols>
  <sheetData>
    <row r="1" spans="1:3" x14ac:dyDescent="0.2">
      <c r="A1" t="s">
        <v>0</v>
      </c>
      <c r="B1" t="s">
        <v>1</v>
      </c>
      <c r="C1" t="s">
        <v>2</v>
      </c>
    </row>
    <row r="2" spans="1:3" x14ac:dyDescent="0.2">
      <c r="A2" t="s">
        <v>40</v>
      </c>
    </row>
    <row r="3" spans="1:3" x14ac:dyDescent="0.2">
      <c r="A3" t="s">
        <v>41</v>
      </c>
    </row>
    <row r="4" spans="1:3" x14ac:dyDescent="0.2">
      <c r="A4" t="s">
        <v>42</v>
      </c>
      <c r="B4" t="s">
        <v>43</v>
      </c>
      <c r="C4" t="s">
        <v>44</v>
      </c>
    </row>
    <row r="5" spans="1:3" x14ac:dyDescent="0.2">
      <c r="A5" t="s">
        <v>45</v>
      </c>
      <c r="B5" t="s">
        <v>46</v>
      </c>
      <c r="C5" t="s">
        <v>47</v>
      </c>
    </row>
    <row r="6" spans="1:3" x14ac:dyDescent="0.2">
      <c r="A6" t="s">
        <v>48</v>
      </c>
      <c r="B6" t="s">
        <v>49</v>
      </c>
      <c r="C6" t="s">
        <v>50</v>
      </c>
    </row>
    <row r="7" spans="1:3" x14ac:dyDescent="0.2">
      <c r="A7" t="s">
        <v>51</v>
      </c>
      <c r="B7" t="s">
        <v>52</v>
      </c>
      <c r="C7" t="s">
        <v>53</v>
      </c>
    </row>
    <row r="8" spans="1:3" x14ac:dyDescent="0.2">
      <c r="A8" t="s">
        <v>54</v>
      </c>
      <c r="B8" t="s">
        <v>55</v>
      </c>
      <c r="C8" t="s">
        <v>56</v>
      </c>
    </row>
    <row r="9" spans="1:3" x14ac:dyDescent="0.2">
      <c r="A9" t="s">
        <v>57</v>
      </c>
      <c r="B9" t="s">
        <v>58</v>
      </c>
      <c r="C9" t="s">
        <v>59</v>
      </c>
    </row>
    <row r="10" spans="1:3" x14ac:dyDescent="0.2">
      <c r="A10" t="s">
        <v>60</v>
      </c>
      <c r="B10" t="s">
        <v>61</v>
      </c>
      <c r="C10" t="s">
        <v>62</v>
      </c>
    </row>
    <row r="11" spans="1:3" x14ac:dyDescent="0.2">
      <c r="A11" t="s">
        <v>63</v>
      </c>
    </row>
    <row r="12" spans="1:3" x14ac:dyDescent="0.2">
      <c r="A12" t="s">
        <v>64</v>
      </c>
      <c r="B12" t="s">
        <v>65</v>
      </c>
      <c r="C12" t="s">
        <v>66</v>
      </c>
    </row>
    <row r="13" spans="1:3" x14ac:dyDescent="0.2">
      <c r="A13" t="s">
        <v>67</v>
      </c>
      <c r="B13" t="s">
        <v>68</v>
      </c>
      <c r="C13" t="s">
        <v>69</v>
      </c>
    </row>
    <row r="14" spans="1:3" x14ac:dyDescent="0.2">
      <c r="A14" t="s">
        <v>70</v>
      </c>
      <c r="B14" t="s">
        <v>71</v>
      </c>
      <c r="C14" t="s">
        <v>72</v>
      </c>
    </row>
    <row r="15" spans="1:3" x14ac:dyDescent="0.2">
      <c r="A15" t="s">
        <v>73</v>
      </c>
      <c r="B15" t="s">
        <v>74</v>
      </c>
      <c r="C15" t="s">
        <v>75</v>
      </c>
    </row>
    <row r="16" spans="1:3" x14ac:dyDescent="0.2">
      <c r="A16" t="s">
        <v>76</v>
      </c>
      <c r="B16" t="s">
        <v>77</v>
      </c>
      <c r="C16" t="s">
        <v>78</v>
      </c>
    </row>
    <row r="17" spans="1:3" x14ac:dyDescent="0.2">
      <c r="A17" t="s">
        <v>79</v>
      </c>
    </row>
    <row r="18" spans="1:3" x14ac:dyDescent="0.2">
      <c r="A18" t="s">
        <v>80</v>
      </c>
      <c r="B18" t="s">
        <v>81</v>
      </c>
      <c r="C18" t="s">
        <v>82</v>
      </c>
    </row>
    <row r="19" spans="1:3" x14ac:dyDescent="0.2">
      <c r="A19" t="s">
        <v>83</v>
      </c>
      <c r="B19" t="s">
        <v>84</v>
      </c>
      <c r="C19" t="s">
        <v>85</v>
      </c>
    </row>
    <row r="20" spans="1:3" x14ac:dyDescent="0.2">
      <c r="A20" t="s">
        <v>86</v>
      </c>
      <c r="B20" t="s">
        <v>87</v>
      </c>
      <c r="C20" t="s">
        <v>88</v>
      </c>
    </row>
    <row r="21" spans="1:3" x14ac:dyDescent="0.2">
      <c r="A21" t="s">
        <v>89</v>
      </c>
      <c r="B21" t="s">
        <v>90</v>
      </c>
      <c r="C21" t="s">
        <v>91</v>
      </c>
    </row>
    <row r="22" spans="1:3" x14ac:dyDescent="0.2">
      <c r="B22" t="s">
        <v>92</v>
      </c>
      <c r="C22" t="s">
        <v>93</v>
      </c>
    </row>
    <row r="23" spans="1:3" x14ac:dyDescent="0.2">
      <c r="A23" t="s">
        <v>94</v>
      </c>
      <c r="B23" t="s">
        <v>95</v>
      </c>
      <c r="C23" t="s">
        <v>96</v>
      </c>
    </row>
    <row r="24" spans="1:3" x14ac:dyDescent="0.2">
      <c r="A24" t="s">
        <v>97</v>
      </c>
      <c r="B24" t="s">
        <v>98</v>
      </c>
      <c r="C24" t="s">
        <v>99</v>
      </c>
    </row>
    <row r="25" spans="1:3" x14ac:dyDescent="0.2">
      <c r="A25" t="s">
        <v>100</v>
      </c>
      <c r="B25" t="s">
        <v>101</v>
      </c>
      <c r="C25" t="s">
        <v>102</v>
      </c>
    </row>
    <row r="26" spans="1:3" x14ac:dyDescent="0.2">
      <c r="A26" t="s">
        <v>103</v>
      </c>
    </row>
    <row r="27" spans="1:3" x14ac:dyDescent="0.2">
      <c r="A27" t="s">
        <v>104</v>
      </c>
    </row>
    <row r="28" spans="1:3" x14ac:dyDescent="0.2">
      <c r="A28" t="s">
        <v>105</v>
      </c>
      <c r="B28" t="s">
        <v>106</v>
      </c>
      <c r="C28" t="s">
        <v>107</v>
      </c>
    </row>
    <row r="29" spans="1:3" x14ac:dyDescent="0.2">
      <c r="A29" t="s">
        <v>108</v>
      </c>
      <c r="B29" t="s">
        <v>109</v>
      </c>
      <c r="C29" t="s">
        <v>110</v>
      </c>
    </row>
    <row r="30" spans="1:3" x14ac:dyDescent="0.2">
      <c r="A30" t="s">
        <v>111</v>
      </c>
      <c r="B30" t="s">
        <v>112</v>
      </c>
      <c r="C30" t="s">
        <v>113</v>
      </c>
    </row>
    <row r="31" spans="1:3" x14ac:dyDescent="0.2">
      <c r="A31" t="s">
        <v>114</v>
      </c>
      <c r="B31" t="s">
        <v>115</v>
      </c>
      <c r="C31" t="s">
        <v>116</v>
      </c>
    </row>
    <row r="32" spans="1:3" x14ac:dyDescent="0.2">
      <c r="A32" t="s">
        <v>117</v>
      </c>
      <c r="B32" t="s">
        <v>118</v>
      </c>
      <c r="C32" t="s">
        <v>119</v>
      </c>
    </row>
    <row r="33" spans="1:3" x14ac:dyDescent="0.2">
      <c r="A33" t="s">
        <v>120</v>
      </c>
      <c r="B33" t="s">
        <v>121</v>
      </c>
      <c r="C33" t="s">
        <v>122</v>
      </c>
    </row>
    <row r="34" spans="1:3" x14ac:dyDescent="0.2">
      <c r="A34" t="s">
        <v>123</v>
      </c>
      <c r="B34" t="s">
        <v>124</v>
      </c>
      <c r="C34" t="s">
        <v>125</v>
      </c>
    </row>
    <row r="35" spans="1:3" x14ac:dyDescent="0.2">
      <c r="A35" t="s">
        <v>126</v>
      </c>
    </row>
    <row r="36" spans="1:3" x14ac:dyDescent="0.2">
      <c r="A36" t="s">
        <v>127</v>
      </c>
      <c r="B36" t="s">
        <v>128</v>
      </c>
      <c r="C36" t="s">
        <v>129</v>
      </c>
    </row>
    <row r="37" spans="1:3" x14ac:dyDescent="0.2">
      <c r="A37" t="s">
        <v>130</v>
      </c>
      <c r="B37" t="s">
        <v>131</v>
      </c>
      <c r="C37" t="s">
        <v>132</v>
      </c>
    </row>
    <row r="38" spans="1:3" x14ac:dyDescent="0.2">
      <c r="A38" t="s">
        <v>133</v>
      </c>
      <c r="B38" t="s">
        <v>134</v>
      </c>
      <c r="C38" t="s">
        <v>135</v>
      </c>
    </row>
    <row r="39" spans="1:3" x14ac:dyDescent="0.2">
      <c r="A39" t="s">
        <v>136</v>
      </c>
      <c r="B39" t="s">
        <v>137</v>
      </c>
      <c r="C39" t="s">
        <v>138</v>
      </c>
    </row>
    <row r="40" spans="1:3" x14ac:dyDescent="0.2">
      <c r="A40" t="s">
        <v>139</v>
      </c>
      <c r="B40" t="s">
        <v>140</v>
      </c>
      <c r="C40" t="s">
        <v>141</v>
      </c>
    </row>
    <row r="41" spans="1:3" x14ac:dyDescent="0.2">
      <c r="A41" t="s">
        <v>142</v>
      </c>
    </row>
    <row r="42" spans="1:3" x14ac:dyDescent="0.2">
      <c r="A42" t="s">
        <v>143</v>
      </c>
      <c r="B42" t="s">
        <v>144</v>
      </c>
      <c r="C42" t="s">
        <v>145</v>
      </c>
    </row>
    <row r="43" spans="1:3" x14ac:dyDescent="0.2">
      <c r="A43" t="s">
        <v>146</v>
      </c>
    </row>
    <row r="44" spans="1:3" x14ac:dyDescent="0.2">
      <c r="A44" t="s">
        <v>147</v>
      </c>
      <c r="B44" t="s">
        <v>148</v>
      </c>
      <c r="C44" t="s">
        <v>149</v>
      </c>
    </row>
    <row r="45" spans="1:3" x14ac:dyDescent="0.2">
      <c r="A45" t="s">
        <v>150</v>
      </c>
      <c r="B45" t="s">
        <v>151</v>
      </c>
      <c r="C45" t="s">
        <v>152</v>
      </c>
    </row>
    <row r="46" spans="1:3" x14ac:dyDescent="0.2">
      <c r="A46" t="s">
        <v>153</v>
      </c>
      <c r="B46" t="s">
        <v>154</v>
      </c>
      <c r="C46" t="s">
        <v>155</v>
      </c>
    </row>
    <row r="47" spans="1:3" x14ac:dyDescent="0.2">
      <c r="A47" t="s">
        <v>156</v>
      </c>
      <c r="B47" t="s">
        <v>157</v>
      </c>
      <c r="C47" t="s">
        <v>158</v>
      </c>
    </row>
    <row r="48" spans="1:3" x14ac:dyDescent="0.2">
      <c r="A48" t="s">
        <v>159</v>
      </c>
      <c r="B48" t="s">
        <v>160</v>
      </c>
      <c r="C48" t="s">
        <v>161</v>
      </c>
    </row>
    <row r="49" spans="1:3" x14ac:dyDescent="0.2">
      <c r="A49" t="s">
        <v>162</v>
      </c>
      <c r="B49" t="s">
        <v>101</v>
      </c>
      <c r="C49" t="s">
        <v>102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1E42A-6FDE-4FA0-B017-C970498CE3DD}">
  <dimension ref="A1:D51"/>
  <sheetViews>
    <sheetView workbookViewId="0">
      <selection activeCell="A9" sqref="A9"/>
    </sheetView>
  </sheetViews>
  <sheetFormatPr baseColWidth="10" defaultColWidth="8.83203125" defaultRowHeight="15" x14ac:dyDescent="0.2"/>
  <cols>
    <col min="1" max="1" width="81.1640625" bestFit="1" customWidth="1"/>
    <col min="2" max="3" width="11.5" bestFit="1" customWidth="1"/>
    <col min="4" max="4" width="12.5" bestFit="1" customWidth="1"/>
  </cols>
  <sheetData>
    <row r="1" spans="1:4" x14ac:dyDescent="0.2">
      <c r="A1" t="s">
        <v>0</v>
      </c>
      <c r="B1" t="s">
        <v>2</v>
      </c>
      <c r="C1" t="s">
        <v>3</v>
      </c>
      <c r="D1" t="s">
        <v>163</v>
      </c>
    </row>
    <row r="2" spans="1:4" x14ac:dyDescent="0.2">
      <c r="A2" t="s">
        <v>164</v>
      </c>
    </row>
    <row r="3" spans="1:4" x14ac:dyDescent="0.2">
      <c r="A3" t="s">
        <v>165</v>
      </c>
      <c r="B3" t="s">
        <v>166</v>
      </c>
      <c r="C3" t="s">
        <v>27</v>
      </c>
      <c r="D3" t="s">
        <v>167</v>
      </c>
    </row>
    <row r="4" spans="1:4" x14ac:dyDescent="0.2">
      <c r="A4" t="s">
        <v>168</v>
      </c>
    </row>
    <row r="5" spans="1:4" x14ac:dyDescent="0.2">
      <c r="A5" t="s">
        <v>169</v>
      </c>
      <c r="B5" t="s">
        <v>170</v>
      </c>
      <c r="C5" t="s">
        <v>171</v>
      </c>
      <c r="D5" t="s">
        <v>172</v>
      </c>
    </row>
    <row r="6" spans="1:4" x14ac:dyDescent="0.2">
      <c r="A6" t="s">
        <v>173</v>
      </c>
      <c r="B6" t="s">
        <v>174</v>
      </c>
      <c r="C6" t="s">
        <v>175</v>
      </c>
      <c r="D6" t="s">
        <v>176</v>
      </c>
    </row>
    <row r="7" spans="1:4" x14ac:dyDescent="0.2">
      <c r="A7" t="s">
        <v>130</v>
      </c>
      <c r="B7" t="s">
        <v>177</v>
      </c>
      <c r="C7" t="s">
        <v>178</v>
      </c>
      <c r="D7" t="s">
        <v>179</v>
      </c>
    </row>
    <row r="8" spans="1:4" x14ac:dyDescent="0.2">
      <c r="A8" t="s">
        <v>180</v>
      </c>
      <c r="B8" t="s">
        <v>181</v>
      </c>
      <c r="C8" t="s">
        <v>182</v>
      </c>
      <c r="D8" t="s">
        <v>183</v>
      </c>
    </row>
    <row r="9" spans="1:4" x14ac:dyDescent="0.2">
      <c r="A9" t="s">
        <v>184</v>
      </c>
      <c r="B9" t="s">
        <v>185</v>
      </c>
      <c r="C9" t="s">
        <v>186</v>
      </c>
      <c r="D9" t="s">
        <v>187</v>
      </c>
    </row>
    <row r="10" spans="1:4" x14ac:dyDescent="0.2">
      <c r="A10" t="s">
        <v>188</v>
      </c>
      <c r="B10" t="s">
        <v>189</v>
      </c>
      <c r="C10" t="s">
        <v>190</v>
      </c>
      <c r="D10" t="s">
        <v>191</v>
      </c>
    </row>
    <row r="11" spans="1:4" x14ac:dyDescent="0.2">
      <c r="A11" t="s">
        <v>192</v>
      </c>
      <c r="B11" t="s">
        <v>193</v>
      </c>
      <c r="C11" t="s">
        <v>194</v>
      </c>
      <c r="D11" t="s">
        <v>195</v>
      </c>
    </row>
    <row r="12" spans="1:4" x14ac:dyDescent="0.2">
      <c r="A12" t="s">
        <v>196</v>
      </c>
      <c r="B12" t="s">
        <v>197</v>
      </c>
      <c r="C12" t="s">
        <v>198</v>
      </c>
      <c r="D12" t="s">
        <v>199</v>
      </c>
    </row>
    <row r="13" spans="1:4" x14ac:dyDescent="0.2">
      <c r="A13" t="s">
        <v>200</v>
      </c>
    </row>
    <row r="14" spans="1:4" x14ac:dyDescent="0.2">
      <c r="A14" t="s">
        <v>201</v>
      </c>
      <c r="B14" t="s">
        <v>202</v>
      </c>
      <c r="C14" t="s">
        <v>203</v>
      </c>
      <c r="D14" t="s">
        <v>204</v>
      </c>
    </row>
    <row r="15" spans="1:4" x14ac:dyDescent="0.2">
      <c r="A15" t="s">
        <v>205</v>
      </c>
      <c r="B15" t="s">
        <v>206</v>
      </c>
      <c r="C15" t="s">
        <v>207</v>
      </c>
      <c r="D15" t="s">
        <v>208</v>
      </c>
    </row>
    <row r="16" spans="1:4" x14ac:dyDescent="0.2">
      <c r="A16" t="s">
        <v>54</v>
      </c>
      <c r="B16" t="s">
        <v>209</v>
      </c>
      <c r="C16" t="s">
        <v>210</v>
      </c>
      <c r="D16" t="s">
        <v>211</v>
      </c>
    </row>
    <row r="17" spans="1:4" x14ac:dyDescent="0.2">
      <c r="A17" t="s">
        <v>57</v>
      </c>
      <c r="B17" t="s">
        <v>212</v>
      </c>
      <c r="C17" t="s">
        <v>213</v>
      </c>
      <c r="D17" t="s">
        <v>214</v>
      </c>
    </row>
    <row r="18" spans="1:4" x14ac:dyDescent="0.2">
      <c r="A18" t="s">
        <v>108</v>
      </c>
      <c r="B18" t="s">
        <v>215</v>
      </c>
      <c r="C18" t="s">
        <v>216</v>
      </c>
      <c r="D18" t="s">
        <v>217</v>
      </c>
    </row>
    <row r="19" spans="1:4" x14ac:dyDescent="0.2">
      <c r="A19" t="s">
        <v>111</v>
      </c>
      <c r="B19" t="s">
        <v>218</v>
      </c>
      <c r="C19" t="s">
        <v>219</v>
      </c>
      <c r="D19" t="s">
        <v>220</v>
      </c>
    </row>
    <row r="20" spans="1:4" x14ac:dyDescent="0.2">
      <c r="A20" t="s">
        <v>117</v>
      </c>
      <c r="B20" t="s">
        <v>221</v>
      </c>
      <c r="C20" t="s">
        <v>222</v>
      </c>
      <c r="D20" t="s">
        <v>223</v>
      </c>
    </row>
    <row r="21" spans="1:4" x14ac:dyDescent="0.2">
      <c r="A21" t="s">
        <v>224</v>
      </c>
      <c r="B21" t="s">
        <v>225</v>
      </c>
      <c r="C21" t="s">
        <v>226</v>
      </c>
      <c r="D21" t="s">
        <v>227</v>
      </c>
    </row>
    <row r="22" spans="1:4" x14ac:dyDescent="0.2">
      <c r="A22" t="s">
        <v>228</v>
      </c>
    </row>
    <row r="23" spans="1:4" x14ac:dyDescent="0.2">
      <c r="A23" t="s">
        <v>229</v>
      </c>
      <c r="B23" t="s">
        <v>230</v>
      </c>
      <c r="C23" t="s">
        <v>231</v>
      </c>
      <c r="D23" t="s">
        <v>232</v>
      </c>
    </row>
    <row r="24" spans="1:4" x14ac:dyDescent="0.2">
      <c r="A24" t="s">
        <v>233</v>
      </c>
      <c r="B24" t="s">
        <v>234</v>
      </c>
      <c r="C24" t="s">
        <v>178</v>
      </c>
      <c r="D24" t="s">
        <v>235</v>
      </c>
    </row>
    <row r="25" spans="1:4" x14ac:dyDescent="0.2">
      <c r="A25" t="s">
        <v>236</v>
      </c>
      <c r="B25" t="s">
        <v>237</v>
      </c>
      <c r="C25" t="s">
        <v>238</v>
      </c>
      <c r="D25" t="s">
        <v>197</v>
      </c>
    </row>
    <row r="26" spans="1:4" x14ac:dyDescent="0.2">
      <c r="A26" t="s">
        <v>239</v>
      </c>
      <c r="B26" t="s">
        <v>240</v>
      </c>
      <c r="C26" t="s">
        <v>241</v>
      </c>
      <c r="D26" t="s">
        <v>242</v>
      </c>
    </row>
    <row r="27" spans="1:4" x14ac:dyDescent="0.2">
      <c r="A27" t="s">
        <v>243</v>
      </c>
      <c r="B27" t="s">
        <v>244</v>
      </c>
      <c r="C27" t="s">
        <v>47</v>
      </c>
      <c r="D27" t="s">
        <v>47</v>
      </c>
    </row>
    <row r="28" spans="1:4" x14ac:dyDescent="0.2">
      <c r="A28" t="s">
        <v>245</v>
      </c>
      <c r="B28" t="s">
        <v>246</v>
      </c>
      <c r="C28" t="s">
        <v>47</v>
      </c>
      <c r="D28" t="s">
        <v>47</v>
      </c>
    </row>
    <row r="29" spans="1:4" x14ac:dyDescent="0.2">
      <c r="A29" t="s">
        <v>247</v>
      </c>
      <c r="B29" t="s">
        <v>47</v>
      </c>
      <c r="C29" t="s">
        <v>47</v>
      </c>
      <c r="D29" t="s">
        <v>248</v>
      </c>
    </row>
    <row r="30" spans="1:4" x14ac:dyDescent="0.2">
      <c r="A30" t="s">
        <v>196</v>
      </c>
      <c r="B30" t="s">
        <v>249</v>
      </c>
      <c r="C30" t="s">
        <v>250</v>
      </c>
      <c r="D30" t="s">
        <v>251</v>
      </c>
    </row>
    <row r="31" spans="1:4" x14ac:dyDescent="0.2">
      <c r="A31" t="s">
        <v>252</v>
      </c>
      <c r="B31" t="s">
        <v>253</v>
      </c>
      <c r="C31" t="s">
        <v>254</v>
      </c>
      <c r="D31" t="s">
        <v>255</v>
      </c>
    </row>
    <row r="32" spans="1:4" x14ac:dyDescent="0.2">
      <c r="A32" t="s">
        <v>256</v>
      </c>
    </row>
    <row r="33" spans="1:4" x14ac:dyDescent="0.2">
      <c r="A33" t="s">
        <v>257</v>
      </c>
      <c r="B33" t="s">
        <v>258</v>
      </c>
      <c r="C33" t="s">
        <v>259</v>
      </c>
      <c r="D33" t="s">
        <v>260</v>
      </c>
    </row>
    <row r="34" spans="1:4" x14ac:dyDescent="0.2">
      <c r="A34" t="s">
        <v>261</v>
      </c>
      <c r="B34" t="s">
        <v>262</v>
      </c>
      <c r="C34" t="s">
        <v>263</v>
      </c>
      <c r="D34" t="s">
        <v>264</v>
      </c>
    </row>
    <row r="35" spans="1:4" x14ac:dyDescent="0.2">
      <c r="A35" t="s">
        <v>265</v>
      </c>
      <c r="B35" t="s">
        <v>266</v>
      </c>
      <c r="C35" t="s">
        <v>267</v>
      </c>
      <c r="D35" t="s">
        <v>268</v>
      </c>
    </row>
    <row r="36" spans="1:4" x14ac:dyDescent="0.2">
      <c r="A36" t="s">
        <v>269</v>
      </c>
      <c r="B36" t="s">
        <v>270</v>
      </c>
      <c r="C36" t="s">
        <v>271</v>
      </c>
      <c r="D36" t="s">
        <v>272</v>
      </c>
    </row>
    <row r="37" spans="1:4" x14ac:dyDescent="0.2">
      <c r="A37" t="s">
        <v>273</v>
      </c>
      <c r="B37" t="s">
        <v>274</v>
      </c>
      <c r="C37" t="s">
        <v>275</v>
      </c>
      <c r="D37" t="s">
        <v>276</v>
      </c>
    </row>
    <row r="38" spans="1:4" x14ac:dyDescent="0.2">
      <c r="A38" t="s">
        <v>277</v>
      </c>
      <c r="B38" t="s">
        <v>278</v>
      </c>
      <c r="C38" t="s">
        <v>47</v>
      </c>
      <c r="D38" t="s">
        <v>47</v>
      </c>
    </row>
    <row r="39" spans="1:4" x14ac:dyDescent="0.2">
      <c r="A39" t="s">
        <v>196</v>
      </c>
      <c r="B39" t="s">
        <v>279</v>
      </c>
      <c r="C39" t="s">
        <v>280</v>
      </c>
    </row>
    <row r="40" spans="1:4" x14ac:dyDescent="0.2">
      <c r="A40" t="s">
        <v>281</v>
      </c>
      <c r="B40" t="s">
        <v>282</v>
      </c>
      <c r="C40" t="s">
        <v>283</v>
      </c>
      <c r="D40" t="s">
        <v>284</v>
      </c>
    </row>
    <row r="41" spans="1:4" x14ac:dyDescent="0.2">
      <c r="A41" t="s">
        <v>285</v>
      </c>
      <c r="B41" t="s">
        <v>286</v>
      </c>
      <c r="C41" t="s">
        <v>287</v>
      </c>
      <c r="D41" t="s">
        <v>47</v>
      </c>
    </row>
    <row r="42" spans="1:4" x14ac:dyDescent="0.2">
      <c r="A42" t="s">
        <v>288</v>
      </c>
      <c r="B42" t="s">
        <v>289</v>
      </c>
      <c r="C42" t="s">
        <v>290</v>
      </c>
      <c r="D42" t="s">
        <v>291</v>
      </c>
    </row>
    <row r="43" spans="1:4" x14ac:dyDescent="0.2">
      <c r="A43" t="s">
        <v>292</v>
      </c>
      <c r="B43" t="s">
        <v>293</v>
      </c>
      <c r="C43" t="s">
        <v>294</v>
      </c>
      <c r="D43" t="s">
        <v>295</v>
      </c>
    </row>
    <row r="44" spans="1:4" x14ac:dyDescent="0.2">
      <c r="A44" t="s">
        <v>296</v>
      </c>
      <c r="B44" t="s">
        <v>297</v>
      </c>
      <c r="C44" t="s">
        <v>293</v>
      </c>
      <c r="D44" t="s">
        <v>294</v>
      </c>
    </row>
    <row r="45" spans="1:4" x14ac:dyDescent="0.2">
      <c r="A45" t="s">
        <v>298</v>
      </c>
    </row>
    <row r="46" spans="1:4" x14ac:dyDescent="0.2">
      <c r="A46" t="s">
        <v>42</v>
      </c>
      <c r="B46" t="s">
        <v>43</v>
      </c>
      <c r="C46" t="s">
        <v>44</v>
      </c>
      <c r="D46" t="s">
        <v>299</v>
      </c>
    </row>
    <row r="47" spans="1:4" x14ac:dyDescent="0.2">
      <c r="A47" t="s">
        <v>300</v>
      </c>
      <c r="B47" t="s">
        <v>301</v>
      </c>
      <c r="C47" t="s">
        <v>302</v>
      </c>
      <c r="D47" t="s">
        <v>303</v>
      </c>
    </row>
    <row r="48" spans="1:4" x14ac:dyDescent="0.2">
      <c r="A48" t="s">
        <v>304</v>
      </c>
      <c r="B48" t="s">
        <v>297</v>
      </c>
      <c r="C48" t="s">
        <v>293</v>
      </c>
      <c r="D48" t="s">
        <v>294</v>
      </c>
    </row>
    <row r="49" spans="1:4" x14ac:dyDescent="0.2">
      <c r="A49" t="s">
        <v>305</v>
      </c>
    </row>
    <row r="50" spans="1:4" x14ac:dyDescent="0.2">
      <c r="A50" t="s">
        <v>306</v>
      </c>
      <c r="B50" t="s">
        <v>307</v>
      </c>
      <c r="C50" t="s">
        <v>308</v>
      </c>
      <c r="D50" t="s">
        <v>309</v>
      </c>
    </row>
    <row r="51" spans="1:4" x14ac:dyDescent="0.2">
      <c r="A51" t="s">
        <v>310</v>
      </c>
      <c r="B51" t="s">
        <v>311</v>
      </c>
      <c r="C51" t="s">
        <v>312</v>
      </c>
      <c r="D51" t="s">
        <v>313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AACBF-06F2-4550-AF3C-C1848E9717B0}">
  <dimension ref="A1:D19"/>
  <sheetViews>
    <sheetView workbookViewId="0">
      <selection sqref="A1:D19"/>
    </sheetView>
  </sheetViews>
  <sheetFormatPr baseColWidth="10" defaultColWidth="8.83203125" defaultRowHeight="15" x14ac:dyDescent="0.2"/>
  <cols>
    <col min="1" max="1" width="61.33203125" bestFit="1" customWidth="1"/>
    <col min="2" max="3" width="11.5" bestFit="1" customWidth="1"/>
    <col min="4" max="4" width="12.5" bestFit="1" customWidth="1"/>
  </cols>
  <sheetData>
    <row r="1" spans="1:4" x14ac:dyDescent="0.2">
      <c r="A1" t="s">
        <v>0</v>
      </c>
      <c r="B1" t="s">
        <v>317</v>
      </c>
      <c r="C1" t="s">
        <v>318</v>
      </c>
      <c r="D1" t="s">
        <v>163</v>
      </c>
    </row>
    <row r="2" spans="1:4" x14ac:dyDescent="0.2">
      <c r="A2" t="s">
        <v>165</v>
      </c>
      <c r="B2" t="s">
        <v>166</v>
      </c>
      <c r="C2" t="s">
        <v>27</v>
      </c>
      <c r="D2">
        <v>4365</v>
      </c>
    </row>
    <row r="3" spans="1:4" x14ac:dyDescent="0.2">
      <c r="A3" t="s">
        <v>377</v>
      </c>
    </row>
    <row r="4" spans="1:4" x14ac:dyDescent="0.2">
      <c r="A4" t="s">
        <v>378</v>
      </c>
      <c r="B4" t="s">
        <v>379</v>
      </c>
      <c r="C4" t="s">
        <v>380</v>
      </c>
      <c r="D4">
        <v>-301</v>
      </c>
    </row>
    <row r="5" spans="1:4" x14ac:dyDescent="0.2">
      <c r="A5" t="s">
        <v>381</v>
      </c>
      <c r="B5" t="s">
        <v>382</v>
      </c>
      <c r="C5" t="s">
        <v>383</v>
      </c>
      <c r="D5">
        <v>-93</v>
      </c>
    </row>
    <row r="6" spans="1:4" x14ac:dyDescent="0.2">
      <c r="A6" t="s">
        <v>384</v>
      </c>
      <c r="B6" t="s">
        <v>385</v>
      </c>
      <c r="C6" t="s">
        <v>386</v>
      </c>
      <c r="D6">
        <v>-394</v>
      </c>
    </row>
    <row r="7" spans="1:4" x14ac:dyDescent="0.2">
      <c r="A7" t="s">
        <v>387</v>
      </c>
      <c r="B7" t="s">
        <v>190</v>
      </c>
      <c r="C7" t="s">
        <v>388</v>
      </c>
      <c r="D7">
        <v>140</v>
      </c>
    </row>
    <row r="8" spans="1:4" x14ac:dyDescent="0.2">
      <c r="A8" t="s">
        <v>381</v>
      </c>
      <c r="B8" t="s">
        <v>389</v>
      </c>
      <c r="C8" t="s">
        <v>351</v>
      </c>
      <c r="D8">
        <v>-15</v>
      </c>
    </row>
    <row r="9" spans="1:4" x14ac:dyDescent="0.2">
      <c r="A9" t="s">
        <v>384</v>
      </c>
      <c r="B9" t="s">
        <v>390</v>
      </c>
      <c r="C9" t="s">
        <v>391</v>
      </c>
      <c r="D9">
        <v>125</v>
      </c>
    </row>
    <row r="10" spans="1:4" x14ac:dyDescent="0.2">
      <c r="A10" t="s">
        <v>392</v>
      </c>
      <c r="B10" t="s">
        <v>393</v>
      </c>
      <c r="C10" t="s">
        <v>190</v>
      </c>
      <c r="D10">
        <v>-84</v>
      </c>
    </row>
    <row r="11" spans="1:4" x14ac:dyDescent="0.2">
      <c r="A11" t="s">
        <v>381</v>
      </c>
      <c r="B11" t="s">
        <v>394</v>
      </c>
      <c r="C11" t="s">
        <v>395</v>
      </c>
      <c r="D11">
        <v>7</v>
      </c>
    </row>
    <row r="12" spans="1:4" x14ac:dyDescent="0.2">
      <c r="A12" t="s">
        <v>384</v>
      </c>
      <c r="B12" t="s">
        <v>396</v>
      </c>
      <c r="C12" t="s">
        <v>157</v>
      </c>
      <c r="D12">
        <v>-77</v>
      </c>
    </row>
    <row r="13" spans="1:4" x14ac:dyDescent="0.2">
      <c r="A13" t="s">
        <v>397</v>
      </c>
      <c r="B13" t="s">
        <v>398</v>
      </c>
      <c r="C13" t="s">
        <v>399</v>
      </c>
      <c r="D13">
        <v>-12</v>
      </c>
    </row>
    <row r="14" spans="1:4" x14ac:dyDescent="0.2">
      <c r="A14" t="s">
        <v>381</v>
      </c>
      <c r="B14" t="s">
        <v>262</v>
      </c>
      <c r="C14" t="s">
        <v>262</v>
      </c>
      <c r="D14">
        <v>1</v>
      </c>
    </row>
    <row r="15" spans="1:4" x14ac:dyDescent="0.2">
      <c r="A15" t="s">
        <v>384</v>
      </c>
      <c r="B15" t="s">
        <v>29</v>
      </c>
      <c r="C15" t="s">
        <v>190</v>
      </c>
      <c r="D15">
        <v>-11</v>
      </c>
    </row>
    <row r="16" spans="1:4" x14ac:dyDescent="0.2">
      <c r="A16" t="s">
        <v>400</v>
      </c>
      <c r="B16" t="s">
        <v>368</v>
      </c>
      <c r="C16" t="s">
        <v>361</v>
      </c>
      <c r="D16">
        <v>-357</v>
      </c>
    </row>
    <row r="17" spans="1:4" x14ac:dyDescent="0.2">
      <c r="A17" t="s">
        <v>401</v>
      </c>
      <c r="B17" t="s">
        <v>402</v>
      </c>
      <c r="C17" t="s">
        <v>403</v>
      </c>
      <c r="D17">
        <v>4008</v>
      </c>
    </row>
    <row r="18" spans="1:4" x14ac:dyDescent="0.2">
      <c r="A18" t="s">
        <v>404</v>
      </c>
      <c r="B18" t="s">
        <v>250</v>
      </c>
      <c r="C18" t="s">
        <v>346</v>
      </c>
      <c r="D18">
        <v>5</v>
      </c>
    </row>
    <row r="19" spans="1:4" x14ac:dyDescent="0.2">
      <c r="A19" t="s">
        <v>405</v>
      </c>
      <c r="B19" t="s">
        <v>406</v>
      </c>
      <c r="C19" t="s">
        <v>407</v>
      </c>
      <c r="D19">
        <v>4003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D5F90-1C1B-41E9-9FE9-8A24DF93FAF8}">
  <dimension ref="A1:D19"/>
  <sheetViews>
    <sheetView workbookViewId="0">
      <selection activeCell="B54" sqref="B54"/>
    </sheetView>
  </sheetViews>
  <sheetFormatPr baseColWidth="10" defaultColWidth="8.83203125" defaultRowHeight="15" x14ac:dyDescent="0.2"/>
  <cols>
    <col min="1" max="1" width="53.5" bestFit="1" customWidth="1"/>
    <col min="2" max="4" width="11.5" bestFit="1" customWidth="1"/>
  </cols>
  <sheetData>
    <row r="1" spans="1:4" x14ac:dyDescent="0.2">
      <c r="A1" t="s">
        <v>0</v>
      </c>
      <c r="B1" t="s">
        <v>1</v>
      </c>
      <c r="C1" t="s">
        <v>2</v>
      </c>
      <c r="D1" t="s">
        <v>3</v>
      </c>
    </row>
    <row r="2" spans="1:4" x14ac:dyDescent="0.2">
      <c r="A2" t="s">
        <v>4</v>
      </c>
      <c r="B2">
        <v>85530</v>
      </c>
      <c r="C2" t="s">
        <v>5</v>
      </c>
      <c r="D2">
        <v>101556</v>
      </c>
    </row>
    <row r="3" spans="1:4" x14ac:dyDescent="0.2">
      <c r="A3" t="s">
        <v>6</v>
      </c>
      <c r="B3">
        <v>79752</v>
      </c>
      <c r="C3" t="s">
        <v>7</v>
      </c>
      <c r="D3">
        <v>93986</v>
      </c>
    </row>
    <row r="4" spans="1:4" x14ac:dyDescent="0.2">
      <c r="A4" t="s">
        <v>8</v>
      </c>
      <c r="B4">
        <v>5778</v>
      </c>
      <c r="C4" t="s">
        <v>9</v>
      </c>
      <c r="D4">
        <v>7570</v>
      </c>
    </row>
    <row r="5" spans="1:4" x14ac:dyDescent="0.2">
      <c r="A5" t="s">
        <v>10</v>
      </c>
      <c r="B5">
        <v>3706</v>
      </c>
      <c r="C5" t="s">
        <v>11</v>
      </c>
      <c r="D5">
        <v>3358</v>
      </c>
    </row>
    <row r="6" spans="1:4" x14ac:dyDescent="0.2">
      <c r="A6" t="s">
        <v>12</v>
      </c>
      <c r="B6">
        <v>545</v>
      </c>
      <c r="C6" t="s">
        <v>13</v>
      </c>
      <c r="D6">
        <v>66</v>
      </c>
    </row>
    <row r="7" spans="1:4" x14ac:dyDescent="0.2">
      <c r="A7" t="s">
        <v>14</v>
      </c>
      <c r="B7">
        <v>-621</v>
      </c>
      <c r="C7" t="s">
        <v>15</v>
      </c>
      <c r="D7">
        <v>-832</v>
      </c>
    </row>
    <row r="8" spans="1:4" x14ac:dyDescent="0.2">
      <c r="A8" t="s">
        <v>16</v>
      </c>
      <c r="B8">
        <v>-562</v>
      </c>
      <c r="C8" t="s">
        <v>17</v>
      </c>
      <c r="D8">
        <v>-293</v>
      </c>
    </row>
    <row r="9" spans="1:4" x14ac:dyDescent="0.2">
      <c r="A9" t="s">
        <v>18</v>
      </c>
      <c r="B9">
        <v>706</v>
      </c>
      <c r="C9" t="s">
        <v>19</v>
      </c>
      <c r="D9">
        <v>396</v>
      </c>
    </row>
    <row r="10" spans="1:4" x14ac:dyDescent="0.2">
      <c r="A10" t="s">
        <v>20</v>
      </c>
      <c r="B10">
        <v>-251</v>
      </c>
      <c r="C10" t="s">
        <v>21</v>
      </c>
      <c r="D10">
        <v>-358</v>
      </c>
    </row>
    <row r="11" spans="1:4" x14ac:dyDescent="0.2">
      <c r="A11" t="s">
        <v>22</v>
      </c>
      <c r="B11">
        <v>2255</v>
      </c>
      <c r="C11" t="s">
        <v>23</v>
      </c>
      <c r="D11">
        <v>5233</v>
      </c>
    </row>
    <row r="12" spans="1:4" x14ac:dyDescent="0.2">
      <c r="A12" t="s">
        <v>24</v>
      </c>
      <c r="B12">
        <v>476</v>
      </c>
      <c r="C12" t="s">
        <v>25</v>
      </c>
      <c r="D12">
        <v>868</v>
      </c>
    </row>
    <row r="13" spans="1:4" x14ac:dyDescent="0.2">
      <c r="A13" t="s">
        <v>26</v>
      </c>
      <c r="B13">
        <v>1779</v>
      </c>
      <c r="C13" t="s">
        <v>27</v>
      </c>
      <c r="D13">
        <v>4365</v>
      </c>
    </row>
    <row r="14" spans="1:4" x14ac:dyDescent="0.2">
      <c r="A14" t="s">
        <v>28</v>
      </c>
      <c r="B14">
        <v>-21</v>
      </c>
      <c r="C14" t="s">
        <v>29</v>
      </c>
      <c r="D14">
        <v>25</v>
      </c>
    </row>
    <row r="15" spans="1:4" x14ac:dyDescent="0.2">
      <c r="A15" t="s">
        <v>30</v>
      </c>
      <c r="B15">
        <v>1800</v>
      </c>
      <c r="C15" t="s">
        <v>31</v>
      </c>
      <c r="D15">
        <v>4340</v>
      </c>
    </row>
    <row r="16" spans="1:4" x14ac:dyDescent="0.2">
      <c r="A16" t="s">
        <v>32</v>
      </c>
      <c r="B16">
        <v>492</v>
      </c>
      <c r="C16" t="s">
        <v>33</v>
      </c>
      <c r="D16">
        <v>562</v>
      </c>
    </row>
    <row r="17" spans="1:4" x14ac:dyDescent="0.2">
      <c r="A17" t="s">
        <v>34</v>
      </c>
      <c r="B17">
        <v>493</v>
      </c>
      <c r="C17" t="s">
        <v>35</v>
      </c>
      <c r="D17">
        <v>563</v>
      </c>
    </row>
    <row r="18" spans="1:4" x14ac:dyDescent="0.2">
      <c r="A18" t="s">
        <v>36</v>
      </c>
      <c r="B18">
        <v>3.66</v>
      </c>
      <c r="C18" t="s">
        <v>37</v>
      </c>
      <c r="D18">
        <v>7.72</v>
      </c>
    </row>
    <row r="19" spans="1:4" x14ac:dyDescent="0.2">
      <c r="A19" t="s">
        <v>38</v>
      </c>
      <c r="B19">
        <v>3.65</v>
      </c>
      <c r="C19" t="s">
        <v>39</v>
      </c>
      <c r="D19">
        <v>7.71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A9A34-4949-4862-941E-9FBD7C9C6552}">
  <dimension ref="A1:P28"/>
  <sheetViews>
    <sheetView workbookViewId="0">
      <selection activeCell="B6" sqref="B6"/>
    </sheetView>
  </sheetViews>
  <sheetFormatPr baseColWidth="10" defaultColWidth="8.83203125" defaultRowHeight="15" x14ac:dyDescent="0.2"/>
  <cols>
    <col min="1" max="1" width="39.5" bestFit="1" customWidth="1"/>
    <col min="2" max="8" width="11.5" bestFit="1" customWidth="1"/>
    <col min="9" max="9" width="13.1640625" bestFit="1" customWidth="1"/>
    <col min="10" max="16" width="12.5" bestFit="1" customWidth="1"/>
  </cols>
  <sheetData>
    <row r="1" spans="1:16" x14ac:dyDescent="0.2">
      <c r="A1" t="s">
        <v>314</v>
      </c>
      <c r="B1" t="s">
        <v>315</v>
      </c>
      <c r="C1" t="s">
        <v>316</v>
      </c>
      <c r="D1" t="s">
        <v>1</v>
      </c>
      <c r="E1" t="s">
        <v>317</v>
      </c>
      <c r="F1" t="s">
        <v>2</v>
      </c>
      <c r="G1" t="s">
        <v>318</v>
      </c>
      <c r="H1" t="s">
        <v>3</v>
      </c>
      <c r="I1" t="s">
        <v>319</v>
      </c>
      <c r="J1" t="s">
        <v>163</v>
      </c>
      <c r="K1" t="s">
        <v>320</v>
      </c>
      <c r="L1" t="s">
        <v>321</v>
      </c>
      <c r="M1" t="s">
        <v>322</v>
      </c>
      <c r="N1" t="s">
        <v>323</v>
      </c>
      <c r="O1" t="s">
        <v>324</v>
      </c>
      <c r="P1" t="s">
        <v>325</v>
      </c>
    </row>
    <row r="2" spans="1:16" x14ac:dyDescent="0.2">
      <c r="A2" t="s">
        <v>326</v>
      </c>
      <c r="B2" t="s">
        <v>327</v>
      </c>
      <c r="D2" t="s">
        <v>328</v>
      </c>
      <c r="F2" t="s">
        <v>329</v>
      </c>
      <c r="I2" t="s">
        <v>330</v>
      </c>
      <c r="L2" t="s">
        <v>331</v>
      </c>
      <c r="O2" t="s">
        <v>332</v>
      </c>
    </row>
    <row r="3" spans="1:16" x14ac:dyDescent="0.2">
      <c r="A3" t="s">
        <v>333</v>
      </c>
      <c r="B3" t="s">
        <v>334</v>
      </c>
      <c r="C3" t="s">
        <v>335</v>
      </c>
      <c r="D3" t="s">
        <v>336</v>
      </c>
      <c r="E3" t="s">
        <v>335</v>
      </c>
      <c r="F3" t="s">
        <v>337</v>
      </c>
      <c r="G3" t="s">
        <v>335</v>
      </c>
      <c r="I3" t="s">
        <v>338</v>
      </c>
      <c r="J3" t="s">
        <v>335</v>
      </c>
      <c r="L3" t="s">
        <v>339</v>
      </c>
      <c r="M3" t="s">
        <v>335</v>
      </c>
      <c r="P3" t="s">
        <v>340</v>
      </c>
    </row>
    <row r="4" spans="1:16" x14ac:dyDescent="0.2">
      <c r="A4" t="s">
        <v>341</v>
      </c>
      <c r="F4" t="s">
        <v>342</v>
      </c>
      <c r="L4" t="s">
        <v>343</v>
      </c>
      <c r="P4" t="s">
        <v>167</v>
      </c>
    </row>
    <row r="5" spans="1:16" x14ac:dyDescent="0.2">
      <c r="A5" t="s">
        <v>344</v>
      </c>
      <c r="I5" t="s">
        <v>345</v>
      </c>
      <c r="L5" t="s">
        <v>346</v>
      </c>
      <c r="P5" t="s">
        <v>347</v>
      </c>
    </row>
    <row r="6" spans="1:16" x14ac:dyDescent="0.2">
      <c r="A6" t="s">
        <v>348</v>
      </c>
      <c r="F6" t="s">
        <v>276</v>
      </c>
      <c r="P6" t="s">
        <v>276</v>
      </c>
    </row>
    <row r="7" spans="1:16" x14ac:dyDescent="0.2">
      <c r="A7" t="s">
        <v>269</v>
      </c>
      <c r="B7" t="s">
        <v>29</v>
      </c>
      <c r="F7" t="s">
        <v>272</v>
      </c>
      <c r="P7" t="s">
        <v>272</v>
      </c>
    </row>
    <row r="8" spans="1:16" x14ac:dyDescent="0.2">
      <c r="A8" t="s">
        <v>184</v>
      </c>
      <c r="B8" t="s">
        <v>349</v>
      </c>
      <c r="D8" t="s">
        <v>187</v>
      </c>
      <c r="P8" t="s">
        <v>187</v>
      </c>
    </row>
    <row r="9" spans="1:16" x14ac:dyDescent="0.2">
      <c r="A9" t="s">
        <v>350</v>
      </c>
      <c r="B9" t="s">
        <v>122</v>
      </c>
      <c r="D9" t="s">
        <v>249</v>
      </c>
      <c r="P9" t="s">
        <v>249</v>
      </c>
    </row>
    <row r="10" spans="1:16" x14ac:dyDescent="0.2">
      <c r="A10" t="s">
        <v>136</v>
      </c>
      <c r="B10" t="s">
        <v>47</v>
      </c>
      <c r="D10" t="s">
        <v>351</v>
      </c>
      <c r="F10" t="s">
        <v>47</v>
      </c>
      <c r="L10" t="s">
        <v>287</v>
      </c>
      <c r="P10" t="s">
        <v>262</v>
      </c>
    </row>
    <row r="11" spans="1:16" x14ac:dyDescent="0.2">
      <c r="A11" t="s">
        <v>352</v>
      </c>
      <c r="B11" t="s">
        <v>353</v>
      </c>
      <c r="C11" t="s">
        <v>335</v>
      </c>
      <c r="D11" t="s">
        <v>354</v>
      </c>
      <c r="E11" t="s">
        <v>335</v>
      </c>
      <c r="F11" t="s">
        <v>355</v>
      </c>
      <c r="G11" t="s">
        <v>335</v>
      </c>
      <c r="I11" t="s">
        <v>356</v>
      </c>
      <c r="J11" t="s">
        <v>335</v>
      </c>
      <c r="L11" t="s">
        <v>357</v>
      </c>
      <c r="M11" t="s">
        <v>335</v>
      </c>
      <c r="P11" t="s">
        <v>358</v>
      </c>
    </row>
    <row r="12" spans="1:16" x14ac:dyDescent="0.2">
      <c r="A12" t="s">
        <v>341</v>
      </c>
      <c r="F12" t="s">
        <v>31</v>
      </c>
      <c r="L12" t="s">
        <v>29</v>
      </c>
      <c r="P12" t="s">
        <v>27</v>
      </c>
    </row>
    <row r="13" spans="1:16" x14ac:dyDescent="0.2">
      <c r="A13" t="s">
        <v>359</v>
      </c>
      <c r="I13" t="s">
        <v>360</v>
      </c>
      <c r="L13" t="s">
        <v>287</v>
      </c>
      <c r="P13" t="s">
        <v>361</v>
      </c>
    </row>
    <row r="14" spans="1:16" x14ac:dyDescent="0.2">
      <c r="A14" t="s">
        <v>362</v>
      </c>
      <c r="F14" t="s">
        <v>275</v>
      </c>
      <c r="P14" t="s">
        <v>275</v>
      </c>
    </row>
    <row r="15" spans="1:16" x14ac:dyDescent="0.2">
      <c r="A15" t="s">
        <v>269</v>
      </c>
      <c r="B15" t="s">
        <v>279</v>
      </c>
      <c r="F15" t="s">
        <v>363</v>
      </c>
      <c r="P15" t="s">
        <v>363</v>
      </c>
    </row>
    <row r="16" spans="1:16" x14ac:dyDescent="0.2">
      <c r="A16" t="s">
        <v>184</v>
      </c>
      <c r="B16" t="s">
        <v>349</v>
      </c>
      <c r="D16" t="s">
        <v>186</v>
      </c>
      <c r="P16" t="s">
        <v>186</v>
      </c>
    </row>
    <row r="17" spans="1:16" x14ac:dyDescent="0.2">
      <c r="A17" t="s">
        <v>350</v>
      </c>
      <c r="B17" t="s">
        <v>262</v>
      </c>
      <c r="D17" t="s">
        <v>364</v>
      </c>
      <c r="P17" t="s">
        <v>364</v>
      </c>
    </row>
    <row r="18" spans="1:16" x14ac:dyDescent="0.2">
      <c r="A18" t="s">
        <v>136</v>
      </c>
      <c r="B18" t="s">
        <v>47</v>
      </c>
      <c r="D18" t="s">
        <v>365</v>
      </c>
      <c r="F18" t="s">
        <v>157</v>
      </c>
      <c r="L18" t="s">
        <v>47</v>
      </c>
      <c r="P18" t="s">
        <v>190</v>
      </c>
    </row>
    <row r="19" spans="1:16" x14ac:dyDescent="0.2">
      <c r="A19" t="s">
        <v>366</v>
      </c>
      <c r="B19" t="s">
        <v>367</v>
      </c>
      <c r="C19" t="s">
        <v>335</v>
      </c>
      <c r="D19" t="s">
        <v>149</v>
      </c>
      <c r="E19" t="s">
        <v>335</v>
      </c>
      <c r="F19" t="s">
        <v>152</v>
      </c>
      <c r="G19" t="s">
        <v>335</v>
      </c>
      <c r="I19" t="s">
        <v>155</v>
      </c>
      <c r="J19" t="s">
        <v>335</v>
      </c>
      <c r="L19" t="s">
        <v>158</v>
      </c>
      <c r="M19" t="s">
        <v>335</v>
      </c>
      <c r="P19" t="s">
        <v>161</v>
      </c>
    </row>
    <row r="20" spans="1:16" x14ac:dyDescent="0.2">
      <c r="A20" t="s">
        <v>341</v>
      </c>
      <c r="F20" t="s">
        <v>266</v>
      </c>
      <c r="P20" t="s">
        <v>266</v>
      </c>
    </row>
    <row r="21" spans="1:16" x14ac:dyDescent="0.2">
      <c r="A21" t="s">
        <v>359</v>
      </c>
      <c r="I21" t="s">
        <v>368</v>
      </c>
      <c r="L21" t="s">
        <v>47</v>
      </c>
      <c r="P21" t="s">
        <v>368</v>
      </c>
    </row>
    <row r="22" spans="1:16" x14ac:dyDescent="0.2">
      <c r="A22" t="s">
        <v>369</v>
      </c>
      <c r="F22" t="s">
        <v>274</v>
      </c>
      <c r="P22" t="s">
        <v>274</v>
      </c>
    </row>
    <row r="23" spans="1:16" x14ac:dyDescent="0.2">
      <c r="A23" t="s">
        <v>269</v>
      </c>
      <c r="B23" t="s">
        <v>370</v>
      </c>
      <c r="F23" t="s">
        <v>371</v>
      </c>
      <c r="P23" t="s">
        <v>371</v>
      </c>
    </row>
    <row r="24" spans="1:16" x14ac:dyDescent="0.2">
      <c r="A24" t="s">
        <v>184</v>
      </c>
      <c r="B24" t="s">
        <v>351</v>
      </c>
      <c r="D24" t="s">
        <v>185</v>
      </c>
      <c r="P24" t="s">
        <v>185</v>
      </c>
    </row>
    <row r="25" spans="1:16" x14ac:dyDescent="0.2">
      <c r="A25" t="s">
        <v>350</v>
      </c>
      <c r="B25" t="s">
        <v>47</v>
      </c>
      <c r="D25" t="s">
        <v>178</v>
      </c>
      <c r="P25" t="s">
        <v>178</v>
      </c>
    </row>
    <row r="26" spans="1:16" x14ac:dyDescent="0.2">
      <c r="A26" t="s">
        <v>277</v>
      </c>
      <c r="D26" t="s">
        <v>287</v>
      </c>
      <c r="L26" t="s">
        <v>262</v>
      </c>
      <c r="P26" t="s">
        <v>372</v>
      </c>
    </row>
    <row r="27" spans="1:16" x14ac:dyDescent="0.2">
      <c r="A27" t="s">
        <v>136</v>
      </c>
      <c r="B27" t="s">
        <v>47</v>
      </c>
      <c r="D27" t="s">
        <v>373</v>
      </c>
      <c r="F27" t="s">
        <v>47</v>
      </c>
      <c r="L27" t="s">
        <v>374</v>
      </c>
      <c r="P27" t="s">
        <v>361</v>
      </c>
    </row>
    <row r="28" spans="1:16" x14ac:dyDescent="0.2">
      <c r="A28" t="s">
        <v>375</v>
      </c>
      <c r="B28" t="s">
        <v>376</v>
      </c>
      <c r="C28" t="s">
        <v>335</v>
      </c>
      <c r="D28" t="s">
        <v>148</v>
      </c>
      <c r="E28" t="s">
        <v>335</v>
      </c>
      <c r="F28" t="s">
        <v>151</v>
      </c>
      <c r="G28" t="s">
        <v>335</v>
      </c>
      <c r="I28" t="s">
        <v>154</v>
      </c>
      <c r="J28" t="s">
        <v>335</v>
      </c>
      <c r="L28" t="s">
        <v>157</v>
      </c>
      <c r="M28" t="s">
        <v>335</v>
      </c>
      <c r="P28" t="s">
        <v>160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5B61-6482-4F91-8FE9-377B47F77EAA}">
  <dimension ref="A1:D13"/>
  <sheetViews>
    <sheetView workbookViewId="0">
      <selection activeCell="C2" sqref="C2:C13"/>
    </sheetView>
  </sheetViews>
  <sheetFormatPr baseColWidth="10" defaultColWidth="8.83203125" defaultRowHeight="15" x14ac:dyDescent="0.2"/>
  <cols>
    <col min="1" max="1" width="53.5" bestFit="1" customWidth="1"/>
    <col min="2" max="3" width="7.33203125" bestFit="1" customWidth="1"/>
    <col min="4" max="4" width="11.1640625" bestFit="1" customWidth="1"/>
  </cols>
  <sheetData>
    <row r="1" spans="1:4" x14ac:dyDescent="0.2">
      <c r="A1" t="s">
        <v>314</v>
      </c>
      <c r="B1" t="s">
        <v>521</v>
      </c>
      <c r="C1" t="s">
        <v>522</v>
      </c>
      <c r="D1" t="s">
        <v>523</v>
      </c>
    </row>
    <row r="2" spans="1:4" x14ac:dyDescent="0.2">
      <c r="A2" t="s">
        <v>341</v>
      </c>
      <c r="B2">
        <v>1800</v>
      </c>
      <c r="C2">
        <v>3483</v>
      </c>
      <c r="D2" t="s">
        <v>524</v>
      </c>
    </row>
    <row r="3" spans="1:4" x14ac:dyDescent="0.2">
      <c r="A3" t="s">
        <v>28</v>
      </c>
      <c r="B3">
        <v>-21</v>
      </c>
      <c r="C3">
        <v>-17</v>
      </c>
      <c r="D3" t="s">
        <v>372</v>
      </c>
    </row>
    <row r="4" spans="1:4" x14ac:dyDescent="0.2">
      <c r="A4" t="s">
        <v>24</v>
      </c>
      <c r="B4">
        <v>476</v>
      </c>
      <c r="C4">
        <v>828</v>
      </c>
      <c r="D4" t="s">
        <v>525</v>
      </c>
    </row>
    <row r="5" spans="1:4" x14ac:dyDescent="0.2">
      <c r="A5" t="s">
        <v>22</v>
      </c>
      <c r="B5">
        <v>2255</v>
      </c>
      <c r="C5">
        <v>4294</v>
      </c>
      <c r="D5" t="s">
        <v>526</v>
      </c>
    </row>
    <row r="6" spans="1:4" x14ac:dyDescent="0.2">
      <c r="A6" t="s">
        <v>18</v>
      </c>
      <c r="B6">
        <v>506</v>
      </c>
      <c r="C6">
        <v>430</v>
      </c>
      <c r="D6" t="s">
        <v>527</v>
      </c>
    </row>
    <row r="7" spans="1:4" x14ac:dyDescent="0.2">
      <c r="A7" t="s">
        <v>169</v>
      </c>
      <c r="B7">
        <v>1141</v>
      </c>
      <c r="C7">
        <v>1059</v>
      </c>
      <c r="D7" t="s">
        <v>528</v>
      </c>
    </row>
    <row r="8" spans="1:4" x14ac:dyDescent="0.2">
      <c r="A8" t="s">
        <v>430</v>
      </c>
      <c r="B8">
        <v>3902</v>
      </c>
      <c r="C8">
        <v>5783</v>
      </c>
      <c r="D8" t="s">
        <v>529</v>
      </c>
    </row>
    <row r="9" spans="1:4" x14ac:dyDescent="0.2">
      <c r="A9" t="s">
        <v>530</v>
      </c>
      <c r="B9">
        <v>-11</v>
      </c>
      <c r="C9">
        <v>-17</v>
      </c>
      <c r="D9" t="s">
        <v>531</v>
      </c>
    </row>
    <row r="10" spans="1:4" x14ac:dyDescent="0.2">
      <c r="A10" t="s">
        <v>532</v>
      </c>
      <c r="B10">
        <v>513</v>
      </c>
      <c r="C10">
        <v>367</v>
      </c>
      <c r="D10" t="s">
        <v>533</v>
      </c>
    </row>
    <row r="11" spans="1:4" x14ac:dyDescent="0.2">
      <c r="A11" t="s">
        <v>534</v>
      </c>
      <c r="B11">
        <v>64</v>
      </c>
      <c r="C11">
        <v>67</v>
      </c>
      <c r="D11" t="s">
        <v>287</v>
      </c>
    </row>
    <row r="12" spans="1:4" x14ac:dyDescent="0.2">
      <c r="A12" t="s">
        <v>535</v>
      </c>
      <c r="B12">
        <v>7</v>
      </c>
      <c r="C12">
        <v>7</v>
      </c>
      <c r="D12" t="s">
        <v>47</v>
      </c>
    </row>
    <row r="13" spans="1:4" x14ac:dyDescent="0.2">
      <c r="A13" t="s">
        <v>536</v>
      </c>
      <c r="B13">
        <v>4476</v>
      </c>
      <c r="C13">
        <v>6207</v>
      </c>
      <c r="D13" t="s">
        <v>537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46F9A9-CADB-43D7-A064-84AF32A059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DCF</vt:lpstr>
      <vt:lpstr>3statementmodelReve</vt:lpstr>
      <vt:lpstr>Depreciation Schedule</vt:lpstr>
      <vt:lpstr>Balance Sheet Schedule</vt:lpstr>
      <vt:lpstr>Income Statement Schedule</vt:lpstr>
      <vt:lpstr>Table211 (Page 165)</vt:lpstr>
      <vt:lpstr>Cash Flow Schedule</vt:lpstr>
      <vt:lpstr>Reconciliation of Net Earnings</vt:lpstr>
      <vt:lpstr>Correl Test</vt:lpstr>
      <vt:lpstr>Page165</vt:lpstr>
      <vt:lpstr>Page166</vt:lpstr>
      <vt:lpstr>Page164</vt:lpstr>
      <vt:lpstr>Page163</vt:lpstr>
      <vt:lpstr>Page167</vt:lpstr>
      <vt:lpstr>Table185 (Page 153)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Somosa</dc:creator>
  <cp:lastModifiedBy>Johann Somosa</cp:lastModifiedBy>
  <dcterms:created xsi:type="dcterms:W3CDTF">2025-06-19T08:05:57Z</dcterms:created>
  <dcterms:modified xsi:type="dcterms:W3CDTF">2025-07-31T06:14:04Z</dcterms:modified>
</cp:coreProperties>
</file>