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br\Downloads\excel-challenge\"/>
    </mc:Choice>
  </mc:AlternateContent>
  <xr:revisionPtr revIDLastSave="0" documentId="13_ncr:1_{2FB6547B-2ECC-4D8E-96FA-542BB01C2714}" xr6:coauthVersionLast="47" xr6:coauthVersionMax="47" xr10:uidLastSave="{00000000-0000-0000-0000-000000000000}"/>
  <bookViews>
    <workbookView xWindow="21555" yWindow="-2400" windowWidth="26580" windowHeight="14340" tabRatio="605" firstSheet="2" activeTab="3" xr2:uid="{00000000-000D-0000-FFFF-FFFF00000000}"/>
  </bookViews>
  <sheets>
    <sheet name="Crowdfunding" sheetId="1" r:id="rId1"/>
    <sheet name="Outcome per Category" sheetId="5" r:id="rId2"/>
    <sheet name="Outcome per sub-category" sheetId="6" r:id="rId3"/>
    <sheet name="Outcome over time" sheetId="9" r:id="rId4"/>
    <sheet name="Crowdfunding Goal Analysis" sheetId="10" r:id="rId5"/>
    <sheet name="Statistical Analysis" sheetId="11" r:id="rId6"/>
  </sheets>
  <definedNames>
    <definedName name="_xlnm._FilterDatabase" localSheetId="5" hidden="1">'Statistical Analysis'!$A$1:$E$1001</definedName>
    <definedName name="backers_count">Crowdfunding!$I:$I,Crowdfunding!$I$1</definedName>
    <definedName name="pledged">Crowdfunding!$E:$E,Crowdfunding!$E$1,Crowdfunding!$E$1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O3" i="1"/>
  <c r="N3" i="1"/>
  <c r="N2" i="1"/>
  <c r="O2" i="1"/>
  <c r="I7" i="11"/>
  <c r="H7" i="11"/>
  <c r="I6" i="11"/>
  <c r="H6" i="11"/>
  <c r="I5" i="11"/>
  <c r="H5" i="11"/>
  <c r="I4" i="11"/>
  <c r="H4" i="11"/>
  <c r="I3" i="11"/>
  <c r="H3" i="11"/>
  <c r="I2" i="11"/>
  <c r="H2" i="11"/>
  <c r="E2" i="11" a="1"/>
  <c r="E2" i="11" s="1"/>
  <c r="B2" i="11" a="1"/>
  <c r="B2" i="11" s="1"/>
  <c r="D2" i="11" a="1"/>
  <c r="D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3" i="10" l="1"/>
  <c r="E7" i="10"/>
  <c r="F7" i="10" s="1"/>
  <c r="E11" i="10"/>
  <c r="G11" i="10" s="1"/>
  <c r="F3" i="10"/>
  <c r="G3" i="10"/>
  <c r="G7" i="10"/>
  <c r="H3" i="10"/>
  <c r="H11" i="10"/>
  <c r="G4" i="10"/>
  <c r="H7" i="10"/>
  <c r="E2" i="10"/>
  <c r="F2" i="10" s="1"/>
  <c r="E10" i="10"/>
  <c r="G10" i="10" s="1"/>
  <c r="E6" i="10"/>
  <c r="G6" i="10" s="1"/>
  <c r="E13" i="10"/>
  <c r="H13" i="10" s="1"/>
  <c r="E9" i="10"/>
  <c r="G9" i="10" s="1"/>
  <c r="E5" i="10"/>
  <c r="F5" i="10" s="1"/>
  <c r="E12" i="10"/>
  <c r="H12" i="10" s="1"/>
  <c r="E8" i="10"/>
  <c r="G8" i="10" s="1"/>
  <c r="E4" i="10"/>
  <c r="F4" i="10" s="1"/>
  <c r="F11" i="10" l="1"/>
  <c r="H4" i="10"/>
  <c r="G5" i="10"/>
  <c r="F9" i="10"/>
  <c r="H10" i="10"/>
  <c r="H5" i="10"/>
  <c r="H9" i="10"/>
  <c r="H2" i="10"/>
  <c r="H8" i="10"/>
  <c r="F6" i="10"/>
  <c r="F13" i="10"/>
  <c r="H6" i="10"/>
  <c r="F12" i="10"/>
  <c r="F10" i="10"/>
  <c r="G13" i="10"/>
  <c r="G2" i="10"/>
  <c r="G12" i="10"/>
  <c r="F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<sst xmlns="http://schemas.openxmlformats.org/spreadsheetml/2006/main" count="8150" uniqueCount="2115">
  <si>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</si>
  <si>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</si>
  <si>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</si>
  <si>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</si>
  <si>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</si>
  <si>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</si>
  <si>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</si>
  <si>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</si>
  <si>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</si>
  <si>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</si>
  <si>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</si>
  <si>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</si>
  <si>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</si>
  <si>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</si>
  <si>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</si>
  <si>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</si>
  <si>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</si>
  <si>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</si>
  <si>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</si>
  <si>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</si>
  <si>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</si>
  <si>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</si>
  <si>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</si>
  <si>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</si>
  <si>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</si>
  <si>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</si>
  <si>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</si>
  <si>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</si>
  <si>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</si>
  <si>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</si>
  <si>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</si>
  <si>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</si>
  <si>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</si>
  <si>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</si>
  <si>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</si>
  <si>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</si>
  <si>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</si>
  <si>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</si>
  <si>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</si>
  <si>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</si>
  <si>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</si>
  <si>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</si>
  <si>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</si>
  <si>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</si>
  <si>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</si>
  <si>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</si>
  <si>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</si>
  <si>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</si>
  <si>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</si>
  <si>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</si>
  <si>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</si>
  <si>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</si>
  <si>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</si>
  <si>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</si>
  <si>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</si>
  <si>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</si>
  <si>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</si>
  <si>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</si>
  <si>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</si>
  <si>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</si>
  <si>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</si>
  <si>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</si>
  <si>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</si>
  <si>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</si>
  <si>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</si>
  <si>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</si>
  <si>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</si>
  <si>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</si>
  <si>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</si>
  <si>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</si>
  <si>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</si>
  <si>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</si>
  <si>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</si>
  <si>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</si>
  <si>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</si>
  <si>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</si>
  <si>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</si>
  <si>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</si>
  <si>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</si>
  <si>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</si>
  <si>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</si>
  <si>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</si>
  <si>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</si>
  <si>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</si>
  <si>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</si>
  <si>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</si>
  <si>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</si>
  <si>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</si>
  <si>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</si>
  <si>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</si>
  <si>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</si>
  <si>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</si>
  <si>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</si>
  <si>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</si>
  <si>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</si>
  <si>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</si>
  <si>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</si>
  <si>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</si>
  <si>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</si>
  <si>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</si>
  <si>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</si>
  <si>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</si>
  <si>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</si>
  <si>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</si>
  <si>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</si>
  <si>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</si>
  <si>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</si>
  <si>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</si>
  <si>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</si>
  <si>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</si>
  <si>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</si>
  <si>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</si>
  <si>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</si>
  <si>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</si>
  <si>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</si>
  <si>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</si>
  <si>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</si>
  <si>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</si>
  <si>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</si>
  <si>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</si>
  <si>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</si>
  <si>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</si>
  <si>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</si>
  <si>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</si>
  <si>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</si>
  <si>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</si>
  <si>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</si>
  <si>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</si>
  <si>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</si>
  <si>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</si>
  <si>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</si>
  <si>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</si>
  <si>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</si>
  <si>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</si>
  <si>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</si>
  <si>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</si>
  <si>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</si>
  <si>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</si>
  <si>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</si>
  <si>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</si>
  <si>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</si>
  <si>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</si>
  <si>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</si>
  <si>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</si>
  <si>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</si>
  <si>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</si>
  <si>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</si>
  <si>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</si>
  <si>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</si>
  <si>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</si>
  <si>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</si>
  <si>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</si>
  <si>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</si>
  <si>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</si>
  <si>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</si>
  <si>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</si>
  <si>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</si>
  <si>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</si>
  <si>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</si>
  <si>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</si>
  <si>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</si>
  <si>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</si>
  <si>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</si>
  <si>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</si>
  <si>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</si>
  <si>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</si>
  <si>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</si>
  <si>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</si>
  <si>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</si>
  <si>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</si>
  <si>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</si>
  <si>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</si>
  <si>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</si>
  <si>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</si>
  <si>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</si>
  <si>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</si>
  <si>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</si>
  <si>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</si>
  <si>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</si>
  <si>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</si>
  <si>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</si>
  <si>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</si>
  <si>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</si>
  <si>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</si>
  <si>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</si>
  <si>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</si>
  <si>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</si>
  <si>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</si>
  <si>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</si>
  <si>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</si>
  <si>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</si>
  <si>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</si>
  <si>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</si>
  <si>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</si>
  <si>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</si>
  <si>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</si>
  <si>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</si>
  <si>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</si>
  <si>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</si>
  <si>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</si>
  <si>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</si>
  <si>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</si>
  <si>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</si>
  <si>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</si>
  <si>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</si>
  <si>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</si>
  <si>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</si>
  <si>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</si>
  <si>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</si>
  <si>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</si>
  <si>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</si>
  <si>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</si>
  <si>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</si>
  <si>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</si>
  <si>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</si>
  <si>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</si>
  <si>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</si>
  <si>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</si>
  <si>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</si>
  <si>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</si>
  <si>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</si>
  <si>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</si>
  <si>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</si>
  <si>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</si>
  <si>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</si>
  <si>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</si>
  <si>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</si>
  <si>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</si>
  <si>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</si>
  <si>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</si>
  <si>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</si>
  <si>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</si>
  <si>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</si>
  <si>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</si>
  <si>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</si>
  <si>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</si>
  <si>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</si>
  <si>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</si>
  <si>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</si>
  <si>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</si>
  <si>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</si>
  <si>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</si>
  <si>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</si>
  <si>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</si>
  <si>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</si>
  <si>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</si>
  <si>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</si>
  <si>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</si>
  <si>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</si>
  <si>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</si>
  <si>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</si>
  <si>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</si>
  <si>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</si>
  <si>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</si>
  <si>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</si>
  <si>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</si>
  <si>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</si>
  <si>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</si>
  <si>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</si>
  <si>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</si>
  <si>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</si>
  <si>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</si>
  <si>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</si>
  <si>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</si>
  <si>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</si>
  <si>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</si>
  <si>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</si>
  <si>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</si>
  <si>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</si>
  <si>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</si>
  <si>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</si>
  <si>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</si>
  <si>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</si>
  <si>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</si>
  <si>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</si>
  <si>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</si>
  <si>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</si>
  <si>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</si>
  <si>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</si>
  <si>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</si>
  <si>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</si>
  <si>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</si>
  <si>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</si>
  <si>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</si>
  <si>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</si>
  <si>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</si>
  <si>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</si>
  <si>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</si>
  <si>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</si>
  <si>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</si>
  <si>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</si>
  <si>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</si>
  <si>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</si>
  <si>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</si>
  <si>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</si>
  <si>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</si>
  <si>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</si>
  <si>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</si>
  <si>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</si>
  <si>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</si>
  <si>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</si>
  <si>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</si>
  <si>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</si>
  <si>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</si>
  <si>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</si>
  <si>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</si>
  <si>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</si>
  <si>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</si>
  <si>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</si>
  <si>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</si>
  <si>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</si>
  <si>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</si>
  <si>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</si>
  <si>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</si>
  <si>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</si>
  <si>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</si>
  <si>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</si>
  <si>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</si>
  <si>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</si>
  <si>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</si>
  <si>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</si>
  <si>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</si>
  <si>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</si>
  <si>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</si>
  <si>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</si>
  <si>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</si>
  <si>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</si>
  <si>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</si>
  <si>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</si>
  <si>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</si>
  <si>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</si>
  <si>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</si>
  <si>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</si>
  <si>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</si>
  <si>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</si>
  <si>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</si>
  <si>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</si>
  <si>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</si>
  <si>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</si>
  <si>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</si>
  <si>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</si>
  <si>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</si>
  <si>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</si>
  <si>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</si>
  <si>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</si>
  <si>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</si>
  <si>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</si>
  <si>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</si>
  <si>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</si>
  <si>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</si>
  <si>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</si>
  <si>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</si>
  <si>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</si>
  <si>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</si>
  <si>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</si>
  <si>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</si>
  <si>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</si>
  <si>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</si>
  <si>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</si>
  <si>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</si>
  <si>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</si>
  <si>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</si>
  <si>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</si>
  <si>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</si>
  <si>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</si>
  <si>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</si>
  <si>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</si>
  <si>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</si>
  <si>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</si>
  <si>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</si>
  <si>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</si>
  <si>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</si>
  <si>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</si>
  <si>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</si>
  <si>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</si>
  <si>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</si>
  <si>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</si>
  <si>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</si>
  <si>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</si>
  <si>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</si>
  <si>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</si>
  <si>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</si>
  <si>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</si>
  <si>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</si>
  <si>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</si>
  <si>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</si>
  <si>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</si>
  <si>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</si>
  <si>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</si>
  <si>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</si>
  <si>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</si>
  <si>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</si>
  <si>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</si>
  <si>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</si>
  <si>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</si>
  <si>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</si>
  <si>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</si>
  <si>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</si>
  <si>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</si>
  <si>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</si>
  <si>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</si>
  <si>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</si>
  <si>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</si>
  <si>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</si>
  <si>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</si>
  <si>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</si>
  <si>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</si>
  <si>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</si>
  <si>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</si>
  <si>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</si>
  <si>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</si>
  <si>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</si>
  <si>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</si>
  <si>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</si>
  <si>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</si>
  <si>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</si>
  <si>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</si>
  <si>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</si>
  <si>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</si>
  <si>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</si>
  <si>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</si>
  <si>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</si>
  <si>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</si>
  <si>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</si>
  <si>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</si>
  <si>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</si>
  <si>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</si>
  <si>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</si>
  <si>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</si>
  <si>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</si>
  <si>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</si>
  <si>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</si>
  <si>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</si>
  <si>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</si>
  <si>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</si>
  <si>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</si>
  <si>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</si>
  <si>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</si>
  <si>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</si>
  <si>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</si>
  <si>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</si>
  <si>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</si>
  <si>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</si>
  <si>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</si>
  <si>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</si>
  <si>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</si>
  <si>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</si>
  <si>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</si>
  <si>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</si>
  <si>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</si>
  <si>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</si>
  <si>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</si>
  <si>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</si>
  <si>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</si>
  <si>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</si>
  <si>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</si>
  <si>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</si>
  <si>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</si>
  <si>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</si>
  <si>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</si>
  <si>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</si>
  <si>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</si>
  <si>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</si>
  <si>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</si>
  <si>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</si>
  <si>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</si>
  <si>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</si>
  <si>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</si>
  <si>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</si>
  <si>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</si>
  <si>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</si>
  <si>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</si>
  <si>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</si>
  <si>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</si>
  <si>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</si>
  <si>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</si>
  <si>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</si>
  <si>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</si>
  <si>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</si>
  <si>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</si>
  <si>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</si>
  <si>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</si>
  <si>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</si>
  <si>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</si>
  <si>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</si>
  <si>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</si>
  <si>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</si>
  <si>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</si>
  <si>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</si>
  <si>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</si>
  <si>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</si>
  <si>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</si>
  <si>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</si>
  <si>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</si>
  <si>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</si>
  <si>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</si>
  <si>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</si>
  <si>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</si>
  <si>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</si>
  <si>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</si>
  <si>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</si>
  <si>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</si>
  <si>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</si>
  <si>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</si>
  <si>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</si>
  <si>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</si>
  <si>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</si>
  <si>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</si>
  <si>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</si>
  <si>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</si>
  <si>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</si>
  <si>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</si>
  <si>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</si>
  <si>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</si>
  <si>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</si>
  <si>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</si>
  <si>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</si>
  <si>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</si>
  <si>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</si>
  <si>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</si>
  <si>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</si>
  <si>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</si>
  <si>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</si>
  <si>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</si>
  <si>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</si>
  <si>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</si>
  <si>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</si>
  <si>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</si>
  <si>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</si>
  <si>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</si>
  <si>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</si>
  <si>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</si>
  <si>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</si>
  <si>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</si>
  <si>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</si>
  <si>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</si>
  <si>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</si>
  <si>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</si>
  <si>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</si>
  <si>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</si>
  <si>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</si>
  <si>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</si>
  <si>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</si>
  <si>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</si>
  <si>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</si>
  <si>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</si>
  <si>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</si>
  <si>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</si>
  <si>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</si>
  <si>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</si>
  <si>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</si>
  <si>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</si>
  <si>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</si>
  <si>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</si>
  <si>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</si>
  <si>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</si>
  <si>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</si>
  <si>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</si>
  <si>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</si>
  <si>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</si>
  <si>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</si>
  <si>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</si>
  <si>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</si>
  <si>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</si>
  <si>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</si>
  <si>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</si>
  <si>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</si>
  <si>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</si>
  <si>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</si>
  <si>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</si>
  <si>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</si>
  <si>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</si>
  <si>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</si>
  <si>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</si>
  <si>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</si>
  <si>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</si>
  <si>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</si>
  <si>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</si>
  <si>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</si>
  <si>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</si>
  <si>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</si>
  <si>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</si>
  <si>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</si>
  <si>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</si>
  <si>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</si>
  <si>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</si>
  <si>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</si>
  <si>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</si>
  <si>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</si>
  <si>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</si>
  <si>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</si>
  <si>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</si>
  <si>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</si>
  <si>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</si>
  <si>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</si>
  <si>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</si>
  <si>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</si>
  <si>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</si>
  <si>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</si>
  <si>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</si>
  <si>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</si>
  <si>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</si>
  <si>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</si>
  <si>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</si>
  <si>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</si>
  <si>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</si>
  <si>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</si>
  <si>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</si>
  <si>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</si>
  <si>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</si>
  <si>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</si>
  <si>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</si>
  <si>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</si>
  <si>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</si>
  <si>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</si>
  <si>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</si>
  <si>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</si>
  <si>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</si>
  <si>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</si>
  <si>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</si>
  <si>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</si>
  <si>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</si>
  <si>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</si>
  <si>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</si>
  <si>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</si>
  <si>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</si>
  <si>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</si>
  <si>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</si>
  <si>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</si>
  <si>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</si>
  <si>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</si>
  <si>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</si>
  <si>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</si>
  <si>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</si>
  <si>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</si>
  <si>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</si>
  <si>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</si>
  <si>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</si>
  <si>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</si>
  <si>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</si>
  <si>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</si>
  <si>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</si>
  <si>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</si>
  <si>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</si>
  <si>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</si>
  <si>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</si>
  <si>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</si>
  <si>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</si>
  <si>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</si>
  <si>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</si>
  <si>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</si>
  <si>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</si>
  <si>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</si>
  <si>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</si>
  <si>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</si>
  <si>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</si>
  <si>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</si>
  <si>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</si>
  <si>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</si>
  <si>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</si>
  <si>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</si>
  <si>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</si>
  <si>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</si>
  <si>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</si>
  <si>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</si>
  <si>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</si>
  <si>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</si>
  <si>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</si>
  <si>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</si>
  <si>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</si>
  <si>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</si>
  <si>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</si>
  <si>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</si>
  <si>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</si>
  <si>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</si>
  <si>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</si>
  <si>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</si>
  <si>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</si>
  <si>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</si>
  <si>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</si>
  <si>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</si>
  <si>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</si>
  <si>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</si>
  <si>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</si>
  <si>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</si>
  <si>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</si>
  <si>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</si>
  <si>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</si>
  <si>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</si>
  <si>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</si>
  <si>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</si>
  <si>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</si>
  <si>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</si>
  <si>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</si>
  <si>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</si>
  <si>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</si>
  <si>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</si>
  <si>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</si>
  <si>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</si>
  <si>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</si>
  <si>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</si>
  <si>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</si>
  <si>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</si>
  <si>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</si>
  <si>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</si>
  <si>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</si>
  <si>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</si>
  <si>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</si>
  <si>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</si>
  <si>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</si>
  <si>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</si>
  <si>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</si>
  <si>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</si>
  <si>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</si>
  <si>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</si>
  <si>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</si>
  <si>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</si>
  <si>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</si>
  <si>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</si>
  <si>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</si>
  <si>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</si>
  <si>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</si>
  <si>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</si>
  <si>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</si>
  <si>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</si>
  <si>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</si>
  <si>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</si>
  <si>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</si>
  <si>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</si>
  <si>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</si>
  <si>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</si>
  <si>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</si>
  <si>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</si>
  <si>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</si>
  <si>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</si>
  <si>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</si>
  <si>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</si>
  <si>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</si>
  <si>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</si>
  <si>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</si>
  <si>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</si>
  <si>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</si>
  <si>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</si>
  <si>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</si>
  <si>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</si>
  <si>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</si>
  <si>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</si>
  <si>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</si>
  <si>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</si>
  <si>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</si>
  <si>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</si>
  <si>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</si>
  <si>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</si>
  <si>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</si>
  <si>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</si>
  <si>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</si>
  <si>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</si>
  <si>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</si>
  <si>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</si>
  <si>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</si>
  <si>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</si>
  <si>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</si>
  <si>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</si>
  <si>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</si>
  <si>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</si>
  <si>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</si>
  <si>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</si>
  <si>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</si>
  <si>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</si>
  <si>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</si>
  <si>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</si>
  <si>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</si>
  <si>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</si>
  <si>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</si>
  <si>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</si>
  <si>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</si>
  <si>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</si>
  <si>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</si>
  <si>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</si>
  <si>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</si>
  <si>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</si>
  <si>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</si>
  <si>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</si>
  <si>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</si>
  <si>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</si>
  <si>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</si>
  <si>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</si>
  <si>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</si>
  <si>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</si>
  <si>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</si>
  <si>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</si>
  <si>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</si>
  <si>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</si>
  <si>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</si>
  <si>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</si>
  <si>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</si>
  <si>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</si>
  <si>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</si>
  <si>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</si>
  <si>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</si>
  <si>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</si>
  <si>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</si>
  <si>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</si>
  <si>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</si>
  <si>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</si>
  <si>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</si>
  <si>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</si>
  <si>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</si>
  <si>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</si>
  <si>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</si>
  <si>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</si>
  <si>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</si>
  <si>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</si>
  <si>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</si>
  <si>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</si>
  <si>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</si>
  <si>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</si>
  <si>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</si>
  <si>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</si>
  <si>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</si>
  <si>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</si>
  <si>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</si>
  <si>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</si>
  <si>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</si>
  <si>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</si>
  <si>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</si>
  <si>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</si>
  <si>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</si>
  <si>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</si>
  <si>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</si>
  <si>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</si>
  <si>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</si>
  <si>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</si>
  <si>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</si>
  <si>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</si>
  <si>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</si>
  <si>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</si>
  <si>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</si>
  <si>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</si>
  <si>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</si>
  <si>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</si>
  <si>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</si>
  <si>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</si>
  <si>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</si>
  <si>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</si>
  <si>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</si>
  <si>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</si>
  <si>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</si>
  <si>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</si>
  <si>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</si>
  <si>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</si>
  <si>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</si>
  <si>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</si>
  <si>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</si>
  <si>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</si>
  <si>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</si>
  <si>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</si>
  <si>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</si>
  <si>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</si>
  <si>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</si>
  <si>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</si>
  <si>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</si>
  <si>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</si>
  <si>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</si>
  <si>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</si>
  <si>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</si>
  <si>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</si>
  <si>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</si>
  <si>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</si>
  <si>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</si>
  <si>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</si>
  <si>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</si>
  <si>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</si>
  <si>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</si>
  <si>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</si>
  <si>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</si>
  <si>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</si>
  <si>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</si>
  <si>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</si>
  <si>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</si>
  <si>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</si>
  <si>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</si>
  <si>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</si>
  <si>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</si>
  <si>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</si>
  <si>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</si>
  <si>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</si>
  <si>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</si>
  <si>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</si>
  <si>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</si>
  <si>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</si>
  <si>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</si>
  <si>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</si>
  <si>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</si>
  <si>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</si>
  <si>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</si>
  <si>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</si>
  <si>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</si>
  <si>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</si>
  <si>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</si>
  <si>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</si>
  <si>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</si>
  <si>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</si>
  <si>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</si>
  <si>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</si>
  <si>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</si>
  <si>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</si>
  <si>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</si>
  <si>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</si>
  <si>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</si>
  <si>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</si>
  <si>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</si>
  <si>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</si>
  <si>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</si>
  <si>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</si>
  <si>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</si>
  <si>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</si>
  <si>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</si>
  <si>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</si>
  <si>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</si>
  <si>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</si>
  <si>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</si>
  <si>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</si>
  <si>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</si>
  <si>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</si>
  <si>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</si>
  <si>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</si>
  <si>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</si>
  <si>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</si>
  <si>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</si>
  <si>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</si>
  <si>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</si>
  <si>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</si>
  <si>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</si>
  <si>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</si>
  <si>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</si>
  <si>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</si>
  <si>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</si>
  <si>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</si>
  <si>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</si>
  <si>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</si>
  <si>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</si>
  <si>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</si>
  <si>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</si>
  <si>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</si>
  <si>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</si>
  <si>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</si>
  <si>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</si>
  <si>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</si>
  <si>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</si>
  <si>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</si>
  <si>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</si>
  <si>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</si>
  <si>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</si>
  <si>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</si>
  <si>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</si>
  <si>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</si>
  <si>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</si>
  <si>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</si>
  <si>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</si>
  <si>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</si>
  <si>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</si>
  <si>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</si>
  <si>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</si>
  <si>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</si>
  <si>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</si>
  <si>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</si>
  <si>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</si>
  <si>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</si>
  <si>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</si>
  <si>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</si>
  <si>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</si>
  <si>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</si>
  <si>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</si>
  <si>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</si>
  <si>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</si>
  <si>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</si>
  <si>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</si>
  <si>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</si>
  <si>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</si>
  <si>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</si>
  <si>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</si>
  <si>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</si>
  <si>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</si>
  <si>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</si>
  <si>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</si>
  <si>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</si>
  <si>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</si>
  <si>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</si>
  <si>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</si>
  <si>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</si>
  <si>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</si>
  <si>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</si>
  <si>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</si>
  <si>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</si>
  <si>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</si>
  <si>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</si>
  <si>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</si>
  <si>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</si>
  <si>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</si>
  <si>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</si>
  <si>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</si>
  <si>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</si>
  <si>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</si>
  <si>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</si>
  <si>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</si>
  <si>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</si>
  <si>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</si>
  <si>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</si>
  <si>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</si>
  <si>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</si>
  <si>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</si>
  <si>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</si>
  <si>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</si>
  <si>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</si>
  <si>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</si>
  <si>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</si>
  <si>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</si>
  <si>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</si>
  <si>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</si>
  <si>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</si>
  <si>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</si>
  <si>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</si>
  <si>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</si>
  <si>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</si>
  <si>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</si>
  <si>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</si>
  <si>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</si>
  <si>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</si>
  <si>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</si>
  <si>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</si>
  <si>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</si>
  <si>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</si>
  <si>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</si>
  <si>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</si>
  <si>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</si>
  <si>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</si>
  <si>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</si>
  <si>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</si>
  <si>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</si>
  <si>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</si>
  <si>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</si>
  <si>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</si>
  <si>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</si>
  <si>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</si>
  <si>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</si>
  <si>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</si>
  <si>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</si>
  <si>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</si>
  <si>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</si>
  <si>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</si>
  <si>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</si>
  <si>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</si>
  <si>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</si>
  <si>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</si>
  <si>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</si>
  <si>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</si>
  <si>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</si>
  <si>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</si>
  <si>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</si>
  <si>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</si>
  <si>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</si>
  <si>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</si>
  <si>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</si>
  <si>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</si>
  <si>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</si>
  <si>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</si>
  <si>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</si>
  <si>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</si>
  <si>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</si>
  <si>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</si>
  <si>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</si>
  <si>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</si>
  <si>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</si>
  <si>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</si>
  <si>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</si>
  <si>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</si>
  <si>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</si>
  <si>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</si>
  <si>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</si>
  <si>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</si>
  <si>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</si>
  <si>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</si>
  <si>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</si>
  <si>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</si>
  <si>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</si>
  <si>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</si>
  <si>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</si>
  <si>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</si>
  <si>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</si>
  <si>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</si>
  <si>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</si>
  <si>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</si>
  <si>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</si>
  <si>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</si>
  <si>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</si>
  <si>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</si>
  <si>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</si>
  <si>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</si>
  <si>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</si>
  <si>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</si>
  <si>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</si>
  <si>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</si>
  <si>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</si>
  <si>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</si>
  <si>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</si>
  <si>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</si>
  <si>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</si>
  <si>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</si>
  <si>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</si>
  <si>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</si>
  <si>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</si>
  <si>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</si>
  <si>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</si>
  <si>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</si>
  <si>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</si>
  <si>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</si>
  <si>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</si>
  <si>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</si>
  <si>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</si>
  <si>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</si>
  <si>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</si>
  <si>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</si>
  <si>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</si>
  <si>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</si>
  <si>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</si>
  <si>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</si>
  <si>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</si>
  <si>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</si>
  <si>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</si>
  <si>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</si>
  <si>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</si>
  <si>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</si>
  <si>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</si>
  <si>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</si>
  <si>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</si>
  <si>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</si>
  <si>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</si>
  <si>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</si>
  <si>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</si>
  <si>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</si>
  <si>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</si>
  <si>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</si>
  <si>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</si>
  <si>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</si>
  <si>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</si>
  <si>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</si>
  <si>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</si>
  <si>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</si>
  <si>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</si>
  <si>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</si>
  <si>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</si>
  <si>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</si>
  <si>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</si>
  <si>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</si>
  <si>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</si>
  <si>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</si>
  <si>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</si>
  <si>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</si>
  <si>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</si>
  <si>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</si>
  <si>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</si>
  <si>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</si>
  <si>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</si>
  <si>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</si>
  <si>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</si>
  <si>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</si>
  <si>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</si>
  <si>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</si>
  <si>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</si>
  <si>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</si>
  <si>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</si>
  <si>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</si>
  <si>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</si>
  <si>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</si>
  <si>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</si>
  <si>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</si>
  <si>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</si>
  <si>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</si>
  <si>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</si>
  <si>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</si>
  <si>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</si>
  <si>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</si>
  <si>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</si>
  <si>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</si>
  <si>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</si>
  <si>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</si>
  <si>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</si>
  <si>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</si>
  <si>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</si>
  <si>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</si>
  <si>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</si>
  <si>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</si>
  <si>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</si>
  <si>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</si>
  <si>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</si>
  <si>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</si>
  <si>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</si>
  <si>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</si>
  <si>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</si>
  <si>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</si>
  <si>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</si>
  <si>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</si>
  <si>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</si>
  <si>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</si>
  <si>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</si>
  <si>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</si>
  <si>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</si>
  <si>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</si>
  <si>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</si>
  <si>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</si>
  <si>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</si>
  <si>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</si>
  <si>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</si>
  <si>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</si>
  <si>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</si>
  <si>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</si>
  <si>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</si>
  <si>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</si>
  <si>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</si>
  <si>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</si>
  <si>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</si>
  <si>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</si>
  <si>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</si>
  <si>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</si>
  <si>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</si>
  <si>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</si>
  <si>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</si>
  <si>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</si>
  <si>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</si>
  <si>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</si>
  <si>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</si>
  <si>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</si>
  <si>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</si>
  <si>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</si>
  <si>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</si>
  <si>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</si>
  <si>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</si>
  <si>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</si>
  <si>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</si>
  <si>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</si>
  <si>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</si>
  <si>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</si>
  <si>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</si>
  <si>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</si>
  <si>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</si>
  <si>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</si>
  <si>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</si>
  <si>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</si>
  <si>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</si>
  <si>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</si>
  <si>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</si>
  <si>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</si>
  <si>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</si>
  <si>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</si>
  <si>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</si>
  <si>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</si>
  <si>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</si>
  <si>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</si>
  <si>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</si>
  <si>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</si>
  <si>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</si>
  <si>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</si>
  <si>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</si>
  <si>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</si>
  <si>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</si>
  <si>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</si>
  <si>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</si>
  <si>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</si>
  <si>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</si>
  <si>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</si>
  <si>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</si>
  <si>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</si>
  <si>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</si>
  <si>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</si>
  <si>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</si>
  <si>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</si>
  <si>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</si>
  <si>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</si>
  <si>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</si>
  <si>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</si>
  <si>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</si>
  <si>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</si>
  <si>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</si>
  <si>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</si>
  <si>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</si>
  <si>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</si>
  <si>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</si>
  <si>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</si>
  <si>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</si>
  <si>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</si>
  <si>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</si>
  <si>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</si>
  <si>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</si>
  <si>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</si>
  <si>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</si>
  <si>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</si>
  <si>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</si>
  <si>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</si>
  <si>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</si>
  <si>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</si>
  <si>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</si>
  <si>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</si>
  <si>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</si>
  <si>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</si>
  <si>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</si>
  <si>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</si>
  <si>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</si>
  <si>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</si>
  <si>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</si>
  <si>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</si>
  <si>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</si>
  <si>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</si>
  <si>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</si>
  <si>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</si>
  <si>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</si>
  <si>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</si>
  <si>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</si>
  <si>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</si>
  <si>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</si>
  <si>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</si>
  <si>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</si>
  <si>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</si>
  <si>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</si>
  <si>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</si>
  <si>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</si>
  <si>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</si>
  <si>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</si>
  <si>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</si>
  <si>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</si>
  <si>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</si>
  <si>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</si>
  <si>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</si>
  <si>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</si>
  <si>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</si>
  <si>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</si>
  <si>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</si>
  <si>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</si>
  <si>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</si>
  <si>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</si>
  <si>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</si>
  <si>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</si>
  <si>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</si>
  <si>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</si>
  <si>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</si>
  <si>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</si>
  <si>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</si>
  <si>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</si>
  <si>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</si>
  <si>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</si>
  <si>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</si>
  <si>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</si>
  <si>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</si>
  <si>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</si>
  <si>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</si>
  <si>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</si>
  <si>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</si>
  <si>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</si>
  <si>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</si>
  <si>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</si>
  <si>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</si>
  <si>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</si>
  <si>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</si>
  <si>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</si>
  <si>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</si>
  <si>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</si>
  <si>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</si>
  <si>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</si>
  <si>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</si>
  <si>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</si>
  <si>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</si>
  <si>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</si>
  <si>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</si>
  <si>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</si>
  <si>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</si>
  <si>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</si>
  <si>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</si>
  <si>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</si>
  <si>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</si>
  <si>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</si>
  <si>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</si>
  <si>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</si>
  <si>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</si>
  <si>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</si>
  <si>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</si>
  <si>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</si>
  <si>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</si>
  <si>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</si>
  <si>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</si>
  <si>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</si>
  <si>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</si>
  <si>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</si>
  <si>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</si>
  <si>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</si>
  <si>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</si>
  <si>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</si>
  <si>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</si>
  <si>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</si>
  <si>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</si>
  <si>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</si>
  <si>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</si>
  <si>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</si>
  <si>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</si>
  <si>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</si>
  <si>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</si>
  <si>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</si>
  <si>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</si>
  <si>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</si>
  <si>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</si>
  <si>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</si>
  <si>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</si>
  <si>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</si>
  <si>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</si>
  <si>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</si>
  <si>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</si>
  <si>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</si>
  <si>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</si>
  <si>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</si>
  <si>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</si>
  <si>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</si>
  <si>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</si>
  <si>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</si>
  <si>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</si>
  <si>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</si>
  <si>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</si>
  <si>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</si>
  <si>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</si>
  <si>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</si>
  <si>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</si>
  <si>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</si>
  <si>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</si>
  <si>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</si>
  <si>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</si>
  <si>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</si>
  <si>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</si>
  <si>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</si>
  <si>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</si>
  <si>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</si>
  <si>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</si>
  <si>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</si>
  <si>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</si>
  <si>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</si>
  <si>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</si>
  <si>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</si>
  <si>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</si>
  <si>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</si>
  <si>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</si>
  <si>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</si>
  <si>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</si>
  <si>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</si>
  <si>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</si>
  <si>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</si>
  <si>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</si>
  <si>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</si>
  <si>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</si>
  <si>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</si>
  <si>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</si>
  <si>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</si>
  <si>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</si>
  <si>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</si>
  <si>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</si>
  <si>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</si>
  <si>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</si>
  <si>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</si>
  <si>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</si>
  <si>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</si>
  <si>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</si>
  <si>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</si>
  <si>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</si>
  <si>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</si>
  <si>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</si>
  <si>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</si>
  <si>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</si>
  <si>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</si>
  <si>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</si>
  <si>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</si>
  <si>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</si>
  <si>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</si>
  <si>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</si>
  <si>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</si>
  <si>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</si>
  <si>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</si>
  <si>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</si>
  <si>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</si>
  <si>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</si>
  <si>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</si>
  <si>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</si>
  <si>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</si>
  <si>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</si>
  <si>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</si>
  <si>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</si>
  <si>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</si>
  <si>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</si>
  <si>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</si>
  <si>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</si>
  <si>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</si>
  <si>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</si>
  <si>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</si>
  <si>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</si>
  <si>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</si>
  <si>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</si>
  <si>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</si>
  <si>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</si>
  <si>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</si>
  <si>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</si>
  <si>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</si>
  <si>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</si>
  <si>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</si>
  <si>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</si>
  <si>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</si>
  <si>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</si>
  <si>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</si>
  <si>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</si>
  <si>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</si>
  <si>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</si>
  <si>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</si>
  <si>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</si>
  <si>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</si>
  <si>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</si>
  <si>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</si>
  <si>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</si>
  <si>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</si>
  <si>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</si>
  <si>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</si>
  <si>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</si>
  <si>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</si>
  <si>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</si>
  <si>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</si>
  <si>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</si>
  <si>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</si>
  <si>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</si>
  <si>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</si>
  <si>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</si>
  <si>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</si>
  <si>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</si>
  <si>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</si>
  <si>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</si>
  <si>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</si>
  <si>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</si>
  <si>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</si>
  <si>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</si>
  <si>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</si>
  <si>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</si>
  <si>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</si>
  <si>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</si>
  <si>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</si>
  <si>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</si>
  <si>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</si>
  <si>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</si>
  <si>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</si>
  <si>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</si>
  <si>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</si>
  <si>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</si>
  <si>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</si>
  <si>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</si>
  <si>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</si>
  <si>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</si>
  <si>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</si>
  <si>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</si>
  <si>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</si>
  <si>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</si>
  <si>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</si>
  <si>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</si>
  <si>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</si>
  <si>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</si>
  <si>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</si>
  <si>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</si>
  <si>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</si>
  <si>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</si>
  <si>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</si>
  <si>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</si>
  <si>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</si>
  <si>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</si>
  <si>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</si>
  <si>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</si>
  <si>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</si>
  <si>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</si>
  <si>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</si>
  <si>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</si>
  <si>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</si>
  <si>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</si>
  <si>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</si>
  <si>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</si>
  <si>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</si>
  <si>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</si>
  <si>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</si>
  <si>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</si>
  <si>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</si>
  <si>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</si>
  <si>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</si>
  <si>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</si>
  <si>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</si>
  <si>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</si>
  <si>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</si>
  <si>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</si>
  <si>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</si>
  <si>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</si>
  <si>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</si>
  <si>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</si>
  <si>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</si>
  <si>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</si>
  <si>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</si>
  <si>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</si>
  <si>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</si>
  <si>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</si>
  <si>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</si>
  <si>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</si>
  <si>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</si>
  <si>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</si>
  <si>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</si>
  <si>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</si>
  <si>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</si>
  <si>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</si>
  <si>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</si>
  <si>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</si>
  <si>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</si>
  <si>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</si>
  <si>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</si>
  <si>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</si>
  <si>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</si>
  <si>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</si>
  <si>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</si>
  <si>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</si>
  <si>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</si>
  <si>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</si>
  <si>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</si>
  <si>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</si>
  <si>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</si>
  <si>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</si>
  <si>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</si>
  <si>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</si>
  <si>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</si>
  <si>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</si>
  <si>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</si>
  <si>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</si>
  <si>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</si>
  <si>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</si>
  <si>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</si>
  <si>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</si>
  <si>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</si>
  <si>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</si>
  <si>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</si>
  <si>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</si>
  <si>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</si>
  <si>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</si>
  <si>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</si>
  <si>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</si>
  <si>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</si>
  <si>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</si>
  <si>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</si>
  <si>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</si>
  <si>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</si>
  <si>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</si>
  <si>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</si>
  <si>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</si>
  <si>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</si>
  <si>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</si>
  <si>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</si>
  <si>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</si>
  <si>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</si>
  <si>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</si>
  <si>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</si>
  <si>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</si>
  <si>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</si>
  <si>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</si>
  <si>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</si>
  <si>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</si>
  <si>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</si>
  <si>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</si>
  <si>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</si>
  <si>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</si>
  <si>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</si>
  <si>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</si>
  <si>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</si>
  <si>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</si>
  <si>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</si>
  <si>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</si>
  <si>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</si>
  <si>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</si>
  <si>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</si>
  <si>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</si>
  <si>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</si>
  <si>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</si>
  <si>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</si>
  <si>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</si>
  <si>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</si>
  <si>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</si>
  <si>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</si>
  <si>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</si>
  <si>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</si>
  <si>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</si>
  <si>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</si>
  <si>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</si>
  <si>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</si>
  <si>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</si>
  <si>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</si>
  <si>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</si>
  <si>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</si>
  <si>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</si>
  <si>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</si>
  <si>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</si>
  <si>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</si>
  <si>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</si>
  <si>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</si>
  <si>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</si>
  <si>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</si>
  <si>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</si>
  <si>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</si>
  <si>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</si>
  <si>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</si>
  <si>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</si>
  <si>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</si>
  <si>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</si>
  <si>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</si>
  <si>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</si>
  <si>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</si>
  <si>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</si>
  <si>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</si>
  <si>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</si>
  <si>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</si>
  <si>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</si>
  <si>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</si>
  <si>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</si>
  <si>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</si>
  <si>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</si>
  <si>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</si>
  <si>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</si>
  <si>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</si>
  <si>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</si>
  <si>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</si>
  <si>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</si>
  <si>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</si>
  <si>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</si>
  <si>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</si>
  <si>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</si>
  <si>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</si>
  <si>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</si>
  <si>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</si>
  <si>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</si>
  <si>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</si>
  <si>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</si>
  <si>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</si>
  <si>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</si>
  <si>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</si>
  <si>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</si>
  <si>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</si>
  <si>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</si>
  <si>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</si>
  <si>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</si>
  <si>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</si>
  <si>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</si>
  <si>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</si>
  <si>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</si>
  <si>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</si>
  <si>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</si>
  <si>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</si>
  <si>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</si>
  <si>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</si>
  <si>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</si>
  <si>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</si>
  <si>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</si>
  <si>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</si>
  <si>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</si>
  <si>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</si>
  <si>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</si>
  <si>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</si>
  <si>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</si>
  <si>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</si>
  <si>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</si>
  <si>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</si>
  <si>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</si>
  <si>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</si>
  <si>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</si>
  <si>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</si>
  <si>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</si>
  <si>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</si>
  <si>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</si>
  <si>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</si>
  <si>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</si>
  <si>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</si>
  <si>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</si>
  <si>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</si>
  <si>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</si>
  <si>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</si>
  <si>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</si>
  <si>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</si>
  <si>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</si>
  <si>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</si>
  <si>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</si>
  <si>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</si>
  <si>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</si>
  <si>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</si>
  <si>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</si>
  <si>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</si>
  <si>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</si>
  <si>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</si>
  <si>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</si>
  <si>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</si>
  <si>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</si>
  <si>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</si>
  <si>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</si>
  <si>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</si>
  <si>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</si>
  <si>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</si>
  <si>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</si>
  <si>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</si>
  <si>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</si>
  <si>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</si>
  <si>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</si>
  <si>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</si>
  <si>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</si>
  <si>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</si>
  <si>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</si>
  <si>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</si>
  <si>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</si>
  <si>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</si>
  <si>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</si>
  <si>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</si>
  <si>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</si>
  <si>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</si>
  <si>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</si>
  <si>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</si>
  <si>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</si>
  <si>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</si>
  <si>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</si>
  <si>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</si>
  <si>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</si>
  <si>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</si>
  <si>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</si>
  <si>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</si>
  <si>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</si>
  <si>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</si>
  <si>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</si>
  <si>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</si>
  <si>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</si>
  <si>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</si>
  <si>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</si>
  <si>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</si>
  <si>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</si>
  <si>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</si>
  <si>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</si>
  <si>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</si>
  <si>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</si>
  <si>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</si>
  <si>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</si>
  <si>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</si>
  <si>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</si>
  <si>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</si>
  <si>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</si>
  <si>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</si>
  <si>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</si>
  <si>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</si>
  <si>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</si>
  <si>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</si>
  <si>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</si>
  <si>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</si>
  <si>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</si>
  <si>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</si>
  <si>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</si>
  <si>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</si>
  <si>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</si>
  <si>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</si>
  <si>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</si>
  <si>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</si>
  <si>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</si>
  <si>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</si>
  <si>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</si>
  <si>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</si>
  <si>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</si>
  <si>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</si>
  <si>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</si>
  <si>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</si>
  <si>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</si>
  <si>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</si>
  <si>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</si>
  <si>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</si>
  <si>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</si>
  <si>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</si>
  <si>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</si>
  <si>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</si>
  <si>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</si>
  <si>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</si>
  <si>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</si>
  <si>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</si>
  <si>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</si>
  <si>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</si>
  <si>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</si>
  <si>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</si>
  <si>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</si>
  <si>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</si>
  <si>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</si>
  <si>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</si>
  <si>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</si>
  <si>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</si>
  <si>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</si>
  <si>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</si>
  <si>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</si>
  <si>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</si>
  <si>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</si>
  <si>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</si>
  <si>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</si>
  <si>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</si>
  <si>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</si>
  <si>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</si>
  <si>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</si>
  <si>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</si>
  <si>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</si>
  <si>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</si>
  <si>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</si>
  <si>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</si>
  <si>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</si>
  <si>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</si>
  <si>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</si>
  <si>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</si>
  <si>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</si>
  <si>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</si>
  <si>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</si>
  <si>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</si>
  <si>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</si>
  <si>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</si>
  <si>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</si>
  <si>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</si>
  <si>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</si>
  <si>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</si>
  <si>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</si>
  <si>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</si>
  <si>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</si>
  <si>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</si>
  <si>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</si>
  <si>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</si>
  <si>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</si>
  <si>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</si>
  <si>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</si>
  <si>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</si>
  <si>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</si>
  <si>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</si>
  <si>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</si>
  <si>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</si>
  <si>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</si>
  <si>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</si>
  <si>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</si>
  <si>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</si>
  <si>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</si>
  <si>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</si>
  <si>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</si>
  <si>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</si>
  <si>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</si>
  <si>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</si>
  <si>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</si>
  <si>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</si>
  <si>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</si>
  <si>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</si>
  <si>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</si>
  <si>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</si>
  <si>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</si>
  <si>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</si>
  <si>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</si>
  <si>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</si>
  <si>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</si>
  <si>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</si>
  <si>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</si>
  <si>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</si>
  <si>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</si>
  <si>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</si>
  <si>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</si>
  <si>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</si>
  <si>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</si>
  <si>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</si>
  <si>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</si>
  <si>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</si>
  <si>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</si>
  <si>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</si>
  <si>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</si>
  <si>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</si>
  <si>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</si>
  <si>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</si>
  <si>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</si>
  <si>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</si>
  <si>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</si>
  <si>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</si>
  <si>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</si>
  <si>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</si>
  <si>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</si>
  <si>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</si>
  <si>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</si>
  <si>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</si>
  <si>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</si>
  <si>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</si>
  <si>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</si>
  <si>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</si>
  <si>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</si>
  <si>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</si>
  <si>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</si>
  <si>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</si>
  <si>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</si>
  <si>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</si>
  <si>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</si>
  <si>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</si>
  <si>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</si>
  <si>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</si>
  <si>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</si>
  <si>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</si>
  <si>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</si>
  <si>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</si>
  <si>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</si>
  <si>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</si>
  <si>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</si>
  <si>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</si>
  <si>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</si>
  <si>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</si>
  <si>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</si>
  <si>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</si>
  <si>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</si>
  <si>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</si>
  <si>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</si>
  <si>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</si>
  <si>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</si>
  <si>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</si>
  <si>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</si>
  <si>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</si>
  <si>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</si>
  <si>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</si>
  <si>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</si>
  <si>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</si>
  <si>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</si>
  <si>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</si>
  <si>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</si>
  <si>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</si>
  <si>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</si>
  <si>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</si>
  <si>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</si>
  <si>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</si>
  <si>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</si>
  <si>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</si>
  <si>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</si>
  <si>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</si>
  <si>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</si>
  <si>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</si>
  <si>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</si>
  <si>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</si>
  <si>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</si>
  <si>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</si>
  <si>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</si>
  <si>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</si>
  <si>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</si>
  <si>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</si>
  <si>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</si>
  <si>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</si>
  <si>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</si>
  <si>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</si>
  <si>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</si>
  <si>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</si>
  <si>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</si>
  <si>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</si>
  <si>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</si>
  <si>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</si>
  <si>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</si>
  <si>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</si>
  <si>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</si>
  <si>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</si>
  <si>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</si>
  <si>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</si>
  <si>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</si>
  <si>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</si>
  <si>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</si>
  <si>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</si>
  <si>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</si>
  <si>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</si>
  <si>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</si>
  <si>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</si>
  <si>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</si>
  <si>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</si>
  <si>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</si>
  <si>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</si>
  <si>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</si>
  <si>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</si>
  <si>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</si>
  <si>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</si>
  <si>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</si>
  <si>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</si>
  <si>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</si>
  <si>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</si>
  <si>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</si>
  <si>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</si>
  <si>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</si>
  <si>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</si>
  <si>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</si>
  <si>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</si>
  <si>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</si>
  <si>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</si>
  <si>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</si>
  <si>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</si>
  <si>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</si>
  <si>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</si>
  <si>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</si>
  <si>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</si>
  <si>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</si>
  <si>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</si>
  <si>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</si>
  <si>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</si>
  <si>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</si>
  <si>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</si>
  <si>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</si>
  <si>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</si>
  <si>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</si>
  <si>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</si>
  <si>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Percentage Successful </t>
  </si>
  <si>
    <t xml:space="preserve">Percentage Failed </t>
  </si>
  <si>
    <t xml:space="preserve">Percentage Canceled </t>
  </si>
  <si>
    <t>mean</t>
  </si>
  <si>
    <t>median</t>
  </si>
  <si>
    <t>minimum</t>
  </si>
  <si>
    <t>maximum</t>
  </si>
  <si>
    <t>variance</t>
  </si>
  <si>
    <t>standard 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</si>
</sst>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34354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7-442E-AAA8-C91C1320DD20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442E-AAA8-C91C1320DD2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7-442E-AAA8-C91C1320DD2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7-442E-AAA8-C91C1320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06255"/>
        <c:axId val="664206735"/>
      </c:barChart>
      <c:catAx>
        <c:axId val="664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735"/>
        <c:crosses val="autoZero"/>
        <c:auto val="1"/>
        <c:lblAlgn val="ctr"/>
        <c:lblOffset val="100"/>
        <c:noMultiLvlLbl val="0"/>
      </c:catAx>
      <c:valAx>
        <c:axId val="6642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9FC-B554-F8C515140A2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3-49FC-B554-F8C515140A2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3-49FC-B554-F8C515140A2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F-4B0B-8F26-B652BA344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189839"/>
        <c:axId val="842338799"/>
      </c:barChart>
      <c:catAx>
        <c:axId val="6061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38799"/>
        <c:crosses val="autoZero"/>
        <c:auto val="1"/>
        <c:lblAlgn val="ctr"/>
        <c:lblOffset val="100"/>
        <c:noMultiLvlLbl val="0"/>
      </c:catAx>
      <c:valAx>
        <c:axId val="8423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over time!PivotTable2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4BE-8976-2D2C299DD55D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A-44BE-8976-2D2C299DD55D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4BE-8976-2D2C299D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51148576"/>
        <c:axId val="351146656"/>
      </c:lineChart>
      <c:catAx>
        <c:axId val="351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6656"/>
        <c:crosses val="autoZero"/>
        <c:auto val="1"/>
        <c:lblAlgn val="ctr"/>
        <c:lblOffset val="100"/>
        <c:noMultiLvlLbl val="0"/>
      </c:catAx>
      <c:valAx>
        <c:axId val="35114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85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Goal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4877369420583673"/>
          <c:y val="3.0871141107361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15598008762824E-2"/>
          <c:y val="2.1795713035870516E-2"/>
          <c:w val="0.93184398208020258"/>
          <c:h val="0.62012935883014619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Analysis'!$C$16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BA-49F8-90BE-6615C5766509}"/>
            </c:ext>
          </c:extLst>
        </c:ser>
        <c:ser>
          <c:idx val="1"/>
          <c:order val="1"/>
          <c:tx>
            <c:strRef>
              <c:f>'Crowdfunding Goal Analysis'!$D$16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BA-49F8-90BE-6615C5766509}"/>
            </c:ext>
          </c:extLst>
        </c:ser>
        <c:ser>
          <c:idx val="2"/>
          <c:order val="2"/>
          <c:tx>
            <c:strRef>
              <c:f>'Crowdfunding Goal Analysis'!$E$16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BA-49F8-90BE-6615C576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7648"/>
        <c:axId val="298694768"/>
      </c:lineChart>
      <c:catAx>
        <c:axId val="2986976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4768"/>
        <c:crosses val="autoZero"/>
        <c:auto val="1"/>
        <c:lblAlgn val="ctr"/>
        <c:lblOffset val="100"/>
        <c:noMultiLvlLbl val="0"/>
      </c:catAx>
      <c:valAx>
        <c:axId val="298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109537</xdr:rowOff>
    </xdr:from>
    <xdr:to>
      <xdr:col>13</xdr:col>
      <xdr:colOff>209549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760C6-4D9B-FE8E-8F22-139C50C0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42862</xdr:rowOff>
    </xdr:from>
    <xdr:to>
      <xdr:col>17</xdr:col>
      <xdr:colOff>280737</xdr:colOff>
      <xdr:row>22</xdr:row>
      <xdr:rowOff>110289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6688-D148-A2B6-3626-B851BD55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114300</xdr:rowOff>
    </xdr:from>
    <xdr:to>
      <xdr:col>12</xdr:col>
      <xdr:colOff>576262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B2F54-84DB-8326-A84F-919124BF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123824</xdr:rowOff>
    </xdr:from>
    <xdr:to>
      <xdr:col>7</xdr:col>
      <xdr:colOff>1262062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C8E92-92F8-8C6E-F026-ED7BF850E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4.082976273145" createdVersion="8" refreshedVersion="8" minRefreshableVersion="3" recordCount="1001" xr:uid="{ED7B8939-934E-46A2-97E1-3E6D4678E06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5.021723495367" createdVersion="8" refreshedVersion="8" minRefreshableVersion="3" recordCount="13" xr:uid="{0FE4A894-365B-4605-9C47-1977D4A18427}">
  <cacheSource type="worksheet">
    <worksheetSource ref="A1:H1048576" sheet="Crowdfunding Goal Analysis"/>
  </cacheSource>
  <cacheFields count="8">
    <cacheField name="Goal" numFmtId="0">
      <sharedItems containsBlank="1" count="13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  <m/>
      </sharedItems>
    </cacheField>
    <cacheField name="Number Successful" numFmtId="0">
      <sharedItems containsString="0" containsBlank="1" containsNumber="1" containsInteger="1" minValue="4" maxValue="191" count="10">
        <n v="30"/>
        <n v="191"/>
        <n v="164"/>
        <n v="4"/>
        <n v="10"/>
        <n v="7"/>
        <n v="11"/>
        <n v="8"/>
        <n v="114"/>
        <m/>
      </sharedItems>
    </cacheField>
    <cacheField name="Number Failed" numFmtId="0">
      <sharedItems containsString="0" containsBlank="1" containsNumber="1" containsInteger="1" minValue="0" maxValue="163" count="8">
        <n v="20"/>
        <n v="38"/>
        <n v="126"/>
        <n v="5"/>
        <n v="0"/>
        <n v="3"/>
        <n v="163"/>
        <m/>
      </sharedItems>
    </cacheField>
    <cacheField name="Number Canceled" numFmtId="0">
      <sharedItems containsString="0" containsBlank="1" containsNumber="1" containsInteger="1" minValue="0" maxValue="28" count="6">
        <n v="1"/>
        <n v="2"/>
        <n v="25"/>
        <n v="0"/>
        <n v="28"/>
        <m/>
      </sharedItems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x v="4"/>
    <m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51"/>
    <n v="0.58823529411764708"/>
    <n v="0.39215686274509803"/>
    <n v="1.9607843137254902E-2"/>
  </r>
  <r>
    <x v="1"/>
    <x v="1"/>
    <x v="1"/>
    <x v="1"/>
    <n v="231"/>
    <n v="0.82683982683982682"/>
    <n v="0.16450216450216451"/>
    <n v="8.658008658008658E-3"/>
  </r>
  <r>
    <x v="2"/>
    <x v="2"/>
    <x v="2"/>
    <x v="2"/>
    <n v="315"/>
    <n v="0.52063492063492067"/>
    <n v="0.4"/>
    <n v="7.9365079365079361E-2"/>
  </r>
  <r>
    <x v="3"/>
    <x v="3"/>
    <x v="3"/>
    <x v="3"/>
    <n v="9"/>
    <n v="0.44444444444444442"/>
    <n v="0.55555555555555558"/>
    <n v="0"/>
  </r>
  <r>
    <x v="4"/>
    <x v="4"/>
    <x v="4"/>
    <x v="3"/>
    <n v="10"/>
    <n v="1"/>
    <n v="0"/>
    <n v="0"/>
  </r>
  <r>
    <x v="5"/>
    <x v="5"/>
    <x v="4"/>
    <x v="3"/>
    <n v="7"/>
    <n v="1"/>
    <n v="0"/>
    <n v="0"/>
  </r>
  <r>
    <x v="6"/>
    <x v="6"/>
    <x v="5"/>
    <x v="3"/>
    <n v="14"/>
    <n v="0.7857142857142857"/>
    <n v="0.21428571428571427"/>
    <n v="0"/>
  </r>
  <r>
    <x v="7"/>
    <x v="5"/>
    <x v="4"/>
    <x v="3"/>
    <n v="7"/>
    <n v="1"/>
    <n v="0"/>
    <n v="0"/>
  </r>
  <r>
    <x v="8"/>
    <x v="7"/>
    <x v="5"/>
    <x v="0"/>
    <n v="12"/>
    <n v="0.66666666666666663"/>
    <n v="0.25"/>
    <n v="8.3333333333333329E-2"/>
  </r>
  <r>
    <x v="9"/>
    <x v="6"/>
    <x v="5"/>
    <x v="3"/>
    <n v="14"/>
    <n v="0.7857142857142857"/>
    <n v="0.21428571428571427"/>
    <n v="0"/>
  </r>
  <r>
    <x v="10"/>
    <x v="7"/>
    <x v="5"/>
    <x v="3"/>
    <n v="11"/>
    <n v="0.72727272727272729"/>
    <n v="0.27272727272727271"/>
    <n v="0"/>
  </r>
  <r>
    <x v="11"/>
    <x v="8"/>
    <x v="6"/>
    <x v="4"/>
    <n v="305"/>
    <n v="0.3737704918032787"/>
    <n v="0.53442622950819674"/>
    <n v="9.1803278688524587E-2"/>
  </r>
  <r>
    <x v="12"/>
    <x v="9"/>
    <x v="7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E32DD-E03A-4663-9310-C3E322D993C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D6AE3-0754-4A51-9F22-CD3B3CCBBA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4F00E-168A-4A89-831F-76BAC3EBB6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08EE-4A08-43AE-9FBA-BAAF3CC55C30}" name="PivotTable6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2"/>
        <item x="11"/>
        <item t="default"/>
      </items>
    </pivotField>
    <pivotField showAll="0">
      <items count="11">
        <item x="3"/>
        <item x="5"/>
        <item x="7"/>
        <item x="4"/>
        <item x="6"/>
        <item x="0"/>
        <item x="8"/>
        <item x="2"/>
        <item x="1"/>
        <item x="9"/>
        <item t="default"/>
      </items>
    </pivotField>
    <pivotField showAll="0">
      <items count="9">
        <item x="4"/>
        <item x="5"/>
        <item x="3"/>
        <item x="0"/>
        <item x="1"/>
        <item x="2"/>
        <item x="6"/>
        <item x="7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centage Successful " fld="5" baseField="0" baseItem="0"/>
    <dataField name="Percentage Failed " fld="6" baseField="0" baseItem="0"/>
    <dataField name="Percentage Canceled " fld="7" baseField="0" baseItem="0"/>
  </dataFields>
  <chartFormats count="25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10" sqref="A10:XFD1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1" style="9"/>
    <col min="7" max="7" width="14.875" style="10" customWidth="1"/>
    <col min="8" max="8" width="16.875" style="4" customWidth="1"/>
    <col min="9" max="9" width="13" bestFit="1" customWidth="1"/>
    <col min="12" max="13" width="11.125" bestFit="1" customWidth="1"/>
    <col min="14" max="14" width="23.375" customWidth="1"/>
    <col min="15" max="15" width="21.75" customWidth="1"/>
    <col min="18" max="19" width="28" bestFit="1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5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 s="9">
        <v>100</v>
      </c>
      <c r="E2" s="9">
        <v>0</v>
      </c>
      <c r="F2" t="s">
        <v>14</v>
      </c>
      <c r="G2" s="10">
        <f>E2/D2*100</f>
        <v>0</v>
      </c>
      <c r="H2" s="6" t="str">
        <f>IFERROR(E2/I2,"NONE")</f>
        <v>NONE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t="s">
        <v>20</v>
      </c>
      <c r="G3" s="10">
        <f t="shared" ref="G3:G66" si="0">E3/D3*100</f>
        <v>1040</v>
      </c>
      <c r="H3" s="6">
        <f t="shared" ref="H3:H66" si="1">IFERROR(E3/I3,"NONE")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t="s">
        <v>20</v>
      </c>
      <c r="G4" s="10">
        <f t="shared" si="0"/>
        <v>131.4787822878229</v>
      </c>
      <c r="H4" s="6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ref="N4:N66" si="2">(((L4/60)/60)/24)+DATE(1970,1,1)</f>
        <v>41595.25</v>
      </c>
      <c r="O4" s="12">
        <f t="shared" ref="O4:O66" si="3"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t="s">
        <v>14</v>
      </c>
      <c r="G5" s="10">
        <f t="shared" si="0"/>
        <v>58.976190476190467</v>
      </c>
      <c r="H5" s="6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t="s">
        <v>14</v>
      </c>
      <c r="G6" s="10">
        <f t="shared" si="0"/>
        <v>69.276315789473685</v>
      </c>
      <c r="H6" s="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t="s">
        <v>20</v>
      </c>
      <c r="G7" s="10">
        <f t="shared" si="0"/>
        <v>173.61842105263159</v>
      </c>
      <c r="H7" s="6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t="s">
        <v>14</v>
      </c>
      <c r="G8" s="10">
        <f t="shared" si="0"/>
        <v>20.961538461538463</v>
      </c>
      <c r="H8" s="6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t="s">
        <v>20</v>
      </c>
      <c r="G9" s="10">
        <f t="shared" si="0"/>
        <v>327.57777777777778</v>
      </c>
      <c r="H9" s="6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t="s">
        <v>47</v>
      </c>
      <c r="G10" s="10">
        <f t="shared" si="0"/>
        <v>19.932788374205266</v>
      </c>
      <c r="H10" s="6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t="s">
        <v>14</v>
      </c>
      <c r="G11" s="10">
        <f t="shared" si="0"/>
        <v>51.741935483870968</v>
      </c>
      <c r="H11" s="6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t="s">
        <v>20</v>
      </c>
      <c r="G12" s="10">
        <f t="shared" si="0"/>
        <v>266.11538461538464</v>
      </c>
      <c r="H12" s="6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t="s">
        <v>14</v>
      </c>
      <c r="G13" s="10">
        <f t="shared" si="0"/>
        <v>48.095238095238095</v>
      </c>
      <c r="H13" s="6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t="s">
        <v>14</v>
      </c>
      <c r="G14" s="10">
        <f t="shared" si="0"/>
        <v>89.349206349206341</v>
      </c>
      <c r="H14" s="6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t="s">
        <v>20</v>
      </c>
      <c r="G15" s="10">
        <f t="shared" si="0"/>
        <v>245.11904761904765</v>
      </c>
      <c r="H15" s="6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t="s">
        <v>14</v>
      </c>
      <c r="G16" s="10">
        <f t="shared" si="0"/>
        <v>66.769503546099301</v>
      </c>
      <c r="H16" s="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t="s">
        <v>14</v>
      </c>
      <c r="G17" s="10">
        <f t="shared" si="0"/>
        <v>47.307881773399011</v>
      </c>
      <c r="H17" s="6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t="s">
        <v>20</v>
      </c>
      <c r="G18" s="10">
        <f t="shared" si="0"/>
        <v>649.47058823529414</v>
      </c>
      <c r="H18" s="6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t="s">
        <v>20</v>
      </c>
      <c r="G19" s="10">
        <f t="shared" si="0"/>
        <v>159.39125295508273</v>
      </c>
      <c r="H19" s="6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t="s">
        <v>74</v>
      </c>
      <c r="G20" s="10">
        <f t="shared" si="0"/>
        <v>66.912087912087912</v>
      </c>
      <c r="H20" s="6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t="s">
        <v>14</v>
      </c>
      <c r="G21" s="10">
        <f t="shared" si="0"/>
        <v>48.529600000000002</v>
      </c>
      <c r="H21" s="6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t="s">
        <v>20</v>
      </c>
      <c r="G22" s="10">
        <f t="shared" si="0"/>
        <v>112.24279210925646</v>
      </c>
      <c r="H22" s="6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t="s">
        <v>14</v>
      </c>
      <c r="G23" s="10">
        <f t="shared" si="0"/>
        <v>40.992553191489364</v>
      </c>
      <c r="H23" s="6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t="s">
        <v>20</v>
      </c>
      <c r="G24" s="10">
        <f t="shared" si="0"/>
        <v>128.07106598984771</v>
      </c>
      <c r="H24" s="6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t="s">
        <v>20</v>
      </c>
      <c r="G25" s="10">
        <f t="shared" si="0"/>
        <v>332.04444444444448</v>
      </c>
      <c r="H25" s="6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t="s">
        <v>20</v>
      </c>
      <c r="G26" s="10">
        <f t="shared" si="0"/>
        <v>112.83225108225108</v>
      </c>
      <c r="H26" s="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t="s">
        <v>20</v>
      </c>
      <c r="G27" s="10">
        <f t="shared" si="0"/>
        <v>216.43636363636364</v>
      </c>
      <c r="H27" s="6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t="s">
        <v>74</v>
      </c>
      <c r="G28" s="10">
        <f t="shared" si="0"/>
        <v>48.199069767441863</v>
      </c>
      <c r="H28" s="6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t="s">
        <v>14</v>
      </c>
      <c r="G29" s="10">
        <f t="shared" si="0"/>
        <v>79.95</v>
      </c>
      <c r="H29" s="6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t="s">
        <v>20</v>
      </c>
      <c r="G30" s="10">
        <f t="shared" si="0"/>
        <v>105.22553516819573</v>
      </c>
      <c r="H30" s="6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t="s">
        <v>20</v>
      </c>
      <c r="G31" s="10">
        <f t="shared" si="0"/>
        <v>328.89978213507629</v>
      </c>
      <c r="H31" s="6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t="s">
        <v>20</v>
      </c>
      <c r="G32" s="10">
        <f t="shared" si="0"/>
        <v>160.61111111111111</v>
      </c>
      <c r="H32" s="6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t="s">
        <v>20</v>
      </c>
      <c r="G33" s="10">
        <f t="shared" si="0"/>
        <v>310</v>
      </c>
      <c r="H33" s="6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t="s">
        <v>14</v>
      </c>
      <c r="G34" s="10">
        <f t="shared" si="0"/>
        <v>86.807920792079202</v>
      </c>
      <c r="H34" s="6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t="s">
        <v>20</v>
      </c>
      <c r="G35" s="10">
        <f t="shared" si="0"/>
        <v>377.82071713147411</v>
      </c>
      <c r="H35" s="6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t="s">
        <v>20</v>
      </c>
      <c r="G36" s="10">
        <f t="shared" si="0"/>
        <v>150.80645161290323</v>
      </c>
      <c r="H36" s="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t="s">
        <v>20</v>
      </c>
      <c r="G37" s="10">
        <f t="shared" si="0"/>
        <v>150.30119521912351</v>
      </c>
      <c r="H37" s="6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t="s">
        <v>20</v>
      </c>
      <c r="G38" s="10">
        <f t="shared" si="0"/>
        <v>157.28571428571431</v>
      </c>
      <c r="H38" s="6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t="s">
        <v>20</v>
      </c>
      <c r="G39" s="10">
        <f t="shared" si="0"/>
        <v>139.98765432098764</v>
      </c>
      <c r="H39" s="6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t="s">
        <v>20</v>
      </c>
      <c r="G40" s="10">
        <f t="shared" si="0"/>
        <v>325.32258064516128</v>
      </c>
      <c r="H40" s="6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t="s">
        <v>14</v>
      </c>
      <c r="G41" s="10">
        <f t="shared" si="0"/>
        <v>50.777777777777779</v>
      </c>
      <c r="H41" s="6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t="s">
        <v>20</v>
      </c>
      <c r="G42" s="10">
        <f t="shared" si="0"/>
        <v>169.06818181818181</v>
      </c>
      <c r="H42" s="6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t="s">
        <v>20</v>
      </c>
      <c r="G43" s="10">
        <f t="shared" si="0"/>
        <v>212.92857142857144</v>
      </c>
      <c r="H43" s="6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t="s">
        <v>20</v>
      </c>
      <c r="G44" s="10">
        <f t="shared" si="0"/>
        <v>443.94444444444446</v>
      </c>
      <c r="H44" s="6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t="s">
        <v>20</v>
      </c>
      <c r="G45" s="10">
        <f t="shared" si="0"/>
        <v>185.9390243902439</v>
      </c>
      <c r="H45" s="6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t="s">
        <v>20</v>
      </c>
      <c r="G46" s="10">
        <f t="shared" si="0"/>
        <v>658.8125</v>
      </c>
      <c r="H46" s="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t="s">
        <v>14</v>
      </c>
      <c r="G47" s="10">
        <f t="shared" si="0"/>
        <v>47.684210526315788</v>
      </c>
      <c r="H47" s="6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t="s">
        <v>20</v>
      </c>
      <c r="G48" s="10">
        <f t="shared" si="0"/>
        <v>114.78378378378378</v>
      </c>
      <c r="H48" s="6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t="s">
        <v>20</v>
      </c>
      <c r="G49" s="10">
        <f t="shared" si="0"/>
        <v>475.26666666666665</v>
      </c>
      <c r="H49" s="6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t="s">
        <v>20</v>
      </c>
      <c r="G50" s="10">
        <f t="shared" si="0"/>
        <v>386.97297297297297</v>
      </c>
      <c r="H50" s="6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t="s">
        <v>20</v>
      </c>
      <c r="G51" s="10">
        <f t="shared" si="0"/>
        <v>189.625</v>
      </c>
      <c r="H51" s="6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t="s">
        <v>14</v>
      </c>
      <c r="G52" s="10">
        <f t="shared" si="0"/>
        <v>2</v>
      </c>
      <c r="H52" s="6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t="s">
        <v>14</v>
      </c>
      <c r="G53" s="10">
        <f t="shared" si="0"/>
        <v>91.867805186590772</v>
      </c>
      <c r="H53" s="6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t="s">
        <v>14</v>
      </c>
      <c r="G54" s="10">
        <f t="shared" si="0"/>
        <v>34.152777777777779</v>
      </c>
      <c r="H54" s="6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t="s">
        <v>20</v>
      </c>
      <c r="G55" s="10">
        <f t="shared" si="0"/>
        <v>140.40909090909091</v>
      </c>
      <c r="H55" s="6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t="s">
        <v>14</v>
      </c>
      <c r="G56" s="10">
        <f t="shared" si="0"/>
        <v>89.86666666666666</v>
      </c>
      <c r="H56" s="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t="s">
        <v>20</v>
      </c>
      <c r="G57" s="10">
        <f t="shared" si="0"/>
        <v>177.96969696969697</v>
      </c>
      <c r="H57" s="6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t="s">
        <v>20</v>
      </c>
      <c r="G58" s="10">
        <f t="shared" si="0"/>
        <v>143.66249999999999</v>
      </c>
      <c r="H58" s="6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t="s">
        <v>20</v>
      </c>
      <c r="G59" s="10">
        <f t="shared" si="0"/>
        <v>215.27586206896552</v>
      </c>
      <c r="H59" s="6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t="s">
        <v>20</v>
      </c>
      <c r="G60" s="10">
        <f t="shared" si="0"/>
        <v>227.11111111111114</v>
      </c>
      <c r="H60" s="6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t="s">
        <v>20</v>
      </c>
      <c r="G61" s="10">
        <f t="shared" si="0"/>
        <v>275.07142857142861</v>
      </c>
      <c r="H61" s="6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t="s">
        <v>20</v>
      </c>
      <c r="G62" s="10">
        <f t="shared" si="0"/>
        <v>144.37048832271762</v>
      </c>
      <c r="H62" s="6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t="s">
        <v>14</v>
      </c>
      <c r="G63" s="10">
        <f t="shared" si="0"/>
        <v>92.74598393574297</v>
      </c>
      <c r="H63" s="6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t="s">
        <v>20</v>
      </c>
      <c r="G64" s="10">
        <f t="shared" si="0"/>
        <v>722.6</v>
      </c>
      <c r="H64" s="6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t="s">
        <v>14</v>
      </c>
      <c r="G65" s="10">
        <f t="shared" si="0"/>
        <v>11.851063829787234</v>
      </c>
      <c r="H65" s="6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t="s">
        <v>14</v>
      </c>
      <c r="G66" s="10">
        <f t="shared" si="0"/>
        <v>97.642857142857139</v>
      </c>
      <c r="H66" s="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t="s">
        <v>20</v>
      </c>
      <c r="G67" s="10">
        <f t="shared" ref="G67:G130" si="4">E67/D67*100</f>
        <v>236.14754098360655</v>
      </c>
      <c r="H67" s="6">
        <f t="shared" ref="H67:H130" si="5">IFERROR(E67/I67,"NONE")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t="s">
        <v>14</v>
      </c>
      <c r="G68" s="10">
        <f t="shared" si="4"/>
        <v>45.068965517241381</v>
      </c>
      <c r="H68" s="6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t="s">
        <v>20</v>
      </c>
      <c r="G69" s="10">
        <f t="shared" si="4"/>
        <v>162.38567493112947</v>
      </c>
      <c r="H69" s="6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t="s">
        <v>20</v>
      </c>
      <c r="G70" s="10">
        <f t="shared" si="4"/>
        <v>254.52631578947367</v>
      </c>
      <c r="H70" s="6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t="s">
        <v>74</v>
      </c>
      <c r="G71" s="10">
        <f t="shared" si="4"/>
        <v>24.063291139240505</v>
      </c>
      <c r="H71" s="6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t="s">
        <v>20</v>
      </c>
      <c r="G72" s="10">
        <f t="shared" si="4"/>
        <v>123.74140625000001</v>
      </c>
      <c r="H72" s="6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t="s">
        <v>20</v>
      </c>
      <c r="G73" s="10">
        <f t="shared" si="4"/>
        <v>108.06666666666666</v>
      </c>
      <c r="H73" s="6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t="s">
        <v>20</v>
      </c>
      <c r="G74" s="10">
        <f t="shared" si="4"/>
        <v>670.33333333333326</v>
      </c>
      <c r="H74" s="6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t="s">
        <v>20</v>
      </c>
      <c r="G75" s="10">
        <f t="shared" si="4"/>
        <v>660.92857142857144</v>
      </c>
      <c r="H75" s="6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t="s">
        <v>20</v>
      </c>
      <c r="G76" s="10">
        <f t="shared" si="4"/>
        <v>122.46153846153847</v>
      </c>
      <c r="H76" s="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t="s">
        <v>20</v>
      </c>
      <c r="G77" s="10">
        <f t="shared" si="4"/>
        <v>150.57731958762886</v>
      </c>
      <c r="H77" s="6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t="s">
        <v>14</v>
      </c>
      <c r="G78" s="10">
        <f t="shared" si="4"/>
        <v>78.106590724165997</v>
      </c>
      <c r="H78" s="6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t="s">
        <v>14</v>
      </c>
      <c r="G79" s="10">
        <f t="shared" si="4"/>
        <v>46.94736842105263</v>
      </c>
      <c r="H79" s="6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t="s">
        <v>20</v>
      </c>
      <c r="G80" s="10">
        <f t="shared" si="4"/>
        <v>300.8</v>
      </c>
      <c r="H80" s="6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t="s">
        <v>14</v>
      </c>
      <c r="G81" s="10">
        <f t="shared" si="4"/>
        <v>69.598615916955026</v>
      </c>
      <c r="H81" s="6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t="s">
        <v>20</v>
      </c>
      <c r="G82" s="10">
        <f t="shared" si="4"/>
        <v>637.4545454545455</v>
      </c>
      <c r="H82" s="6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t="s">
        <v>20</v>
      </c>
      <c r="G83" s="10">
        <f t="shared" si="4"/>
        <v>225.33928571428569</v>
      </c>
      <c r="H83" s="6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t="s">
        <v>20</v>
      </c>
      <c r="G84" s="10">
        <f t="shared" si="4"/>
        <v>1497.3000000000002</v>
      </c>
      <c r="H84" s="6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t="s">
        <v>14</v>
      </c>
      <c r="G85" s="10">
        <f t="shared" si="4"/>
        <v>37.590225563909776</v>
      </c>
      <c r="H85" s="6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t="s">
        <v>20</v>
      </c>
      <c r="G86" s="10">
        <f t="shared" si="4"/>
        <v>132.36942675159236</v>
      </c>
      <c r="H86" s="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t="s">
        <v>20</v>
      </c>
      <c r="G87" s="10">
        <f t="shared" si="4"/>
        <v>131.22448979591837</v>
      </c>
      <c r="H87" s="6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t="s">
        <v>20</v>
      </c>
      <c r="G88" s="10">
        <f t="shared" si="4"/>
        <v>167.63513513513513</v>
      </c>
      <c r="H88" s="6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t="s">
        <v>14</v>
      </c>
      <c r="G89" s="10">
        <f t="shared" si="4"/>
        <v>61.984886649874063</v>
      </c>
      <c r="H89" s="6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t="s">
        <v>20</v>
      </c>
      <c r="G90" s="10">
        <f t="shared" si="4"/>
        <v>260.75</v>
      </c>
      <c r="H90" s="6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t="s">
        <v>20</v>
      </c>
      <c r="G91" s="10">
        <f t="shared" si="4"/>
        <v>252.58823529411765</v>
      </c>
      <c r="H91" s="6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t="s">
        <v>14</v>
      </c>
      <c r="G92" s="10">
        <f t="shared" si="4"/>
        <v>78.615384615384613</v>
      </c>
      <c r="H92" s="6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t="s">
        <v>14</v>
      </c>
      <c r="G93" s="10">
        <f t="shared" si="4"/>
        <v>48.404406999351913</v>
      </c>
      <c r="H93" s="6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t="s">
        <v>20</v>
      </c>
      <c r="G94" s="10">
        <f t="shared" si="4"/>
        <v>258.875</v>
      </c>
      <c r="H94" s="6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t="s">
        <v>74</v>
      </c>
      <c r="G95" s="10">
        <f t="shared" si="4"/>
        <v>60.548713235294116</v>
      </c>
      <c r="H95" s="6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t="s">
        <v>20</v>
      </c>
      <c r="G96" s="10">
        <f t="shared" si="4"/>
        <v>303.68965517241378</v>
      </c>
      <c r="H96" s="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t="s">
        <v>20</v>
      </c>
      <c r="G97" s="10">
        <f t="shared" si="4"/>
        <v>112.99999999999999</v>
      </c>
      <c r="H97" s="6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t="s">
        <v>20</v>
      </c>
      <c r="G98" s="10">
        <f t="shared" si="4"/>
        <v>217.37876614060258</v>
      </c>
      <c r="H98" s="6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t="s">
        <v>20</v>
      </c>
      <c r="G99" s="10">
        <f t="shared" si="4"/>
        <v>926.69230769230762</v>
      </c>
      <c r="H99" s="6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t="s">
        <v>14</v>
      </c>
      <c r="G100" s="10">
        <f t="shared" si="4"/>
        <v>33.692229038854805</v>
      </c>
      <c r="H100" s="6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t="s">
        <v>20</v>
      </c>
      <c r="G101" s="10">
        <f t="shared" si="4"/>
        <v>196.7236842105263</v>
      </c>
      <c r="H101" s="6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t="s">
        <v>14</v>
      </c>
      <c r="G102" s="10">
        <f t="shared" si="4"/>
        <v>1</v>
      </c>
      <c r="H102" s="6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t="s">
        <v>20</v>
      </c>
      <c r="G103" s="10">
        <f t="shared" si="4"/>
        <v>1021.4444444444445</v>
      </c>
      <c r="H103" s="6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t="s">
        <v>20</v>
      </c>
      <c r="G104" s="10">
        <f t="shared" si="4"/>
        <v>281.67567567567568</v>
      </c>
      <c r="H104" s="6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t="s">
        <v>14</v>
      </c>
      <c r="G105" s="10">
        <f t="shared" si="4"/>
        <v>24.610000000000003</v>
      </c>
      <c r="H105" s="6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t="s">
        <v>20</v>
      </c>
      <c r="G106" s="10">
        <f t="shared" si="4"/>
        <v>143.14010067114094</v>
      </c>
      <c r="H106" s="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t="s">
        <v>20</v>
      </c>
      <c r="G107" s="10">
        <f t="shared" si="4"/>
        <v>144.54411764705884</v>
      </c>
      <c r="H107" s="6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t="s">
        <v>20</v>
      </c>
      <c r="G108" s="10">
        <f t="shared" si="4"/>
        <v>359.12820512820514</v>
      </c>
      <c r="H108" s="6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t="s">
        <v>20</v>
      </c>
      <c r="G109" s="10">
        <f t="shared" si="4"/>
        <v>186.48571428571427</v>
      </c>
      <c r="H109" s="6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t="s">
        <v>20</v>
      </c>
      <c r="G110" s="10">
        <f t="shared" si="4"/>
        <v>595.26666666666665</v>
      </c>
      <c r="H110" s="6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t="s">
        <v>14</v>
      </c>
      <c r="G111" s="10">
        <f t="shared" si="4"/>
        <v>59.21153846153846</v>
      </c>
      <c r="H111" s="6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t="s">
        <v>14</v>
      </c>
      <c r="G112" s="10">
        <f t="shared" si="4"/>
        <v>14.962780898876405</v>
      </c>
      <c r="H112" s="6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t="s">
        <v>20</v>
      </c>
      <c r="G113" s="10">
        <f t="shared" si="4"/>
        <v>119.95602605863192</v>
      </c>
      <c r="H113" s="6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t="s">
        <v>20</v>
      </c>
      <c r="G114" s="10">
        <f t="shared" si="4"/>
        <v>268.82978723404256</v>
      </c>
      <c r="H114" s="6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t="s">
        <v>20</v>
      </c>
      <c r="G115" s="10">
        <f t="shared" si="4"/>
        <v>376.87878787878788</v>
      </c>
      <c r="H115" s="6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t="s">
        <v>20</v>
      </c>
      <c r="G116" s="10">
        <f t="shared" si="4"/>
        <v>727.15789473684208</v>
      </c>
      <c r="H116" s="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t="s">
        <v>14</v>
      </c>
      <c r="G117" s="10">
        <f t="shared" si="4"/>
        <v>87.211757648470297</v>
      </c>
      <c r="H117" s="6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t="s">
        <v>14</v>
      </c>
      <c r="G118" s="10">
        <f t="shared" si="4"/>
        <v>88</v>
      </c>
      <c r="H118" s="6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t="s">
        <v>20</v>
      </c>
      <c r="G119" s="10">
        <f t="shared" si="4"/>
        <v>173.9387755102041</v>
      </c>
      <c r="H119" s="6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t="s">
        <v>20</v>
      </c>
      <c r="G120" s="10">
        <f t="shared" si="4"/>
        <v>117.61111111111111</v>
      </c>
      <c r="H120" s="6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t="s">
        <v>20</v>
      </c>
      <c r="G121" s="10">
        <f t="shared" si="4"/>
        <v>214.96</v>
      </c>
      <c r="H121" s="6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t="s">
        <v>20</v>
      </c>
      <c r="G122" s="10">
        <f t="shared" si="4"/>
        <v>149.49667110519306</v>
      </c>
      <c r="H122" s="6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t="s">
        <v>20</v>
      </c>
      <c r="G123" s="10">
        <f t="shared" si="4"/>
        <v>219.33995584988963</v>
      </c>
      <c r="H123" s="6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t="s">
        <v>14</v>
      </c>
      <c r="G124" s="10">
        <f t="shared" si="4"/>
        <v>64.367690058479525</v>
      </c>
      <c r="H124" s="6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t="s">
        <v>14</v>
      </c>
      <c r="G125" s="10">
        <f t="shared" si="4"/>
        <v>18.622397298818232</v>
      </c>
      <c r="H125" s="6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t="s">
        <v>20</v>
      </c>
      <c r="G126" s="10">
        <f t="shared" si="4"/>
        <v>367.76923076923077</v>
      </c>
      <c r="H126" s="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t="s">
        <v>20</v>
      </c>
      <c r="G127" s="10">
        <f t="shared" si="4"/>
        <v>159.90566037735849</v>
      </c>
      <c r="H127" s="6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t="s">
        <v>14</v>
      </c>
      <c r="G128" s="10">
        <f t="shared" si="4"/>
        <v>38.633185349611544</v>
      </c>
      <c r="H128" s="6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t="s">
        <v>14</v>
      </c>
      <c r="G129" s="10">
        <f t="shared" si="4"/>
        <v>51.42151162790698</v>
      </c>
      <c r="H129" s="6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t="s">
        <v>74</v>
      </c>
      <c r="G130" s="10">
        <f t="shared" si="4"/>
        <v>60.334277620396605</v>
      </c>
      <c r="H130" s="6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t="s">
        <v>74</v>
      </c>
      <c r="G131" s="10">
        <f t="shared" ref="G131:G194" si="8">E131/D131*100</f>
        <v>3.202693602693603</v>
      </c>
      <c r="H131" s="6">
        <f t="shared" ref="H131:H194" si="9">IFERROR(E131/I131,"NONE")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t="s">
        <v>20</v>
      </c>
      <c r="G132" s="10">
        <f t="shared" si="8"/>
        <v>155.46875</v>
      </c>
      <c r="H132" s="6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t="s">
        <v>20</v>
      </c>
      <c r="G133" s="10">
        <f t="shared" si="8"/>
        <v>100.85974499089254</v>
      </c>
      <c r="H133" s="6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t="s">
        <v>20</v>
      </c>
      <c r="G134" s="10">
        <f t="shared" si="8"/>
        <v>116.18181818181819</v>
      </c>
      <c r="H134" s="6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t="s">
        <v>20</v>
      </c>
      <c r="G135" s="10">
        <f t="shared" si="8"/>
        <v>310.77777777777777</v>
      </c>
      <c r="H135" s="6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t="s">
        <v>14</v>
      </c>
      <c r="G136" s="10">
        <f t="shared" si="8"/>
        <v>89.73668341708543</v>
      </c>
      <c r="H136" s="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t="s">
        <v>14</v>
      </c>
      <c r="G137" s="10">
        <f t="shared" si="8"/>
        <v>71.27272727272728</v>
      </c>
      <c r="H137" s="6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t="s">
        <v>74</v>
      </c>
      <c r="G138" s="10">
        <f t="shared" si="8"/>
        <v>3.2862318840579712</v>
      </c>
      <c r="H138" s="6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t="s">
        <v>20</v>
      </c>
      <c r="G139" s="10">
        <f t="shared" si="8"/>
        <v>261.77777777777777</v>
      </c>
      <c r="H139" s="6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t="s">
        <v>14</v>
      </c>
      <c r="G140" s="10">
        <f t="shared" si="8"/>
        <v>96</v>
      </c>
      <c r="H140" s="6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t="s">
        <v>14</v>
      </c>
      <c r="G141" s="10">
        <f t="shared" si="8"/>
        <v>20.896851248642779</v>
      </c>
      <c r="H141" s="6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t="s">
        <v>20</v>
      </c>
      <c r="G142" s="10">
        <f t="shared" si="8"/>
        <v>223.16363636363636</v>
      </c>
      <c r="H142" s="6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t="s">
        <v>20</v>
      </c>
      <c r="G143" s="10">
        <f t="shared" si="8"/>
        <v>101.59097978227061</v>
      </c>
      <c r="H143" s="6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t="s">
        <v>20</v>
      </c>
      <c r="G144" s="10">
        <f t="shared" si="8"/>
        <v>230.03999999999996</v>
      </c>
      <c r="H144" s="6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t="s">
        <v>20</v>
      </c>
      <c r="G145" s="10">
        <f t="shared" si="8"/>
        <v>135.59259259259261</v>
      </c>
      <c r="H145" s="6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t="s">
        <v>20</v>
      </c>
      <c r="G146" s="10">
        <f t="shared" si="8"/>
        <v>129.1</v>
      </c>
      <c r="H146" s="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t="s">
        <v>20</v>
      </c>
      <c r="G147" s="10">
        <f t="shared" si="8"/>
        <v>236.512</v>
      </c>
      <c r="H147" s="6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t="s">
        <v>74</v>
      </c>
      <c r="G148" s="10">
        <f t="shared" si="8"/>
        <v>17.25</v>
      </c>
      <c r="H148" s="6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t="s">
        <v>20</v>
      </c>
      <c r="G149" s="10">
        <f t="shared" si="8"/>
        <v>112.49397590361446</v>
      </c>
      <c r="H149" s="6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t="s">
        <v>20</v>
      </c>
      <c r="G150" s="10">
        <f t="shared" si="8"/>
        <v>121.02150537634408</v>
      </c>
      <c r="H150" s="6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t="s">
        <v>20</v>
      </c>
      <c r="G151" s="10">
        <f t="shared" si="8"/>
        <v>219.87096774193549</v>
      </c>
      <c r="H151" s="6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t="s">
        <v>14</v>
      </c>
      <c r="G152" s="10">
        <f t="shared" si="8"/>
        <v>1</v>
      </c>
      <c r="H152" s="6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t="s">
        <v>14</v>
      </c>
      <c r="G153" s="10">
        <f t="shared" si="8"/>
        <v>64.166909620991248</v>
      </c>
      <c r="H153" s="6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t="s">
        <v>20</v>
      </c>
      <c r="G154" s="10">
        <f t="shared" si="8"/>
        <v>423.06746987951806</v>
      </c>
      <c r="H154" s="6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t="s">
        <v>14</v>
      </c>
      <c r="G155" s="10">
        <f t="shared" si="8"/>
        <v>92.984160506863773</v>
      </c>
      <c r="H155" s="6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t="s">
        <v>14</v>
      </c>
      <c r="G156" s="10">
        <f t="shared" si="8"/>
        <v>58.756567425569173</v>
      </c>
      <c r="H156" s="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t="s">
        <v>14</v>
      </c>
      <c r="G157" s="10">
        <f t="shared" si="8"/>
        <v>65.022222222222226</v>
      </c>
      <c r="H157" s="6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t="s">
        <v>74</v>
      </c>
      <c r="G158" s="10">
        <f t="shared" si="8"/>
        <v>73.939560439560438</v>
      </c>
      <c r="H158" s="6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t="s">
        <v>14</v>
      </c>
      <c r="G159" s="10">
        <f t="shared" si="8"/>
        <v>52.666666666666664</v>
      </c>
      <c r="H159" s="6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t="s">
        <v>20</v>
      </c>
      <c r="G160" s="10">
        <f t="shared" si="8"/>
        <v>220.95238095238096</v>
      </c>
      <c r="H160" s="6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t="s">
        <v>20</v>
      </c>
      <c r="G161" s="10">
        <f t="shared" si="8"/>
        <v>100.01150627615063</v>
      </c>
      <c r="H161" s="6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t="s">
        <v>20</v>
      </c>
      <c r="G162" s="10">
        <f t="shared" si="8"/>
        <v>162.3125</v>
      </c>
      <c r="H162" s="6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t="s">
        <v>14</v>
      </c>
      <c r="G163" s="10">
        <f t="shared" si="8"/>
        <v>78.181818181818187</v>
      </c>
      <c r="H163" s="6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t="s">
        <v>20</v>
      </c>
      <c r="G164" s="10">
        <f t="shared" si="8"/>
        <v>149.73770491803279</v>
      </c>
      <c r="H164" s="6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t="s">
        <v>20</v>
      </c>
      <c r="G165" s="10">
        <f t="shared" si="8"/>
        <v>253.25714285714284</v>
      </c>
      <c r="H165" s="6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t="s">
        <v>20</v>
      </c>
      <c r="G166" s="10">
        <f t="shared" si="8"/>
        <v>100.16943521594683</v>
      </c>
      <c r="H166" s="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t="s">
        <v>20</v>
      </c>
      <c r="G167" s="10">
        <f t="shared" si="8"/>
        <v>121.99004424778761</v>
      </c>
      <c r="H167" s="6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t="s">
        <v>20</v>
      </c>
      <c r="G168" s="10">
        <f t="shared" si="8"/>
        <v>137.13265306122449</v>
      </c>
      <c r="H168" s="6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t="s">
        <v>20</v>
      </c>
      <c r="G169" s="10">
        <f t="shared" si="8"/>
        <v>415.53846153846149</v>
      </c>
      <c r="H169" s="6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t="s">
        <v>14</v>
      </c>
      <c r="G170" s="10">
        <f t="shared" si="8"/>
        <v>31.30913348946136</v>
      </c>
      <c r="H170" s="6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t="s">
        <v>20</v>
      </c>
      <c r="G171" s="10">
        <f t="shared" si="8"/>
        <v>424.08154506437768</v>
      </c>
      <c r="H171" s="6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t="s">
        <v>14</v>
      </c>
      <c r="G172" s="10">
        <f t="shared" si="8"/>
        <v>2.93886230728336</v>
      </c>
      <c r="H172" s="6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t="s">
        <v>14</v>
      </c>
      <c r="G173" s="10">
        <f t="shared" si="8"/>
        <v>10.63265306122449</v>
      </c>
      <c r="H173" s="6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t="s">
        <v>14</v>
      </c>
      <c r="G174" s="10">
        <f t="shared" si="8"/>
        <v>82.875</v>
      </c>
      <c r="H174" s="6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t="s">
        <v>20</v>
      </c>
      <c r="G175" s="10">
        <f t="shared" si="8"/>
        <v>163.01447776628748</v>
      </c>
      <c r="H175" s="6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t="s">
        <v>20</v>
      </c>
      <c r="G176" s="10">
        <f t="shared" si="8"/>
        <v>894.66666666666674</v>
      </c>
      <c r="H176" s="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t="s">
        <v>14</v>
      </c>
      <c r="G177" s="10">
        <f t="shared" si="8"/>
        <v>26.191501103752756</v>
      </c>
      <c r="H177" s="6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t="s">
        <v>14</v>
      </c>
      <c r="G178" s="10">
        <f t="shared" si="8"/>
        <v>74.834782608695647</v>
      </c>
      <c r="H178" s="6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t="s">
        <v>20</v>
      </c>
      <c r="G179" s="10">
        <f t="shared" si="8"/>
        <v>416.47680412371136</v>
      </c>
      <c r="H179" s="6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t="s">
        <v>14</v>
      </c>
      <c r="G180" s="10">
        <f t="shared" si="8"/>
        <v>96.208333333333329</v>
      </c>
      <c r="H180" s="6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t="s">
        <v>20</v>
      </c>
      <c r="G181" s="10">
        <f t="shared" si="8"/>
        <v>357.71910112359546</v>
      </c>
      <c r="H181" s="6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t="s">
        <v>20</v>
      </c>
      <c r="G182" s="10">
        <f t="shared" si="8"/>
        <v>308.45714285714286</v>
      </c>
      <c r="H182" s="6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t="s">
        <v>14</v>
      </c>
      <c r="G183" s="10">
        <f t="shared" si="8"/>
        <v>61.802325581395344</v>
      </c>
      <c r="H183" s="6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t="s">
        <v>20</v>
      </c>
      <c r="G184" s="10">
        <f t="shared" si="8"/>
        <v>722.32472324723244</v>
      </c>
      <c r="H184" s="6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t="s">
        <v>14</v>
      </c>
      <c r="G185" s="10">
        <f t="shared" si="8"/>
        <v>69.117647058823522</v>
      </c>
      <c r="H185" s="6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t="s">
        <v>20</v>
      </c>
      <c r="G186" s="10">
        <f t="shared" si="8"/>
        <v>293.05555555555554</v>
      </c>
      <c r="H186" s="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t="s">
        <v>14</v>
      </c>
      <c r="G187" s="10">
        <f t="shared" si="8"/>
        <v>71.8</v>
      </c>
      <c r="H187" s="6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t="s">
        <v>14</v>
      </c>
      <c r="G188" s="10">
        <f t="shared" si="8"/>
        <v>31.934684684684683</v>
      </c>
      <c r="H188" s="6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t="s">
        <v>20</v>
      </c>
      <c r="G189" s="10">
        <f t="shared" si="8"/>
        <v>229.87375415282392</v>
      </c>
      <c r="H189" s="6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t="s">
        <v>14</v>
      </c>
      <c r="G190" s="10">
        <f t="shared" si="8"/>
        <v>32.012195121951223</v>
      </c>
      <c r="H190" s="6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t="s">
        <v>74</v>
      </c>
      <c r="G191" s="10">
        <f t="shared" si="8"/>
        <v>23.525352848928385</v>
      </c>
      <c r="H191" s="6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t="s">
        <v>14</v>
      </c>
      <c r="G192" s="10">
        <f t="shared" si="8"/>
        <v>68.594594594594597</v>
      </c>
      <c r="H192" s="6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t="s">
        <v>14</v>
      </c>
      <c r="G193" s="10">
        <f t="shared" si="8"/>
        <v>37.952380952380956</v>
      </c>
      <c r="H193" s="6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t="s">
        <v>14</v>
      </c>
      <c r="G194" s="10">
        <f t="shared" si="8"/>
        <v>19.992957746478872</v>
      </c>
      <c r="H194" s="6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t="s">
        <v>14</v>
      </c>
      <c r="G195" s="10">
        <f t="shared" ref="G195:G258" si="12">E195/D195*100</f>
        <v>45.636363636363633</v>
      </c>
      <c r="H195" s="6">
        <f t="shared" ref="H195:H258" si="13">IFERROR(E195/I195,"NONE")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t="s">
        <v>20</v>
      </c>
      <c r="G196" s="10">
        <f t="shared" si="12"/>
        <v>122.7605633802817</v>
      </c>
      <c r="H196" s="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t="s">
        <v>20</v>
      </c>
      <c r="G197" s="10">
        <f t="shared" si="12"/>
        <v>361.75316455696202</v>
      </c>
      <c r="H197" s="6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t="s">
        <v>14</v>
      </c>
      <c r="G198" s="10">
        <f t="shared" si="12"/>
        <v>63.146341463414636</v>
      </c>
      <c r="H198" s="6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t="s">
        <v>20</v>
      </c>
      <c r="G199" s="10">
        <f t="shared" si="12"/>
        <v>298.20475319926874</v>
      </c>
      <c r="H199" s="6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t="s">
        <v>14</v>
      </c>
      <c r="G200" s="10">
        <f t="shared" si="12"/>
        <v>9.5585443037974684</v>
      </c>
      <c r="H200" s="6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t="s">
        <v>14</v>
      </c>
      <c r="G201" s="10">
        <f t="shared" si="12"/>
        <v>53.777777777777779</v>
      </c>
      <c r="H201" s="6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t="s">
        <v>14</v>
      </c>
      <c r="G202" s="10">
        <f t="shared" si="12"/>
        <v>2</v>
      </c>
      <c r="H202" s="6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t="s">
        <v>20</v>
      </c>
      <c r="G203" s="10">
        <f t="shared" si="12"/>
        <v>681.19047619047615</v>
      </c>
      <c r="H203" s="6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t="s">
        <v>74</v>
      </c>
      <c r="G204" s="10">
        <f t="shared" si="12"/>
        <v>78.831325301204828</v>
      </c>
      <c r="H204" s="6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t="s">
        <v>20</v>
      </c>
      <c r="G205" s="10">
        <f t="shared" si="12"/>
        <v>134.40792216817235</v>
      </c>
      <c r="H205" s="6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t="s">
        <v>14</v>
      </c>
      <c r="G206" s="10">
        <f t="shared" si="12"/>
        <v>3.3719999999999999</v>
      </c>
      <c r="H206" s="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t="s">
        <v>20</v>
      </c>
      <c r="G207" s="10">
        <f t="shared" si="12"/>
        <v>431.84615384615387</v>
      </c>
      <c r="H207" s="6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t="s">
        <v>74</v>
      </c>
      <c r="G208" s="10">
        <f t="shared" si="12"/>
        <v>38.844444444444441</v>
      </c>
      <c r="H208" s="6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t="s">
        <v>20</v>
      </c>
      <c r="G209" s="10">
        <f t="shared" si="12"/>
        <v>425.7</v>
      </c>
      <c r="H209" s="6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t="s">
        <v>20</v>
      </c>
      <c r="G210" s="10">
        <f t="shared" si="12"/>
        <v>101.12239715591672</v>
      </c>
      <c r="H210" s="6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t="s">
        <v>47</v>
      </c>
      <c r="G211" s="10">
        <f t="shared" si="12"/>
        <v>21.188688946015425</v>
      </c>
      <c r="H211" s="6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t="s">
        <v>14</v>
      </c>
      <c r="G212" s="10">
        <f t="shared" si="12"/>
        <v>67.425531914893625</v>
      </c>
      <c r="H212" s="6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t="s">
        <v>14</v>
      </c>
      <c r="G213" s="10">
        <f t="shared" si="12"/>
        <v>94.923371647509583</v>
      </c>
      <c r="H213" s="6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t="s">
        <v>20</v>
      </c>
      <c r="G214" s="10">
        <f t="shared" si="12"/>
        <v>151.85185185185185</v>
      </c>
      <c r="H214" s="6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t="s">
        <v>20</v>
      </c>
      <c r="G215" s="10">
        <f t="shared" si="12"/>
        <v>195.16382252559728</v>
      </c>
      <c r="H215" s="6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t="s">
        <v>20</v>
      </c>
      <c r="G216" s="10">
        <f t="shared" si="12"/>
        <v>1023.1428571428571</v>
      </c>
      <c r="H216" s="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t="s">
        <v>14</v>
      </c>
      <c r="G217" s="10">
        <f t="shared" si="12"/>
        <v>3.841836734693878</v>
      </c>
      <c r="H217" s="6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t="s">
        <v>20</v>
      </c>
      <c r="G218" s="10">
        <f t="shared" si="12"/>
        <v>155.07066557107643</v>
      </c>
      <c r="H218" s="6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t="s">
        <v>14</v>
      </c>
      <c r="G219" s="10">
        <f t="shared" si="12"/>
        <v>44.753477588871718</v>
      </c>
      <c r="H219" s="6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t="s">
        <v>20</v>
      </c>
      <c r="G220" s="10">
        <f t="shared" si="12"/>
        <v>215.94736842105263</v>
      </c>
      <c r="H220" s="6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t="s">
        <v>20</v>
      </c>
      <c r="G221" s="10">
        <f t="shared" si="12"/>
        <v>332.12709832134288</v>
      </c>
      <c r="H221" s="6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t="s">
        <v>14</v>
      </c>
      <c r="G222" s="10">
        <f t="shared" si="12"/>
        <v>8.4430379746835449</v>
      </c>
      <c r="H222" s="6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t="s">
        <v>14</v>
      </c>
      <c r="G223" s="10">
        <f t="shared" si="12"/>
        <v>98.625514403292186</v>
      </c>
      <c r="H223" s="6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t="s">
        <v>20</v>
      </c>
      <c r="G224" s="10">
        <f t="shared" si="12"/>
        <v>137.97916666666669</v>
      </c>
      <c r="H224" s="6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t="s">
        <v>14</v>
      </c>
      <c r="G225" s="10">
        <f t="shared" si="12"/>
        <v>93.81099656357388</v>
      </c>
      <c r="H225" s="6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t="s">
        <v>20</v>
      </c>
      <c r="G226" s="10">
        <f t="shared" si="12"/>
        <v>403.63930885529157</v>
      </c>
      <c r="H226" s="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t="s">
        <v>20</v>
      </c>
      <c r="G227" s="10">
        <f t="shared" si="12"/>
        <v>260.1740412979351</v>
      </c>
      <c r="H227" s="6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t="s">
        <v>20</v>
      </c>
      <c r="G228" s="10">
        <f t="shared" si="12"/>
        <v>366.63333333333333</v>
      </c>
      <c r="H228" s="6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t="s">
        <v>20</v>
      </c>
      <c r="G229" s="10">
        <f t="shared" si="12"/>
        <v>168.72085385878489</v>
      </c>
      <c r="H229" s="6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t="s">
        <v>20</v>
      </c>
      <c r="G230" s="10">
        <f t="shared" si="12"/>
        <v>119.90717911530093</v>
      </c>
      <c r="H230" s="6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t="s">
        <v>20</v>
      </c>
      <c r="G231" s="10">
        <f t="shared" si="12"/>
        <v>193.68925233644859</v>
      </c>
      <c r="H231" s="6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t="s">
        <v>20</v>
      </c>
      <c r="G232" s="10">
        <f t="shared" si="12"/>
        <v>420.16666666666669</v>
      </c>
      <c r="H232" s="6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t="s">
        <v>74</v>
      </c>
      <c r="G233" s="10">
        <f t="shared" si="12"/>
        <v>76.708333333333329</v>
      </c>
      <c r="H233" s="6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t="s">
        <v>20</v>
      </c>
      <c r="G234" s="10">
        <f t="shared" si="12"/>
        <v>171.26470588235293</v>
      </c>
      <c r="H234" s="6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t="s">
        <v>20</v>
      </c>
      <c r="G235" s="10">
        <f t="shared" si="12"/>
        <v>157.89473684210526</v>
      </c>
      <c r="H235" s="6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t="s">
        <v>20</v>
      </c>
      <c r="G236" s="10">
        <f t="shared" si="12"/>
        <v>109.08</v>
      </c>
      <c r="H236" s="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t="s">
        <v>14</v>
      </c>
      <c r="G237" s="10">
        <f t="shared" si="12"/>
        <v>41.732558139534881</v>
      </c>
      <c r="H237" s="6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t="s">
        <v>14</v>
      </c>
      <c r="G238" s="10">
        <f t="shared" si="12"/>
        <v>10.944303797468354</v>
      </c>
      <c r="H238" s="6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t="s">
        <v>20</v>
      </c>
      <c r="G239" s="10">
        <f t="shared" si="12"/>
        <v>159.3763440860215</v>
      </c>
      <c r="H239" s="6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t="s">
        <v>20</v>
      </c>
      <c r="G240" s="10">
        <f t="shared" si="12"/>
        <v>422.41666666666669</v>
      </c>
      <c r="H240" s="6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t="s">
        <v>14</v>
      </c>
      <c r="G241" s="10">
        <f t="shared" si="12"/>
        <v>97.71875</v>
      </c>
      <c r="H241" s="6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t="s">
        <v>20</v>
      </c>
      <c r="G242" s="10">
        <f t="shared" si="12"/>
        <v>418.78911564625849</v>
      </c>
      <c r="H242" s="6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t="s">
        <v>20</v>
      </c>
      <c r="G243" s="10">
        <f t="shared" si="12"/>
        <v>101.91632047477745</v>
      </c>
      <c r="H243" s="6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t="s">
        <v>20</v>
      </c>
      <c r="G244" s="10">
        <f t="shared" si="12"/>
        <v>127.72619047619047</v>
      </c>
      <c r="H244" s="6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t="s">
        <v>20</v>
      </c>
      <c r="G245" s="10">
        <f t="shared" si="12"/>
        <v>445.21739130434781</v>
      </c>
      <c r="H245" s="6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t="s">
        <v>20</v>
      </c>
      <c r="G246" s="10">
        <f t="shared" si="12"/>
        <v>569.71428571428578</v>
      </c>
      <c r="H246" s="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t="s">
        <v>20</v>
      </c>
      <c r="G247" s="10">
        <f t="shared" si="12"/>
        <v>509.34482758620686</v>
      </c>
      <c r="H247" s="6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t="s">
        <v>20</v>
      </c>
      <c r="G248" s="10">
        <f t="shared" si="12"/>
        <v>325.5333333333333</v>
      </c>
      <c r="H248" s="6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t="s">
        <v>20</v>
      </c>
      <c r="G249" s="10">
        <f t="shared" si="12"/>
        <v>932.61616161616166</v>
      </c>
      <c r="H249" s="6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t="s">
        <v>20</v>
      </c>
      <c r="G250" s="10">
        <f t="shared" si="12"/>
        <v>211.33870967741933</v>
      </c>
      <c r="H250" s="6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t="s">
        <v>20</v>
      </c>
      <c r="G251" s="10">
        <f t="shared" si="12"/>
        <v>273.32520325203251</v>
      </c>
      <c r="H251" s="6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t="s">
        <v>14</v>
      </c>
      <c r="G252" s="10">
        <f t="shared" si="12"/>
        <v>3</v>
      </c>
      <c r="H252" s="6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t="s">
        <v>14</v>
      </c>
      <c r="G253" s="10">
        <f t="shared" si="12"/>
        <v>54.084507042253513</v>
      </c>
      <c r="H253" s="6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t="s">
        <v>20</v>
      </c>
      <c r="G254" s="10">
        <f t="shared" si="12"/>
        <v>626.29999999999995</v>
      </c>
      <c r="H254" s="6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t="s">
        <v>14</v>
      </c>
      <c r="G255" s="10">
        <f t="shared" si="12"/>
        <v>89.021399176954731</v>
      </c>
      <c r="H255" s="6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t="s">
        <v>20</v>
      </c>
      <c r="G256" s="10">
        <f t="shared" si="12"/>
        <v>184.89130434782609</v>
      </c>
      <c r="H256" s="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t="s">
        <v>20</v>
      </c>
      <c r="G257" s="10">
        <f t="shared" si="12"/>
        <v>120.16770186335404</v>
      </c>
      <c r="H257" s="6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t="s">
        <v>14</v>
      </c>
      <c r="G258" s="10">
        <f t="shared" si="12"/>
        <v>23.390243902439025</v>
      </c>
      <c r="H258" s="6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t="s">
        <v>20</v>
      </c>
      <c r="G259" s="10">
        <f t="shared" ref="G259:G322" si="16">E259/D259*100</f>
        <v>146</v>
      </c>
      <c r="H259" s="6">
        <f t="shared" ref="H259:H322" si="17">IFERROR(E259/I259,"NONE")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t="s">
        <v>20</v>
      </c>
      <c r="G260" s="10">
        <f t="shared" si="16"/>
        <v>268.48</v>
      </c>
      <c r="H260" s="6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t="s">
        <v>20</v>
      </c>
      <c r="G261" s="10">
        <f t="shared" si="16"/>
        <v>597.5</v>
      </c>
      <c r="H261" s="6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t="s">
        <v>20</v>
      </c>
      <c r="G262" s="10">
        <f t="shared" si="16"/>
        <v>157.69841269841268</v>
      </c>
      <c r="H262" s="6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t="s">
        <v>14</v>
      </c>
      <c r="G263" s="10">
        <f t="shared" si="16"/>
        <v>31.201660735468568</v>
      </c>
      <c r="H263" s="6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t="s">
        <v>20</v>
      </c>
      <c r="G264" s="10">
        <f t="shared" si="16"/>
        <v>313.41176470588238</v>
      </c>
      <c r="H264" s="6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t="s">
        <v>20</v>
      </c>
      <c r="G265" s="10">
        <f t="shared" si="16"/>
        <v>370.89655172413791</v>
      </c>
      <c r="H265" s="6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t="s">
        <v>20</v>
      </c>
      <c r="G266" s="10">
        <f t="shared" si="16"/>
        <v>362.66447368421052</v>
      </c>
      <c r="H266" s="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t="s">
        <v>20</v>
      </c>
      <c r="G267" s="10">
        <f t="shared" si="16"/>
        <v>123.08163265306122</v>
      </c>
      <c r="H267" s="6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t="s">
        <v>14</v>
      </c>
      <c r="G268" s="10">
        <f t="shared" si="16"/>
        <v>76.766756032171585</v>
      </c>
      <c r="H268" s="6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t="s">
        <v>20</v>
      </c>
      <c r="G269" s="10">
        <f t="shared" si="16"/>
        <v>233.62012987012989</v>
      </c>
      <c r="H269" s="6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t="s">
        <v>20</v>
      </c>
      <c r="G270" s="10">
        <f t="shared" si="16"/>
        <v>180.53333333333333</v>
      </c>
      <c r="H270" s="6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t="s">
        <v>20</v>
      </c>
      <c r="G271" s="10">
        <f t="shared" si="16"/>
        <v>252.62857142857143</v>
      </c>
      <c r="H271" s="6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t="s">
        <v>74</v>
      </c>
      <c r="G272" s="10">
        <f t="shared" si="16"/>
        <v>27.176538240368025</v>
      </c>
      <c r="H272" s="6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t="s">
        <v>47</v>
      </c>
      <c r="G273" s="10">
        <f t="shared" si="16"/>
        <v>1.2706571242680547</v>
      </c>
      <c r="H273" s="6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t="s">
        <v>20</v>
      </c>
      <c r="G274" s="10">
        <f t="shared" si="16"/>
        <v>304.0097847358121</v>
      </c>
      <c r="H274" s="6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t="s">
        <v>20</v>
      </c>
      <c r="G275" s="10">
        <f t="shared" si="16"/>
        <v>137.23076923076923</v>
      </c>
      <c r="H275" s="6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t="s">
        <v>14</v>
      </c>
      <c r="G276" s="10">
        <f t="shared" si="16"/>
        <v>32.208333333333336</v>
      </c>
      <c r="H276" s="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t="s">
        <v>20</v>
      </c>
      <c r="G277" s="10">
        <f t="shared" si="16"/>
        <v>241.51282051282053</v>
      </c>
      <c r="H277" s="6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t="s">
        <v>14</v>
      </c>
      <c r="G278" s="10">
        <f t="shared" si="16"/>
        <v>96.8</v>
      </c>
      <c r="H278" s="6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t="s">
        <v>20</v>
      </c>
      <c r="G279" s="10">
        <f t="shared" si="16"/>
        <v>1066.4285714285716</v>
      </c>
      <c r="H279" s="6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t="s">
        <v>20</v>
      </c>
      <c r="G280" s="10">
        <f t="shared" si="16"/>
        <v>325.88888888888891</v>
      </c>
      <c r="H280" s="6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t="s">
        <v>20</v>
      </c>
      <c r="G281" s="10">
        <f t="shared" si="16"/>
        <v>170.70000000000002</v>
      </c>
      <c r="H281" s="6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t="s">
        <v>20</v>
      </c>
      <c r="G282" s="10">
        <f t="shared" si="16"/>
        <v>581.44000000000005</v>
      </c>
      <c r="H282" s="6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t="s">
        <v>14</v>
      </c>
      <c r="G283" s="10">
        <f t="shared" si="16"/>
        <v>91.520972644376897</v>
      </c>
      <c r="H283" s="6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t="s">
        <v>20</v>
      </c>
      <c r="G284" s="10">
        <f t="shared" si="16"/>
        <v>108.04761904761904</v>
      </c>
      <c r="H284" s="6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t="s">
        <v>14</v>
      </c>
      <c r="G285" s="10">
        <f t="shared" si="16"/>
        <v>18.728395061728396</v>
      </c>
      <c r="H285" s="6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t="s">
        <v>14</v>
      </c>
      <c r="G286" s="10">
        <f t="shared" si="16"/>
        <v>83.193877551020407</v>
      </c>
      <c r="H286" s="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t="s">
        <v>20</v>
      </c>
      <c r="G287" s="10">
        <f t="shared" si="16"/>
        <v>706.33333333333337</v>
      </c>
      <c r="H287" s="6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t="s">
        <v>74</v>
      </c>
      <c r="G288" s="10">
        <f t="shared" si="16"/>
        <v>17.446030330062445</v>
      </c>
      <c r="H288" s="6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t="s">
        <v>20</v>
      </c>
      <c r="G289" s="10">
        <f t="shared" si="16"/>
        <v>209.73015873015873</v>
      </c>
      <c r="H289" s="6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t="s">
        <v>14</v>
      </c>
      <c r="G290" s="10">
        <f t="shared" si="16"/>
        <v>97.785714285714292</v>
      </c>
      <c r="H290" s="6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t="s">
        <v>20</v>
      </c>
      <c r="G291" s="10">
        <f t="shared" si="16"/>
        <v>1684.25</v>
      </c>
      <c r="H291" s="6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t="s">
        <v>14</v>
      </c>
      <c r="G292" s="10">
        <f t="shared" si="16"/>
        <v>54.402135231316727</v>
      </c>
      <c r="H292" s="6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t="s">
        <v>20</v>
      </c>
      <c r="G293" s="10">
        <f t="shared" si="16"/>
        <v>456.61111111111109</v>
      </c>
      <c r="H293" s="6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t="s">
        <v>14</v>
      </c>
      <c r="G294" s="10">
        <f t="shared" si="16"/>
        <v>9.8219178082191778</v>
      </c>
      <c r="H294" s="6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t="s">
        <v>74</v>
      </c>
      <c r="G295" s="10">
        <f t="shared" si="16"/>
        <v>16.384615384615383</v>
      </c>
      <c r="H295" s="6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t="s">
        <v>20</v>
      </c>
      <c r="G296" s="10">
        <f t="shared" si="16"/>
        <v>1339.6666666666667</v>
      </c>
      <c r="H296" s="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t="s">
        <v>14</v>
      </c>
      <c r="G297" s="10">
        <f t="shared" si="16"/>
        <v>35.650077760497666</v>
      </c>
      <c r="H297" s="6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t="s">
        <v>14</v>
      </c>
      <c r="G298" s="10">
        <f t="shared" si="16"/>
        <v>54.950819672131146</v>
      </c>
      <c r="H298" s="6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t="s">
        <v>14</v>
      </c>
      <c r="G299" s="10">
        <f t="shared" si="16"/>
        <v>94.236111111111114</v>
      </c>
      <c r="H299" s="6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t="s">
        <v>20</v>
      </c>
      <c r="G300" s="10">
        <f t="shared" si="16"/>
        <v>143.91428571428571</v>
      </c>
      <c r="H300" s="6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t="s">
        <v>14</v>
      </c>
      <c r="G301" s="10">
        <f t="shared" si="16"/>
        <v>51.421052631578945</v>
      </c>
      <c r="H301" s="6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t="s">
        <v>14</v>
      </c>
      <c r="G302" s="10">
        <f t="shared" si="16"/>
        <v>5</v>
      </c>
      <c r="H302" s="6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t="s">
        <v>20</v>
      </c>
      <c r="G303" s="10">
        <f t="shared" si="16"/>
        <v>1344.6666666666667</v>
      </c>
      <c r="H303" s="6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t="s">
        <v>14</v>
      </c>
      <c r="G304" s="10">
        <f t="shared" si="16"/>
        <v>31.844940867279899</v>
      </c>
      <c r="H304" s="6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t="s">
        <v>14</v>
      </c>
      <c r="G305" s="10">
        <f t="shared" si="16"/>
        <v>82.617647058823536</v>
      </c>
      <c r="H305" s="6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t="s">
        <v>20</v>
      </c>
      <c r="G306" s="10">
        <f t="shared" si="16"/>
        <v>546.14285714285722</v>
      </c>
      <c r="H306" s="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t="s">
        <v>20</v>
      </c>
      <c r="G307" s="10">
        <f t="shared" si="16"/>
        <v>286.21428571428572</v>
      </c>
      <c r="H307" s="6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t="s">
        <v>14</v>
      </c>
      <c r="G308" s="10">
        <f t="shared" si="16"/>
        <v>7.9076923076923071</v>
      </c>
      <c r="H308" s="6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t="s">
        <v>20</v>
      </c>
      <c r="G309" s="10">
        <f t="shared" si="16"/>
        <v>132.13677811550153</v>
      </c>
      <c r="H309" s="6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t="s">
        <v>14</v>
      </c>
      <c r="G310" s="10">
        <f t="shared" si="16"/>
        <v>74.077834179357026</v>
      </c>
      <c r="H310" s="6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t="s">
        <v>74</v>
      </c>
      <c r="G311" s="10">
        <f t="shared" si="16"/>
        <v>75.292682926829272</v>
      </c>
      <c r="H311" s="6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t="s">
        <v>14</v>
      </c>
      <c r="G312" s="10">
        <f t="shared" si="16"/>
        <v>20.333333333333332</v>
      </c>
      <c r="H312" s="6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t="s">
        <v>20</v>
      </c>
      <c r="G313" s="10">
        <f t="shared" si="16"/>
        <v>203.36507936507937</v>
      </c>
      <c r="H313" s="6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t="s">
        <v>20</v>
      </c>
      <c r="G314" s="10">
        <f t="shared" si="16"/>
        <v>310.2284263959391</v>
      </c>
      <c r="H314" s="6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t="s">
        <v>20</v>
      </c>
      <c r="G315" s="10">
        <f t="shared" si="16"/>
        <v>395.31818181818181</v>
      </c>
      <c r="H315" s="6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t="s">
        <v>20</v>
      </c>
      <c r="G316" s="10">
        <f t="shared" si="16"/>
        <v>294.71428571428572</v>
      </c>
      <c r="H316" s="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t="s">
        <v>14</v>
      </c>
      <c r="G317" s="10">
        <f t="shared" si="16"/>
        <v>33.89473684210526</v>
      </c>
      <c r="H317" s="6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t="s">
        <v>14</v>
      </c>
      <c r="G318" s="10">
        <f t="shared" si="16"/>
        <v>66.677083333333329</v>
      </c>
      <c r="H318" s="6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t="s">
        <v>14</v>
      </c>
      <c r="G319" s="10">
        <f t="shared" si="16"/>
        <v>19.227272727272727</v>
      </c>
      <c r="H319" s="6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t="s">
        <v>14</v>
      </c>
      <c r="G320" s="10">
        <f t="shared" si="16"/>
        <v>15.842105263157894</v>
      </c>
      <c r="H320" s="6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t="s">
        <v>74</v>
      </c>
      <c r="G321" s="10">
        <f t="shared" si="16"/>
        <v>38.702380952380956</v>
      </c>
      <c r="H321" s="6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t="s">
        <v>14</v>
      </c>
      <c r="G322" s="10">
        <f t="shared" si="16"/>
        <v>9.5876777251184837</v>
      </c>
      <c r="H322" s="6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t="s">
        <v>14</v>
      </c>
      <c r="G323" s="10">
        <f t="shared" ref="G323:G386" si="20">E323/D323*100</f>
        <v>94.144366197183089</v>
      </c>
      <c r="H323" s="6">
        <f t="shared" ref="H323:H386" si="21">IFERROR(E323/I323,"NONE")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t="s">
        <v>20</v>
      </c>
      <c r="G324" s="10">
        <f t="shared" si="20"/>
        <v>166.56234096692114</v>
      </c>
      <c r="H324" s="6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t="s">
        <v>14</v>
      </c>
      <c r="G325" s="10">
        <f t="shared" si="20"/>
        <v>24.134831460674157</v>
      </c>
      <c r="H325" s="6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t="s">
        <v>20</v>
      </c>
      <c r="G326" s="10">
        <f t="shared" si="20"/>
        <v>164.05633802816902</v>
      </c>
      <c r="H326" s="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t="s">
        <v>14</v>
      </c>
      <c r="G327" s="10">
        <f t="shared" si="20"/>
        <v>90.723076923076931</v>
      </c>
      <c r="H327" s="6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t="s">
        <v>14</v>
      </c>
      <c r="G328" s="10">
        <f t="shared" si="20"/>
        <v>46.194444444444443</v>
      </c>
      <c r="H328" s="6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t="s">
        <v>14</v>
      </c>
      <c r="G329" s="10">
        <f t="shared" si="20"/>
        <v>38.53846153846154</v>
      </c>
      <c r="H329" s="6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t="s">
        <v>20</v>
      </c>
      <c r="G330" s="10">
        <f t="shared" si="20"/>
        <v>133.56231003039514</v>
      </c>
      <c r="H330" s="6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t="s">
        <v>47</v>
      </c>
      <c r="G331" s="10">
        <f t="shared" si="20"/>
        <v>22.896588486140725</v>
      </c>
      <c r="H331" s="6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t="s">
        <v>20</v>
      </c>
      <c r="G332" s="10">
        <f t="shared" si="20"/>
        <v>184.95548961424333</v>
      </c>
      <c r="H332" s="6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t="s">
        <v>20</v>
      </c>
      <c r="G333" s="10">
        <f t="shared" si="20"/>
        <v>443.72727272727275</v>
      </c>
      <c r="H333" s="6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t="s">
        <v>20</v>
      </c>
      <c r="G334" s="10">
        <f t="shared" si="20"/>
        <v>199.9806763285024</v>
      </c>
      <c r="H334" s="6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t="s">
        <v>20</v>
      </c>
      <c r="G335" s="10">
        <f t="shared" si="20"/>
        <v>123.95833333333333</v>
      </c>
      <c r="H335" s="6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t="s">
        <v>20</v>
      </c>
      <c r="G336" s="10">
        <f t="shared" si="20"/>
        <v>186.61329305135951</v>
      </c>
      <c r="H336" s="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t="s">
        <v>20</v>
      </c>
      <c r="G337" s="10">
        <f t="shared" si="20"/>
        <v>114.28538550057536</v>
      </c>
      <c r="H337" s="6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t="s">
        <v>14</v>
      </c>
      <c r="G338" s="10">
        <f t="shared" si="20"/>
        <v>97.032531824611041</v>
      </c>
      <c r="H338" s="6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t="s">
        <v>20</v>
      </c>
      <c r="G339" s="10">
        <f t="shared" si="20"/>
        <v>122.81904761904762</v>
      </c>
      <c r="H339" s="6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t="s">
        <v>20</v>
      </c>
      <c r="G340" s="10">
        <f t="shared" si="20"/>
        <v>179.14326647564468</v>
      </c>
      <c r="H340" s="6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t="s">
        <v>74</v>
      </c>
      <c r="G341" s="10">
        <f t="shared" si="20"/>
        <v>79.951577402787962</v>
      </c>
      <c r="H341" s="6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t="s">
        <v>14</v>
      </c>
      <c r="G342" s="10">
        <f t="shared" si="20"/>
        <v>94.242587601078171</v>
      </c>
      <c r="H342" s="6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t="s">
        <v>14</v>
      </c>
      <c r="G343" s="10">
        <f t="shared" si="20"/>
        <v>84.669291338582681</v>
      </c>
      <c r="H343" s="6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t="s">
        <v>14</v>
      </c>
      <c r="G344" s="10">
        <f t="shared" si="20"/>
        <v>66.521920668058456</v>
      </c>
      <c r="H344" s="6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t="s">
        <v>14</v>
      </c>
      <c r="G345" s="10">
        <f t="shared" si="20"/>
        <v>53.922222222222224</v>
      </c>
      <c r="H345" s="6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t="s">
        <v>14</v>
      </c>
      <c r="G346" s="10">
        <f t="shared" si="20"/>
        <v>41.983299595141702</v>
      </c>
      <c r="H346" s="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t="s">
        <v>14</v>
      </c>
      <c r="G347" s="10">
        <f t="shared" si="20"/>
        <v>14.69479695431472</v>
      </c>
      <c r="H347" s="6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t="s">
        <v>14</v>
      </c>
      <c r="G348" s="10">
        <f t="shared" si="20"/>
        <v>34.475000000000001</v>
      </c>
      <c r="H348" s="6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t="s">
        <v>20</v>
      </c>
      <c r="G349" s="10">
        <f t="shared" si="20"/>
        <v>1400.7777777777778</v>
      </c>
      <c r="H349" s="6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t="s">
        <v>14</v>
      </c>
      <c r="G350" s="10">
        <f t="shared" si="20"/>
        <v>71.770351758793964</v>
      </c>
      <c r="H350" s="6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t="s">
        <v>14</v>
      </c>
      <c r="G351" s="10">
        <f t="shared" si="20"/>
        <v>53.074115044247783</v>
      </c>
      <c r="H351" s="6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t="s">
        <v>14</v>
      </c>
      <c r="G352" s="10">
        <f t="shared" si="20"/>
        <v>5</v>
      </c>
      <c r="H352" s="6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t="s">
        <v>20</v>
      </c>
      <c r="G353" s="10">
        <f t="shared" si="20"/>
        <v>127.70715249662618</v>
      </c>
      <c r="H353" s="6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t="s">
        <v>14</v>
      </c>
      <c r="G354" s="10">
        <f t="shared" si="20"/>
        <v>34.892857142857139</v>
      </c>
      <c r="H354" s="6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t="s">
        <v>20</v>
      </c>
      <c r="G355" s="10">
        <f t="shared" si="20"/>
        <v>410.59821428571428</v>
      </c>
      <c r="H355" s="6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t="s">
        <v>20</v>
      </c>
      <c r="G356" s="10">
        <f t="shared" si="20"/>
        <v>123.73770491803278</v>
      </c>
      <c r="H356" s="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t="s">
        <v>47</v>
      </c>
      <c r="G357" s="10">
        <f t="shared" si="20"/>
        <v>58.973684210526315</v>
      </c>
      <c r="H357" s="6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t="s">
        <v>14</v>
      </c>
      <c r="G358" s="10">
        <f t="shared" si="20"/>
        <v>36.892473118279568</v>
      </c>
      <c r="H358" s="6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t="s">
        <v>20</v>
      </c>
      <c r="G359" s="10">
        <f t="shared" si="20"/>
        <v>184.91304347826087</v>
      </c>
      <c r="H359" s="6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t="s">
        <v>14</v>
      </c>
      <c r="G360" s="10">
        <f t="shared" si="20"/>
        <v>11.814432989690722</v>
      </c>
      <c r="H360" s="6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t="s">
        <v>20</v>
      </c>
      <c r="G361" s="10">
        <f t="shared" si="20"/>
        <v>298.7</v>
      </c>
      <c r="H361" s="6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t="s">
        <v>20</v>
      </c>
      <c r="G362" s="10">
        <f t="shared" si="20"/>
        <v>226.35175879396985</v>
      </c>
      <c r="H362" s="6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t="s">
        <v>20</v>
      </c>
      <c r="G363" s="10">
        <f t="shared" si="20"/>
        <v>173.56363636363636</v>
      </c>
      <c r="H363" s="6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t="s">
        <v>20</v>
      </c>
      <c r="G364" s="10">
        <f t="shared" si="20"/>
        <v>371.75675675675677</v>
      </c>
      <c r="H364" s="6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t="s">
        <v>20</v>
      </c>
      <c r="G365" s="10">
        <f t="shared" si="20"/>
        <v>160.19230769230771</v>
      </c>
      <c r="H365" s="6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t="s">
        <v>20</v>
      </c>
      <c r="G366" s="10">
        <f t="shared" si="20"/>
        <v>1616.3333333333335</v>
      </c>
      <c r="H366" s="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t="s">
        <v>20</v>
      </c>
      <c r="G367" s="10">
        <f t="shared" si="20"/>
        <v>733.4375</v>
      </c>
      <c r="H367" s="6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t="s">
        <v>20</v>
      </c>
      <c r="G368" s="10">
        <f t="shared" si="20"/>
        <v>592.11111111111109</v>
      </c>
      <c r="H368" s="6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t="s">
        <v>14</v>
      </c>
      <c r="G369" s="10">
        <f t="shared" si="20"/>
        <v>18.888888888888889</v>
      </c>
      <c r="H369" s="6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t="s">
        <v>20</v>
      </c>
      <c r="G370" s="10">
        <f t="shared" si="20"/>
        <v>276.80769230769232</v>
      </c>
      <c r="H370" s="6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t="s">
        <v>20</v>
      </c>
      <c r="G371" s="10">
        <f t="shared" si="20"/>
        <v>273.01851851851848</v>
      </c>
      <c r="H371" s="6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t="s">
        <v>20</v>
      </c>
      <c r="G372" s="10">
        <f t="shared" si="20"/>
        <v>159.36331255565449</v>
      </c>
      <c r="H372" s="6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t="s">
        <v>14</v>
      </c>
      <c r="G373" s="10">
        <f t="shared" si="20"/>
        <v>67.869978858350947</v>
      </c>
      <c r="H373" s="6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t="s">
        <v>20</v>
      </c>
      <c r="G374" s="10">
        <f t="shared" si="20"/>
        <v>1591.5555555555554</v>
      </c>
      <c r="H374" s="6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t="s">
        <v>20</v>
      </c>
      <c r="G375" s="10">
        <f t="shared" si="20"/>
        <v>730.18222222222221</v>
      </c>
      <c r="H375" s="6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t="s">
        <v>14</v>
      </c>
      <c r="G376" s="10">
        <f t="shared" si="20"/>
        <v>13.185782556750297</v>
      </c>
      <c r="H376" s="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t="s">
        <v>14</v>
      </c>
      <c r="G377" s="10">
        <f t="shared" si="20"/>
        <v>54.777777777777779</v>
      </c>
      <c r="H377" s="6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t="s">
        <v>20</v>
      </c>
      <c r="G378" s="10">
        <f t="shared" si="20"/>
        <v>361.02941176470591</v>
      </c>
      <c r="H378" s="6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t="s">
        <v>14</v>
      </c>
      <c r="G379" s="10">
        <f t="shared" si="20"/>
        <v>10.257545271629779</v>
      </c>
      <c r="H379" s="6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t="s">
        <v>14</v>
      </c>
      <c r="G380" s="10">
        <f t="shared" si="20"/>
        <v>13.962962962962964</v>
      </c>
      <c r="H380" s="6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t="s">
        <v>14</v>
      </c>
      <c r="G381" s="10">
        <f t="shared" si="20"/>
        <v>40.444444444444443</v>
      </c>
      <c r="H381" s="6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t="s">
        <v>20</v>
      </c>
      <c r="G382" s="10">
        <f t="shared" si="20"/>
        <v>160.32</v>
      </c>
      <c r="H382" s="6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t="s">
        <v>20</v>
      </c>
      <c r="G383" s="10">
        <f t="shared" si="20"/>
        <v>183.9433962264151</v>
      </c>
      <c r="H383" s="6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t="s">
        <v>14</v>
      </c>
      <c r="G384" s="10">
        <f t="shared" si="20"/>
        <v>63.769230769230766</v>
      </c>
      <c r="H384" s="6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t="s">
        <v>20</v>
      </c>
      <c r="G385" s="10">
        <f t="shared" si="20"/>
        <v>225.38095238095238</v>
      </c>
      <c r="H385" s="6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t="s">
        <v>20</v>
      </c>
      <c r="G386" s="10">
        <f t="shared" si="20"/>
        <v>172.00961538461539</v>
      </c>
      <c r="H386" s="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t="s">
        <v>20</v>
      </c>
      <c r="G387" s="10">
        <f t="shared" ref="G387:G450" si="24">E387/D387*100</f>
        <v>146.16709511568124</v>
      </c>
      <c r="H387" s="6">
        <f t="shared" ref="H387:H450" si="25">IFERROR(E387/I387,"NONE")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t="s">
        <v>14</v>
      </c>
      <c r="G388" s="10">
        <f t="shared" si="24"/>
        <v>76.42361623616236</v>
      </c>
      <c r="H388" s="6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t="s">
        <v>14</v>
      </c>
      <c r="G389" s="10">
        <f t="shared" si="24"/>
        <v>39.261467889908261</v>
      </c>
      <c r="H389" s="6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t="s">
        <v>74</v>
      </c>
      <c r="G390" s="10">
        <f t="shared" si="24"/>
        <v>11.270034843205574</v>
      </c>
      <c r="H390" s="6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t="s">
        <v>20</v>
      </c>
      <c r="G391" s="10">
        <f t="shared" si="24"/>
        <v>122.11084337349398</v>
      </c>
      <c r="H391" s="6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t="s">
        <v>20</v>
      </c>
      <c r="G392" s="10">
        <f t="shared" si="24"/>
        <v>186.54166666666669</v>
      </c>
      <c r="H392" s="6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t="s">
        <v>14</v>
      </c>
      <c r="G393" s="10">
        <f t="shared" si="24"/>
        <v>7.2731788079470201</v>
      </c>
      <c r="H393" s="6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t="s">
        <v>14</v>
      </c>
      <c r="G394" s="10">
        <f t="shared" si="24"/>
        <v>65.642371234207957</v>
      </c>
      <c r="H394" s="6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t="s">
        <v>20</v>
      </c>
      <c r="G395" s="10">
        <f t="shared" si="24"/>
        <v>228.96178343949046</v>
      </c>
      <c r="H395" s="6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t="s">
        <v>20</v>
      </c>
      <c r="G396" s="10">
        <f t="shared" si="24"/>
        <v>469.37499999999994</v>
      </c>
      <c r="H396" s="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t="s">
        <v>20</v>
      </c>
      <c r="G397" s="10">
        <f t="shared" si="24"/>
        <v>130.11267605633802</v>
      </c>
      <c r="H397" s="6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t="s">
        <v>20</v>
      </c>
      <c r="G398" s="10">
        <f t="shared" si="24"/>
        <v>167.05422993492408</v>
      </c>
      <c r="H398" s="6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t="s">
        <v>20</v>
      </c>
      <c r="G399" s="10">
        <f t="shared" si="24"/>
        <v>173.8641975308642</v>
      </c>
      <c r="H399" s="6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t="s">
        <v>20</v>
      </c>
      <c r="G400" s="10">
        <f t="shared" si="24"/>
        <v>717.76470588235293</v>
      </c>
      <c r="H400" s="6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t="s">
        <v>14</v>
      </c>
      <c r="G401" s="10">
        <f t="shared" si="24"/>
        <v>63.850976361767728</v>
      </c>
      <c r="H401" s="6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t="s">
        <v>14</v>
      </c>
      <c r="G402" s="10">
        <f t="shared" si="24"/>
        <v>2</v>
      </c>
      <c r="H402" s="6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t="s">
        <v>20</v>
      </c>
      <c r="G403" s="10">
        <f t="shared" si="24"/>
        <v>1530.2222222222222</v>
      </c>
      <c r="H403" s="6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t="s">
        <v>14</v>
      </c>
      <c r="G404" s="10">
        <f t="shared" si="24"/>
        <v>40.356164383561641</v>
      </c>
      <c r="H404" s="6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t="s">
        <v>14</v>
      </c>
      <c r="G405" s="10">
        <f t="shared" si="24"/>
        <v>86.220633299284984</v>
      </c>
      <c r="H405" s="6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t="s">
        <v>20</v>
      </c>
      <c r="G406" s="10">
        <f t="shared" si="24"/>
        <v>315.58486707566465</v>
      </c>
      <c r="H406" s="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t="s">
        <v>14</v>
      </c>
      <c r="G407" s="10">
        <f t="shared" si="24"/>
        <v>89.618243243243242</v>
      </c>
      <c r="H407" s="6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t="s">
        <v>20</v>
      </c>
      <c r="G408" s="10">
        <f t="shared" si="24"/>
        <v>182.14503816793894</v>
      </c>
      <c r="H408" s="6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t="s">
        <v>20</v>
      </c>
      <c r="G409" s="10">
        <f t="shared" si="24"/>
        <v>355.88235294117646</v>
      </c>
      <c r="H409" s="6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t="s">
        <v>20</v>
      </c>
      <c r="G410" s="10">
        <f t="shared" si="24"/>
        <v>131.83695652173913</v>
      </c>
      <c r="H410" s="6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t="s">
        <v>14</v>
      </c>
      <c r="G411" s="10">
        <f t="shared" si="24"/>
        <v>46.315634218289084</v>
      </c>
      <c r="H411" s="6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t="s">
        <v>47</v>
      </c>
      <c r="G412" s="10">
        <f t="shared" si="24"/>
        <v>36.132726089785294</v>
      </c>
      <c r="H412" s="6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t="s">
        <v>20</v>
      </c>
      <c r="G413" s="10">
        <f t="shared" si="24"/>
        <v>104.62820512820512</v>
      </c>
      <c r="H413" s="6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t="s">
        <v>20</v>
      </c>
      <c r="G414" s="10">
        <f t="shared" si="24"/>
        <v>668.85714285714289</v>
      </c>
      <c r="H414" s="6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t="s">
        <v>47</v>
      </c>
      <c r="G415" s="10">
        <f t="shared" si="24"/>
        <v>62.072823218997364</v>
      </c>
      <c r="H415" s="6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t="s">
        <v>14</v>
      </c>
      <c r="G416" s="10">
        <f t="shared" si="24"/>
        <v>84.699787460148784</v>
      </c>
      <c r="H416" s="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t="s">
        <v>14</v>
      </c>
      <c r="G417" s="10">
        <f t="shared" si="24"/>
        <v>11.059030837004405</v>
      </c>
      <c r="H417" s="6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t="s">
        <v>14</v>
      </c>
      <c r="G418" s="10">
        <f t="shared" si="24"/>
        <v>43.838781575037146</v>
      </c>
      <c r="H418" s="6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t="s">
        <v>14</v>
      </c>
      <c r="G419" s="10">
        <f t="shared" si="24"/>
        <v>55.470588235294116</v>
      </c>
      <c r="H419" s="6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t="s">
        <v>14</v>
      </c>
      <c r="G420" s="10">
        <f t="shared" si="24"/>
        <v>57.399511301160658</v>
      </c>
      <c r="H420" s="6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t="s">
        <v>20</v>
      </c>
      <c r="G421" s="10">
        <f t="shared" si="24"/>
        <v>123.43497363796135</v>
      </c>
      <c r="H421" s="6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t="s">
        <v>20</v>
      </c>
      <c r="G422" s="10">
        <f t="shared" si="24"/>
        <v>128.46</v>
      </c>
      <c r="H422" s="6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t="s">
        <v>14</v>
      </c>
      <c r="G423" s="10">
        <f t="shared" si="24"/>
        <v>63.989361702127653</v>
      </c>
      <c r="H423" s="6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t="s">
        <v>20</v>
      </c>
      <c r="G424" s="10">
        <f t="shared" si="24"/>
        <v>127.29885057471265</v>
      </c>
      <c r="H424" s="6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t="s">
        <v>14</v>
      </c>
      <c r="G425" s="10">
        <f t="shared" si="24"/>
        <v>10.638024357239512</v>
      </c>
      <c r="H425" s="6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t="s">
        <v>14</v>
      </c>
      <c r="G426" s="10">
        <f t="shared" si="24"/>
        <v>40.470588235294116</v>
      </c>
      <c r="H426" s="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t="s">
        <v>20</v>
      </c>
      <c r="G427" s="10">
        <f t="shared" si="24"/>
        <v>287.66666666666663</v>
      </c>
      <c r="H427" s="6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t="s">
        <v>20</v>
      </c>
      <c r="G428" s="10">
        <f t="shared" si="24"/>
        <v>572.94444444444446</v>
      </c>
      <c r="H428" s="6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t="s">
        <v>20</v>
      </c>
      <c r="G429" s="10">
        <f t="shared" si="24"/>
        <v>112.90429799426933</v>
      </c>
      <c r="H429" s="6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t="s">
        <v>14</v>
      </c>
      <c r="G430" s="10">
        <f t="shared" si="24"/>
        <v>46.387573964497044</v>
      </c>
      <c r="H430" s="6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t="s">
        <v>74</v>
      </c>
      <c r="G431" s="10">
        <f t="shared" si="24"/>
        <v>90.675916230366497</v>
      </c>
      <c r="H431" s="6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t="s">
        <v>14</v>
      </c>
      <c r="G432" s="10">
        <f t="shared" si="24"/>
        <v>67.740740740740748</v>
      </c>
      <c r="H432" s="6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t="s">
        <v>20</v>
      </c>
      <c r="G433" s="10">
        <f t="shared" si="24"/>
        <v>192.49019607843135</v>
      </c>
      <c r="H433" s="6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t="s">
        <v>14</v>
      </c>
      <c r="G434" s="10">
        <f t="shared" si="24"/>
        <v>82.714285714285722</v>
      </c>
      <c r="H434" s="6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t="s">
        <v>14</v>
      </c>
      <c r="G435" s="10">
        <f t="shared" si="24"/>
        <v>54.163920922570021</v>
      </c>
      <c r="H435" s="6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t="s">
        <v>74</v>
      </c>
      <c r="G436" s="10">
        <f t="shared" si="24"/>
        <v>16.722222222222221</v>
      </c>
      <c r="H436" s="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t="s">
        <v>20</v>
      </c>
      <c r="G437" s="10">
        <f t="shared" si="24"/>
        <v>116.87664041994749</v>
      </c>
      <c r="H437" s="6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t="s">
        <v>20</v>
      </c>
      <c r="G438" s="10">
        <f t="shared" si="24"/>
        <v>1052.1538461538462</v>
      </c>
      <c r="H438" s="6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t="s">
        <v>20</v>
      </c>
      <c r="G439" s="10">
        <f t="shared" si="24"/>
        <v>123.07407407407408</v>
      </c>
      <c r="H439" s="6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t="s">
        <v>20</v>
      </c>
      <c r="G440" s="10">
        <f t="shared" si="24"/>
        <v>178.63855421686748</v>
      </c>
      <c r="H440" s="6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t="s">
        <v>20</v>
      </c>
      <c r="G441" s="10">
        <f t="shared" si="24"/>
        <v>355.28169014084506</v>
      </c>
      <c r="H441" s="6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t="s">
        <v>20</v>
      </c>
      <c r="G442" s="10">
        <f t="shared" si="24"/>
        <v>161.90634146341463</v>
      </c>
      <c r="H442" s="6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t="s">
        <v>14</v>
      </c>
      <c r="G443" s="10">
        <f t="shared" si="24"/>
        <v>24.914285714285715</v>
      </c>
      <c r="H443" s="6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t="s">
        <v>20</v>
      </c>
      <c r="G444" s="10">
        <f t="shared" si="24"/>
        <v>198.72222222222223</v>
      </c>
      <c r="H444" s="6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t="s">
        <v>74</v>
      </c>
      <c r="G445" s="10">
        <f t="shared" si="24"/>
        <v>34.752688172043008</v>
      </c>
      <c r="H445" s="6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t="s">
        <v>20</v>
      </c>
      <c r="G446" s="10">
        <f t="shared" si="24"/>
        <v>176.41935483870967</v>
      </c>
      <c r="H446" s="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t="s">
        <v>20</v>
      </c>
      <c r="G447" s="10">
        <f t="shared" si="24"/>
        <v>511.38095238095235</v>
      </c>
      <c r="H447" s="6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t="s">
        <v>14</v>
      </c>
      <c r="G448" s="10">
        <f t="shared" si="24"/>
        <v>82.044117647058826</v>
      </c>
      <c r="H448" s="6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t="s">
        <v>74</v>
      </c>
      <c r="G449" s="10">
        <f t="shared" si="24"/>
        <v>24.326030927835053</v>
      </c>
      <c r="H449" s="6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t="s">
        <v>14</v>
      </c>
      <c r="G450" s="10">
        <f t="shared" si="24"/>
        <v>50.482758620689658</v>
      </c>
      <c r="H450" s="6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t="s">
        <v>20</v>
      </c>
      <c r="G451" s="10">
        <f t="shared" ref="G451:G514" si="28">E451/D451*100</f>
        <v>967</v>
      </c>
      <c r="H451" s="6">
        <f t="shared" ref="H451:H514" si="29">IFERROR(E451/I451,"NONE")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t="s">
        <v>14</v>
      </c>
      <c r="G452" s="10">
        <f t="shared" si="28"/>
        <v>4</v>
      </c>
      <c r="H452" s="6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t="s">
        <v>20</v>
      </c>
      <c r="G453" s="10">
        <f t="shared" si="28"/>
        <v>122.84501347708894</v>
      </c>
      <c r="H453" s="6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t="s">
        <v>14</v>
      </c>
      <c r="G454" s="10">
        <f t="shared" si="28"/>
        <v>63.4375</v>
      </c>
      <c r="H454" s="6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t="s">
        <v>14</v>
      </c>
      <c r="G455" s="10">
        <f t="shared" si="28"/>
        <v>56.331688596491226</v>
      </c>
      <c r="H455" s="6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t="s">
        <v>14</v>
      </c>
      <c r="G456" s="10">
        <f t="shared" si="28"/>
        <v>44.074999999999996</v>
      </c>
      <c r="H456" s="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t="s">
        <v>20</v>
      </c>
      <c r="G457" s="10">
        <f t="shared" si="28"/>
        <v>118.37253218884121</v>
      </c>
      <c r="H457" s="6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t="s">
        <v>20</v>
      </c>
      <c r="G458" s="10">
        <f t="shared" si="28"/>
        <v>104.1243169398907</v>
      </c>
      <c r="H458" s="6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t="s">
        <v>14</v>
      </c>
      <c r="G459" s="10">
        <f t="shared" si="28"/>
        <v>26.640000000000004</v>
      </c>
      <c r="H459" s="6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t="s">
        <v>20</v>
      </c>
      <c r="G460" s="10">
        <f t="shared" si="28"/>
        <v>351.20118343195264</v>
      </c>
      <c r="H460" s="6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t="s">
        <v>14</v>
      </c>
      <c r="G461" s="10">
        <f t="shared" si="28"/>
        <v>90.063492063492063</v>
      </c>
      <c r="H461" s="6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t="s">
        <v>20</v>
      </c>
      <c r="G462" s="10">
        <f t="shared" si="28"/>
        <v>171.625</v>
      </c>
      <c r="H462" s="6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t="s">
        <v>20</v>
      </c>
      <c r="G463" s="10">
        <f t="shared" si="28"/>
        <v>141.04655870445345</v>
      </c>
      <c r="H463" s="6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t="s">
        <v>14</v>
      </c>
      <c r="G464" s="10">
        <f t="shared" si="28"/>
        <v>30.57944915254237</v>
      </c>
      <c r="H464" s="6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t="s">
        <v>20</v>
      </c>
      <c r="G465" s="10">
        <f t="shared" si="28"/>
        <v>108.16455696202532</v>
      </c>
      <c r="H465" s="6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t="s">
        <v>20</v>
      </c>
      <c r="G466" s="10">
        <f t="shared" si="28"/>
        <v>133.45505617977528</v>
      </c>
      <c r="H466" s="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t="s">
        <v>20</v>
      </c>
      <c r="G467" s="10">
        <f t="shared" si="28"/>
        <v>187.85106382978722</v>
      </c>
      <c r="H467" s="6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t="s">
        <v>20</v>
      </c>
      <c r="G468" s="10">
        <f t="shared" si="28"/>
        <v>332</v>
      </c>
      <c r="H468" s="6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t="s">
        <v>20</v>
      </c>
      <c r="G469" s="10">
        <f t="shared" si="28"/>
        <v>575.21428571428578</v>
      </c>
      <c r="H469" s="6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t="s">
        <v>14</v>
      </c>
      <c r="G470" s="10">
        <f t="shared" si="28"/>
        <v>40.5</v>
      </c>
      <c r="H470" s="6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t="s">
        <v>20</v>
      </c>
      <c r="G471" s="10">
        <f t="shared" si="28"/>
        <v>184.42857142857144</v>
      </c>
      <c r="H471" s="6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t="s">
        <v>20</v>
      </c>
      <c r="G472" s="10">
        <f t="shared" si="28"/>
        <v>285.80555555555554</v>
      </c>
      <c r="H472" s="6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t="s">
        <v>20</v>
      </c>
      <c r="G473" s="10">
        <f t="shared" si="28"/>
        <v>319</v>
      </c>
      <c r="H473" s="6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t="s">
        <v>14</v>
      </c>
      <c r="G474" s="10">
        <f t="shared" si="28"/>
        <v>39.234070221066318</v>
      </c>
      <c r="H474" s="6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t="s">
        <v>20</v>
      </c>
      <c r="G475" s="10">
        <f t="shared" si="28"/>
        <v>178.14000000000001</v>
      </c>
      <c r="H475" s="6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t="s">
        <v>20</v>
      </c>
      <c r="G476" s="10">
        <f t="shared" si="28"/>
        <v>365.15</v>
      </c>
      <c r="H476" s="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t="s">
        <v>20</v>
      </c>
      <c r="G477" s="10">
        <f t="shared" si="28"/>
        <v>113.94594594594594</v>
      </c>
      <c r="H477" s="6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t="s">
        <v>14</v>
      </c>
      <c r="G478" s="10">
        <f t="shared" si="28"/>
        <v>29.828720626631856</v>
      </c>
      <c r="H478" s="6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t="s">
        <v>14</v>
      </c>
      <c r="G479" s="10">
        <f t="shared" si="28"/>
        <v>54.270588235294113</v>
      </c>
      <c r="H479" s="6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t="s">
        <v>20</v>
      </c>
      <c r="G480" s="10">
        <f t="shared" si="28"/>
        <v>236.34156976744185</v>
      </c>
      <c r="H480" s="6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t="s">
        <v>20</v>
      </c>
      <c r="G481" s="10">
        <f t="shared" si="28"/>
        <v>512.91666666666663</v>
      </c>
      <c r="H481" s="6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t="s">
        <v>20</v>
      </c>
      <c r="G482" s="10">
        <f t="shared" si="28"/>
        <v>100.65116279069768</v>
      </c>
      <c r="H482" s="6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t="s">
        <v>14</v>
      </c>
      <c r="G483" s="10">
        <f t="shared" si="28"/>
        <v>81.348423194303152</v>
      </c>
      <c r="H483" s="6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t="s">
        <v>14</v>
      </c>
      <c r="G484" s="10">
        <f t="shared" si="28"/>
        <v>16.404761904761905</v>
      </c>
      <c r="H484" s="6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t="s">
        <v>14</v>
      </c>
      <c r="G485" s="10">
        <f t="shared" si="28"/>
        <v>52.774617067833695</v>
      </c>
      <c r="H485" s="6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t="s">
        <v>20</v>
      </c>
      <c r="G486" s="10">
        <f t="shared" si="28"/>
        <v>260.20608108108109</v>
      </c>
      <c r="H486" s="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t="s">
        <v>14</v>
      </c>
      <c r="G487" s="10">
        <f t="shared" si="28"/>
        <v>30.73289183222958</v>
      </c>
      <c r="H487" s="6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t="s">
        <v>14</v>
      </c>
      <c r="G488" s="10">
        <f t="shared" si="28"/>
        <v>13.5</v>
      </c>
      <c r="H488" s="6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t="s">
        <v>20</v>
      </c>
      <c r="G489" s="10">
        <f t="shared" si="28"/>
        <v>178.62556663644605</v>
      </c>
      <c r="H489" s="6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t="s">
        <v>20</v>
      </c>
      <c r="G490" s="10">
        <f t="shared" si="28"/>
        <v>220.0566037735849</v>
      </c>
      <c r="H490" s="6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t="s">
        <v>20</v>
      </c>
      <c r="G491" s="10">
        <f t="shared" si="28"/>
        <v>101.5108695652174</v>
      </c>
      <c r="H491" s="6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t="s">
        <v>20</v>
      </c>
      <c r="G492" s="10">
        <f t="shared" si="28"/>
        <v>191.5</v>
      </c>
      <c r="H492" s="6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t="s">
        <v>20</v>
      </c>
      <c r="G493" s="10">
        <f t="shared" si="28"/>
        <v>305.34683098591546</v>
      </c>
      <c r="H493" s="6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t="s">
        <v>74</v>
      </c>
      <c r="G494" s="10">
        <f t="shared" si="28"/>
        <v>23.995287958115181</v>
      </c>
      <c r="H494" s="6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t="s">
        <v>20</v>
      </c>
      <c r="G495" s="10">
        <f t="shared" si="28"/>
        <v>723.77777777777771</v>
      </c>
      <c r="H495" s="6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t="s">
        <v>20</v>
      </c>
      <c r="G496" s="10">
        <f t="shared" si="28"/>
        <v>547.36</v>
      </c>
      <c r="H496" s="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t="s">
        <v>20</v>
      </c>
      <c r="G497" s="10">
        <f t="shared" si="28"/>
        <v>414.49999999999994</v>
      </c>
      <c r="H497" s="6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t="s">
        <v>14</v>
      </c>
      <c r="G498" s="10">
        <f t="shared" si="28"/>
        <v>0.90696409140369971</v>
      </c>
      <c r="H498" s="6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t="s">
        <v>14</v>
      </c>
      <c r="G499" s="10">
        <f t="shared" si="28"/>
        <v>34.173469387755098</v>
      </c>
      <c r="H499" s="6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t="s">
        <v>14</v>
      </c>
      <c r="G500" s="10">
        <f t="shared" si="28"/>
        <v>23.948810754912099</v>
      </c>
      <c r="H500" s="6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t="s">
        <v>14</v>
      </c>
      <c r="G501" s="10">
        <f t="shared" si="28"/>
        <v>48.072649572649574</v>
      </c>
      <c r="H501" s="6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t="s">
        <v>14</v>
      </c>
      <c r="G502" s="10">
        <f t="shared" si="28"/>
        <v>0</v>
      </c>
      <c r="H502" s="6" t="str">
        <f t="shared" si="29"/>
        <v>NONE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t="s">
        <v>14</v>
      </c>
      <c r="G503" s="10">
        <f t="shared" si="28"/>
        <v>70.145182291666657</v>
      </c>
      <c r="H503" s="6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t="s">
        <v>20</v>
      </c>
      <c r="G504" s="10">
        <f t="shared" si="28"/>
        <v>529.92307692307691</v>
      </c>
      <c r="H504" s="6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t="s">
        <v>20</v>
      </c>
      <c r="G505" s="10">
        <f t="shared" si="28"/>
        <v>180.32549019607845</v>
      </c>
      <c r="H505" s="6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t="s">
        <v>14</v>
      </c>
      <c r="G506" s="10">
        <f t="shared" si="28"/>
        <v>92.320000000000007</v>
      </c>
      <c r="H506" s="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t="s">
        <v>14</v>
      </c>
      <c r="G507" s="10">
        <f t="shared" si="28"/>
        <v>13.901001112347053</v>
      </c>
      <c r="H507" s="6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t="s">
        <v>20</v>
      </c>
      <c r="G508" s="10">
        <f t="shared" si="28"/>
        <v>927.07777777777767</v>
      </c>
      <c r="H508" s="6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t="s">
        <v>14</v>
      </c>
      <c r="G509" s="10">
        <f t="shared" si="28"/>
        <v>39.857142857142861</v>
      </c>
      <c r="H509" s="6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t="s">
        <v>20</v>
      </c>
      <c r="G510" s="10">
        <f t="shared" si="28"/>
        <v>112.22929936305732</v>
      </c>
      <c r="H510" s="6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t="s">
        <v>14</v>
      </c>
      <c r="G511" s="10">
        <f t="shared" si="28"/>
        <v>70.925816023738875</v>
      </c>
      <c r="H511" s="6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t="s">
        <v>20</v>
      </c>
      <c r="G512" s="10">
        <f t="shared" si="28"/>
        <v>119.08974358974358</v>
      </c>
      <c r="H512" s="6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t="s">
        <v>14</v>
      </c>
      <c r="G513" s="10">
        <f t="shared" si="28"/>
        <v>24.017591339648174</v>
      </c>
      <c r="H513" s="6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t="s">
        <v>20</v>
      </c>
      <c r="G514" s="10">
        <f t="shared" si="28"/>
        <v>139.31868131868131</v>
      </c>
      <c r="H514" s="6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t="s">
        <v>74</v>
      </c>
      <c r="G515" s="10">
        <f t="shared" ref="G515:G578" si="32">E515/D515*100</f>
        <v>39.277108433734945</v>
      </c>
      <c r="H515" s="6">
        <f t="shared" ref="H515:H578" si="33">IFERROR(E515/I515,"NONE")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t="s">
        <v>74</v>
      </c>
      <c r="G516" s="10">
        <f t="shared" si="32"/>
        <v>22.439077144917089</v>
      </c>
      <c r="H516" s="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t="s">
        <v>14</v>
      </c>
      <c r="G517" s="10">
        <f t="shared" si="32"/>
        <v>55.779069767441861</v>
      </c>
      <c r="H517" s="6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t="s">
        <v>14</v>
      </c>
      <c r="G518" s="10">
        <f t="shared" si="32"/>
        <v>42.523125996810208</v>
      </c>
      <c r="H518" s="6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t="s">
        <v>20</v>
      </c>
      <c r="G519" s="10">
        <f t="shared" si="32"/>
        <v>112.00000000000001</v>
      </c>
      <c r="H519" s="6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t="s">
        <v>14</v>
      </c>
      <c r="G520" s="10">
        <f t="shared" si="32"/>
        <v>7.0681818181818183</v>
      </c>
      <c r="H520" s="6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t="s">
        <v>20</v>
      </c>
      <c r="G521" s="10">
        <f t="shared" si="32"/>
        <v>101.74563871693867</v>
      </c>
      <c r="H521" s="6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t="s">
        <v>20</v>
      </c>
      <c r="G522" s="10">
        <f t="shared" si="32"/>
        <v>425.75</v>
      </c>
      <c r="H522" s="6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t="s">
        <v>20</v>
      </c>
      <c r="G523" s="10">
        <f t="shared" si="32"/>
        <v>145.53947368421052</v>
      </c>
      <c r="H523" s="6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t="s">
        <v>14</v>
      </c>
      <c r="G524" s="10">
        <f t="shared" si="32"/>
        <v>32.453465346534657</v>
      </c>
      <c r="H524" s="6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t="s">
        <v>20</v>
      </c>
      <c r="G525" s="10">
        <f t="shared" si="32"/>
        <v>700.33333333333326</v>
      </c>
      <c r="H525" s="6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t="s">
        <v>14</v>
      </c>
      <c r="G526" s="10">
        <f t="shared" si="32"/>
        <v>83.904860392967933</v>
      </c>
      <c r="H526" s="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t="s">
        <v>14</v>
      </c>
      <c r="G527" s="10">
        <f t="shared" si="32"/>
        <v>84.19047619047619</v>
      </c>
      <c r="H527" s="6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t="s">
        <v>20</v>
      </c>
      <c r="G528" s="10">
        <f t="shared" si="32"/>
        <v>155.95180722891567</v>
      </c>
      <c r="H528" s="6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t="s">
        <v>14</v>
      </c>
      <c r="G529" s="10">
        <f t="shared" si="32"/>
        <v>99.619450317124731</v>
      </c>
      <c r="H529" s="6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t="s">
        <v>14</v>
      </c>
      <c r="G530" s="10">
        <f t="shared" si="32"/>
        <v>80.300000000000011</v>
      </c>
      <c r="H530" s="6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t="s">
        <v>14</v>
      </c>
      <c r="G531" s="10">
        <f t="shared" si="32"/>
        <v>11.254901960784313</v>
      </c>
      <c r="H531" s="6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t="s">
        <v>14</v>
      </c>
      <c r="G532" s="10">
        <f t="shared" si="32"/>
        <v>91.740952380952379</v>
      </c>
      <c r="H532" s="6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t="s">
        <v>47</v>
      </c>
      <c r="G533" s="10">
        <f t="shared" si="32"/>
        <v>95.521156936261391</v>
      </c>
      <c r="H533" s="6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t="s">
        <v>20</v>
      </c>
      <c r="G534" s="10">
        <f t="shared" si="32"/>
        <v>502.87499999999994</v>
      </c>
      <c r="H534" s="6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t="s">
        <v>20</v>
      </c>
      <c r="G535" s="10">
        <f t="shared" si="32"/>
        <v>159.24394463667818</v>
      </c>
      <c r="H535" s="6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t="s">
        <v>14</v>
      </c>
      <c r="G536" s="10">
        <f t="shared" si="32"/>
        <v>15.022446689113355</v>
      </c>
      <c r="H536" s="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t="s">
        <v>20</v>
      </c>
      <c r="G537" s="10">
        <f t="shared" si="32"/>
        <v>482.03846153846149</v>
      </c>
      <c r="H537" s="6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t="s">
        <v>20</v>
      </c>
      <c r="G538" s="10">
        <f t="shared" si="32"/>
        <v>149.96938775510205</v>
      </c>
      <c r="H538" s="6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t="s">
        <v>20</v>
      </c>
      <c r="G539" s="10">
        <f t="shared" si="32"/>
        <v>117.22156398104266</v>
      </c>
      <c r="H539" s="6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t="s">
        <v>14</v>
      </c>
      <c r="G540" s="10">
        <f t="shared" si="32"/>
        <v>37.695968274950431</v>
      </c>
      <c r="H540" s="6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t="s">
        <v>14</v>
      </c>
      <c r="G541" s="10">
        <f t="shared" si="32"/>
        <v>72.653061224489804</v>
      </c>
      <c r="H541" s="6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t="s">
        <v>20</v>
      </c>
      <c r="G542" s="10">
        <f t="shared" si="32"/>
        <v>265.98113207547169</v>
      </c>
      <c r="H542" s="6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t="s">
        <v>14</v>
      </c>
      <c r="G543" s="10">
        <f t="shared" si="32"/>
        <v>24.205617977528089</v>
      </c>
      <c r="H543" s="6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t="s">
        <v>14</v>
      </c>
      <c r="G544" s="10">
        <f t="shared" si="32"/>
        <v>2.5064935064935066</v>
      </c>
      <c r="H544" s="6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t="s">
        <v>14</v>
      </c>
      <c r="G545" s="10">
        <f t="shared" si="32"/>
        <v>16.329799764428738</v>
      </c>
      <c r="H545" s="6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t="s">
        <v>20</v>
      </c>
      <c r="G546" s="10">
        <f t="shared" si="32"/>
        <v>276.5</v>
      </c>
      <c r="H546" s="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t="s">
        <v>14</v>
      </c>
      <c r="G547" s="10">
        <f t="shared" si="32"/>
        <v>88.803571428571431</v>
      </c>
      <c r="H547" s="6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t="s">
        <v>20</v>
      </c>
      <c r="G548" s="10">
        <f t="shared" si="32"/>
        <v>163.57142857142856</v>
      </c>
      <c r="H548" s="6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t="s">
        <v>20</v>
      </c>
      <c r="G549" s="10">
        <f t="shared" si="32"/>
        <v>969</v>
      </c>
      <c r="H549" s="6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t="s">
        <v>20</v>
      </c>
      <c r="G550" s="10">
        <f t="shared" si="32"/>
        <v>270.91376701966715</v>
      </c>
      <c r="H550" s="6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t="s">
        <v>20</v>
      </c>
      <c r="G551" s="10">
        <f t="shared" si="32"/>
        <v>284.21355932203392</v>
      </c>
      <c r="H551" s="6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t="s">
        <v>74</v>
      </c>
      <c r="G552" s="10">
        <f t="shared" si="32"/>
        <v>4</v>
      </c>
      <c r="H552" s="6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t="s">
        <v>14</v>
      </c>
      <c r="G553" s="10">
        <f t="shared" si="32"/>
        <v>58.6329816768462</v>
      </c>
      <c r="H553" s="6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t="s">
        <v>14</v>
      </c>
      <c r="G554" s="10">
        <f t="shared" si="32"/>
        <v>98.51111111111112</v>
      </c>
      <c r="H554" s="6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t="s">
        <v>14</v>
      </c>
      <c r="G555" s="10">
        <f t="shared" si="32"/>
        <v>43.975381008206334</v>
      </c>
      <c r="H555" s="6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t="s">
        <v>20</v>
      </c>
      <c r="G556" s="10">
        <f t="shared" si="32"/>
        <v>151.66315789473683</v>
      </c>
      <c r="H556" s="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t="s">
        <v>20</v>
      </c>
      <c r="G557" s="10">
        <f t="shared" si="32"/>
        <v>223.63492063492063</v>
      </c>
      <c r="H557" s="6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t="s">
        <v>20</v>
      </c>
      <c r="G558" s="10">
        <f t="shared" si="32"/>
        <v>239.75</v>
      </c>
      <c r="H558" s="6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t="s">
        <v>20</v>
      </c>
      <c r="G559" s="10">
        <f t="shared" si="32"/>
        <v>199.33333333333334</v>
      </c>
      <c r="H559" s="6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t="s">
        <v>20</v>
      </c>
      <c r="G560" s="10">
        <f t="shared" si="32"/>
        <v>137.34482758620689</v>
      </c>
      <c r="H560" s="6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t="s">
        <v>20</v>
      </c>
      <c r="G561" s="10">
        <f t="shared" si="32"/>
        <v>100.9696106362773</v>
      </c>
      <c r="H561" s="6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t="s">
        <v>20</v>
      </c>
      <c r="G562" s="10">
        <f t="shared" si="32"/>
        <v>794.16</v>
      </c>
      <c r="H562" s="6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t="s">
        <v>20</v>
      </c>
      <c r="G563" s="10">
        <f t="shared" si="32"/>
        <v>369.7</v>
      </c>
      <c r="H563" s="6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t="s">
        <v>14</v>
      </c>
      <c r="G564" s="10">
        <f t="shared" si="32"/>
        <v>12.818181818181817</v>
      </c>
      <c r="H564" s="6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t="s">
        <v>20</v>
      </c>
      <c r="G565" s="10">
        <f t="shared" si="32"/>
        <v>138.02702702702703</v>
      </c>
      <c r="H565" s="6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t="s">
        <v>14</v>
      </c>
      <c r="G566" s="10">
        <f t="shared" si="32"/>
        <v>83.813278008298752</v>
      </c>
      <c r="H566" s="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t="s">
        <v>20</v>
      </c>
      <c r="G567" s="10">
        <f t="shared" si="32"/>
        <v>204.60063224446787</v>
      </c>
      <c r="H567" s="6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t="s">
        <v>14</v>
      </c>
      <c r="G568" s="10">
        <f t="shared" si="32"/>
        <v>44.344086021505376</v>
      </c>
      <c r="H568" s="6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t="s">
        <v>20</v>
      </c>
      <c r="G569" s="10">
        <f t="shared" si="32"/>
        <v>218.60294117647058</v>
      </c>
      <c r="H569" s="6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t="s">
        <v>20</v>
      </c>
      <c r="G570" s="10">
        <f t="shared" si="32"/>
        <v>186.03314917127071</v>
      </c>
      <c r="H570" s="6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t="s">
        <v>20</v>
      </c>
      <c r="G571" s="10">
        <f t="shared" si="32"/>
        <v>237.33830845771143</v>
      </c>
      <c r="H571" s="6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t="s">
        <v>20</v>
      </c>
      <c r="G572" s="10">
        <f t="shared" si="32"/>
        <v>305.65384615384613</v>
      </c>
      <c r="H572" s="6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t="s">
        <v>14</v>
      </c>
      <c r="G573" s="10">
        <f t="shared" si="32"/>
        <v>94.142857142857139</v>
      </c>
      <c r="H573" s="6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t="s">
        <v>74</v>
      </c>
      <c r="G574" s="10">
        <f t="shared" si="32"/>
        <v>54.400000000000006</v>
      </c>
      <c r="H574" s="6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t="s">
        <v>20</v>
      </c>
      <c r="G575" s="10">
        <f t="shared" si="32"/>
        <v>111.88059701492537</v>
      </c>
      <c r="H575" s="6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t="s">
        <v>20</v>
      </c>
      <c r="G576" s="10">
        <f t="shared" si="32"/>
        <v>369.14814814814815</v>
      </c>
      <c r="H576" s="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t="s">
        <v>14</v>
      </c>
      <c r="G577" s="10">
        <f t="shared" si="32"/>
        <v>62.930372148859547</v>
      </c>
      <c r="H577" s="6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t="s">
        <v>14</v>
      </c>
      <c r="G578" s="10">
        <f t="shared" si="32"/>
        <v>64.927835051546396</v>
      </c>
      <c r="H578" s="6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t="s">
        <v>74</v>
      </c>
      <c r="G579" s="10">
        <f t="shared" ref="G579:G642" si="36">E579/D579*100</f>
        <v>18.853658536585368</v>
      </c>
      <c r="H579" s="6">
        <f t="shared" ref="H579:H642" si="37">IFERROR(E579/I579,"NONE")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t="s">
        <v>14</v>
      </c>
      <c r="G580" s="10">
        <f t="shared" si="36"/>
        <v>16.754404145077721</v>
      </c>
      <c r="H580" s="6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t="s">
        <v>20</v>
      </c>
      <c r="G581" s="10">
        <f t="shared" si="36"/>
        <v>101.11290322580646</v>
      </c>
      <c r="H581" s="6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t="s">
        <v>20</v>
      </c>
      <c r="G582" s="10">
        <f t="shared" si="36"/>
        <v>341.5022831050228</v>
      </c>
      <c r="H582" s="6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t="s">
        <v>14</v>
      </c>
      <c r="G583" s="10">
        <f t="shared" si="36"/>
        <v>64.016666666666666</v>
      </c>
      <c r="H583" s="6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t="s">
        <v>14</v>
      </c>
      <c r="G584" s="10">
        <f t="shared" si="36"/>
        <v>52.080459770114942</v>
      </c>
      <c r="H584" s="6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t="s">
        <v>20</v>
      </c>
      <c r="G585" s="10">
        <f t="shared" si="36"/>
        <v>322.40211640211641</v>
      </c>
      <c r="H585" s="6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t="s">
        <v>20</v>
      </c>
      <c r="G586" s="10">
        <f t="shared" si="36"/>
        <v>119.50810185185186</v>
      </c>
      <c r="H586" s="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t="s">
        <v>20</v>
      </c>
      <c r="G587" s="10">
        <f t="shared" si="36"/>
        <v>146.79775280898878</v>
      </c>
      <c r="H587" s="6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t="s">
        <v>20</v>
      </c>
      <c r="G588" s="10">
        <f t="shared" si="36"/>
        <v>950.57142857142856</v>
      </c>
      <c r="H588" s="6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t="s">
        <v>14</v>
      </c>
      <c r="G589" s="10">
        <f t="shared" si="36"/>
        <v>72.893617021276597</v>
      </c>
      <c r="H589" s="6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t="s">
        <v>14</v>
      </c>
      <c r="G590" s="10">
        <f t="shared" si="36"/>
        <v>79.008248730964468</v>
      </c>
      <c r="H590" s="6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t="s">
        <v>14</v>
      </c>
      <c r="G591" s="10">
        <f t="shared" si="36"/>
        <v>64.721518987341781</v>
      </c>
      <c r="H591" s="6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t="s">
        <v>14</v>
      </c>
      <c r="G592" s="10">
        <f t="shared" si="36"/>
        <v>82.028169014084511</v>
      </c>
      <c r="H592" s="6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t="s">
        <v>20</v>
      </c>
      <c r="G593" s="10">
        <f t="shared" si="36"/>
        <v>1037.6666666666667</v>
      </c>
      <c r="H593" s="6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t="s">
        <v>14</v>
      </c>
      <c r="G594" s="10">
        <f t="shared" si="36"/>
        <v>12.910076530612244</v>
      </c>
      <c r="H594" s="6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t="s">
        <v>20</v>
      </c>
      <c r="G595" s="10">
        <f t="shared" si="36"/>
        <v>154.84210526315789</v>
      </c>
      <c r="H595" s="6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t="s">
        <v>14</v>
      </c>
      <c r="G596" s="10">
        <f t="shared" si="36"/>
        <v>7.0991735537190088</v>
      </c>
      <c r="H596" s="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t="s">
        <v>20</v>
      </c>
      <c r="G597" s="10">
        <f t="shared" si="36"/>
        <v>208.52773826458036</v>
      </c>
      <c r="H597" s="6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t="s">
        <v>14</v>
      </c>
      <c r="G598" s="10">
        <f t="shared" si="36"/>
        <v>99.683544303797461</v>
      </c>
      <c r="H598" s="6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t="s">
        <v>20</v>
      </c>
      <c r="G599" s="10">
        <f t="shared" si="36"/>
        <v>201.59756097560978</v>
      </c>
      <c r="H599" s="6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t="s">
        <v>20</v>
      </c>
      <c r="G600" s="10">
        <f t="shared" si="36"/>
        <v>162.09032258064516</v>
      </c>
      <c r="H600" s="6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t="s">
        <v>14</v>
      </c>
      <c r="G601" s="10">
        <f t="shared" si="36"/>
        <v>3.6436208125445471</v>
      </c>
      <c r="H601" s="6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t="s">
        <v>14</v>
      </c>
      <c r="G602" s="10">
        <f t="shared" si="36"/>
        <v>5</v>
      </c>
      <c r="H602" s="6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t="s">
        <v>20</v>
      </c>
      <c r="G603" s="10">
        <f t="shared" si="36"/>
        <v>206.63492063492063</v>
      </c>
      <c r="H603" s="6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t="s">
        <v>20</v>
      </c>
      <c r="G604" s="10">
        <f t="shared" si="36"/>
        <v>128.23628691983123</v>
      </c>
      <c r="H604" s="6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t="s">
        <v>20</v>
      </c>
      <c r="G605" s="10">
        <f t="shared" si="36"/>
        <v>119.66037735849055</v>
      </c>
      <c r="H605" s="6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t="s">
        <v>20</v>
      </c>
      <c r="G606" s="10">
        <f t="shared" si="36"/>
        <v>170.73055242390078</v>
      </c>
      <c r="H606" s="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t="s">
        <v>20</v>
      </c>
      <c r="G607" s="10">
        <f t="shared" si="36"/>
        <v>187.21212121212122</v>
      </c>
      <c r="H607" s="6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t="s">
        <v>20</v>
      </c>
      <c r="G608" s="10">
        <f t="shared" si="36"/>
        <v>188.38235294117646</v>
      </c>
      <c r="H608" s="6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t="s">
        <v>20</v>
      </c>
      <c r="G609" s="10">
        <f t="shared" si="36"/>
        <v>131.29869186046511</v>
      </c>
      <c r="H609" s="6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t="s">
        <v>20</v>
      </c>
      <c r="G610" s="10">
        <f t="shared" si="36"/>
        <v>283.97435897435901</v>
      </c>
      <c r="H610" s="6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t="s">
        <v>20</v>
      </c>
      <c r="G611" s="10">
        <f t="shared" si="36"/>
        <v>120.41999999999999</v>
      </c>
      <c r="H611" s="6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t="s">
        <v>20</v>
      </c>
      <c r="G612" s="10">
        <f t="shared" si="36"/>
        <v>419.0560747663551</v>
      </c>
      <c r="H612" s="6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t="s">
        <v>74</v>
      </c>
      <c r="G613" s="10">
        <f t="shared" si="36"/>
        <v>13.853658536585368</v>
      </c>
      <c r="H613" s="6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t="s">
        <v>20</v>
      </c>
      <c r="G614" s="10">
        <f t="shared" si="36"/>
        <v>139.43548387096774</v>
      </c>
      <c r="H614" s="6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t="s">
        <v>20</v>
      </c>
      <c r="G615" s="10">
        <f t="shared" si="36"/>
        <v>174</v>
      </c>
      <c r="H615" s="6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t="s">
        <v>20</v>
      </c>
      <c r="G616" s="10">
        <f t="shared" si="36"/>
        <v>155.49056603773585</v>
      </c>
      <c r="H616" s="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t="s">
        <v>20</v>
      </c>
      <c r="G617" s="10">
        <f t="shared" si="36"/>
        <v>170.44705882352943</v>
      </c>
      <c r="H617" s="6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t="s">
        <v>20</v>
      </c>
      <c r="G618" s="10">
        <f t="shared" si="36"/>
        <v>189.515625</v>
      </c>
      <c r="H618" s="6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t="s">
        <v>20</v>
      </c>
      <c r="G619" s="10">
        <f t="shared" si="36"/>
        <v>249.71428571428572</v>
      </c>
      <c r="H619" s="6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t="s">
        <v>14</v>
      </c>
      <c r="G620" s="10">
        <f t="shared" si="36"/>
        <v>48.860523665659613</v>
      </c>
      <c r="H620" s="6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t="s">
        <v>14</v>
      </c>
      <c r="G621" s="10">
        <f t="shared" si="36"/>
        <v>28.461970393057683</v>
      </c>
      <c r="H621" s="6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t="s">
        <v>20</v>
      </c>
      <c r="G622" s="10">
        <f t="shared" si="36"/>
        <v>268.02325581395348</v>
      </c>
      <c r="H622" s="6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t="s">
        <v>20</v>
      </c>
      <c r="G623" s="10">
        <f t="shared" si="36"/>
        <v>619.80078125</v>
      </c>
      <c r="H623" s="6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t="s">
        <v>14</v>
      </c>
      <c r="G624" s="10">
        <f t="shared" si="36"/>
        <v>3.1301587301587301</v>
      </c>
      <c r="H624" s="6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t="s">
        <v>20</v>
      </c>
      <c r="G625" s="10">
        <f t="shared" si="36"/>
        <v>159.92152704135739</v>
      </c>
      <c r="H625" s="6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t="s">
        <v>20</v>
      </c>
      <c r="G626" s="10">
        <f t="shared" si="36"/>
        <v>279.39215686274508</v>
      </c>
      <c r="H626" s="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t="s">
        <v>14</v>
      </c>
      <c r="G627" s="10">
        <f t="shared" si="36"/>
        <v>77.373333333333335</v>
      </c>
      <c r="H627" s="6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t="s">
        <v>20</v>
      </c>
      <c r="G628" s="10">
        <f t="shared" si="36"/>
        <v>206.32812500000003</v>
      </c>
      <c r="H628" s="6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t="s">
        <v>20</v>
      </c>
      <c r="G629" s="10">
        <f t="shared" si="36"/>
        <v>694.25</v>
      </c>
      <c r="H629" s="6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t="s">
        <v>20</v>
      </c>
      <c r="G630" s="10">
        <f t="shared" si="36"/>
        <v>151.78947368421052</v>
      </c>
      <c r="H630" s="6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t="s">
        <v>14</v>
      </c>
      <c r="G631" s="10">
        <f t="shared" si="36"/>
        <v>64.58207217694995</v>
      </c>
      <c r="H631" s="6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t="s">
        <v>74</v>
      </c>
      <c r="G632" s="10">
        <f t="shared" si="36"/>
        <v>62.873684210526314</v>
      </c>
      <c r="H632" s="6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t="s">
        <v>20</v>
      </c>
      <c r="G633" s="10">
        <f t="shared" si="36"/>
        <v>310.39864864864865</v>
      </c>
      <c r="H633" s="6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t="s">
        <v>47</v>
      </c>
      <c r="G634" s="10">
        <f t="shared" si="36"/>
        <v>42.859916782246884</v>
      </c>
      <c r="H634" s="6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t="s">
        <v>14</v>
      </c>
      <c r="G635" s="10">
        <f t="shared" si="36"/>
        <v>83.119402985074629</v>
      </c>
      <c r="H635" s="6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t="s">
        <v>74</v>
      </c>
      <c r="G636" s="10">
        <f t="shared" si="36"/>
        <v>78.531302876480552</v>
      </c>
      <c r="H636" s="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t="s">
        <v>20</v>
      </c>
      <c r="G637" s="10">
        <f t="shared" si="36"/>
        <v>114.09352517985612</v>
      </c>
      <c r="H637" s="6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t="s">
        <v>14</v>
      </c>
      <c r="G638" s="10">
        <f t="shared" si="36"/>
        <v>64.537683358624179</v>
      </c>
      <c r="H638" s="6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t="s">
        <v>14</v>
      </c>
      <c r="G639" s="10">
        <f t="shared" si="36"/>
        <v>79.411764705882348</v>
      </c>
      <c r="H639" s="6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t="s">
        <v>14</v>
      </c>
      <c r="G640" s="10">
        <f t="shared" si="36"/>
        <v>11.419117647058824</v>
      </c>
      <c r="H640" s="6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t="s">
        <v>47</v>
      </c>
      <c r="G641" s="10">
        <f t="shared" si="36"/>
        <v>56.186046511627907</v>
      </c>
      <c r="H641" s="6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t="s">
        <v>14</v>
      </c>
      <c r="G642" s="10">
        <f t="shared" si="36"/>
        <v>16.501669449081803</v>
      </c>
      <c r="H642" s="6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t="s">
        <v>20</v>
      </c>
      <c r="G643" s="10">
        <f t="shared" ref="G643:G706" si="40">E643/D643*100</f>
        <v>119.96808510638297</v>
      </c>
      <c r="H643" s="6">
        <f t="shared" ref="H643:H706" si="41">IFERROR(E643/I643,"NONE")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t="s">
        <v>20</v>
      </c>
      <c r="G644" s="10">
        <f t="shared" si="40"/>
        <v>145.45652173913044</v>
      </c>
      <c r="H644" s="6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t="s">
        <v>20</v>
      </c>
      <c r="G645" s="10">
        <f t="shared" si="40"/>
        <v>221.38255033557047</v>
      </c>
      <c r="H645" s="6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t="s">
        <v>14</v>
      </c>
      <c r="G646" s="10">
        <f t="shared" si="40"/>
        <v>48.396694214876035</v>
      </c>
      <c r="H646" s="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t="s">
        <v>14</v>
      </c>
      <c r="G647" s="10">
        <f t="shared" si="40"/>
        <v>92.911504424778755</v>
      </c>
      <c r="H647" s="6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t="s">
        <v>14</v>
      </c>
      <c r="G648" s="10">
        <f t="shared" si="40"/>
        <v>88.599797365754824</v>
      </c>
      <c r="H648" s="6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t="s">
        <v>14</v>
      </c>
      <c r="G649" s="10">
        <f t="shared" si="40"/>
        <v>41.4</v>
      </c>
      <c r="H649" s="6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t="s">
        <v>74</v>
      </c>
      <c r="G650" s="10">
        <f t="shared" si="40"/>
        <v>63.056795131845846</v>
      </c>
      <c r="H650" s="6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t="s">
        <v>14</v>
      </c>
      <c r="G651" s="10">
        <f t="shared" si="40"/>
        <v>48.482333607230892</v>
      </c>
      <c r="H651" s="6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t="s">
        <v>14</v>
      </c>
      <c r="G652" s="10">
        <f t="shared" si="40"/>
        <v>2</v>
      </c>
      <c r="H652" s="6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t="s">
        <v>14</v>
      </c>
      <c r="G653" s="10">
        <f t="shared" si="40"/>
        <v>88.47941026944585</v>
      </c>
      <c r="H653" s="6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t="s">
        <v>20</v>
      </c>
      <c r="G654" s="10">
        <f t="shared" si="40"/>
        <v>126.84</v>
      </c>
      <c r="H654" s="6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t="s">
        <v>20</v>
      </c>
      <c r="G655" s="10">
        <f t="shared" si="40"/>
        <v>2338.833333333333</v>
      </c>
      <c r="H655" s="6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t="s">
        <v>20</v>
      </c>
      <c r="G656" s="10">
        <f t="shared" si="40"/>
        <v>508.38857142857148</v>
      </c>
      <c r="H656" s="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t="s">
        <v>20</v>
      </c>
      <c r="G657" s="10">
        <f t="shared" si="40"/>
        <v>191.47826086956522</v>
      </c>
      <c r="H657" s="6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t="s">
        <v>14</v>
      </c>
      <c r="G658" s="10">
        <f t="shared" si="40"/>
        <v>42.127533783783782</v>
      </c>
      <c r="H658" s="6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t="s">
        <v>14</v>
      </c>
      <c r="G659" s="10">
        <f t="shared" si="40"/>
        <v>8.24</v>
      </c>
      <c r="H659" s="6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t="s">
        <v>74</v>
      </c>
      <c r="G660" s="10">
        <f t="shared" si="40"/>
        <v>60.064638783269963</v>
      </c>
      <c r="H660" s="6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t="s">
        <v>14</v>
      </c>
      <c r="G661" s="10">
        <f t="shared" si="40"/>
        <v>47.232808616404313</v>
      </c>
      <c r="H661" s="6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t="s">
        <v>14</v>
      </c>
      <c r="G662" s="10">
        <f t="shared" si="40"/>
        <v>81.736263736263737</v>
      </c>
      <c r="H662" s="6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t="s">
        <v>14</v>
      </c>
      <c r="G663" s="10">
        <f t="shared" si="40"/>
        <v>54.187265917603</v>
      </c>
      <c r="H663" s="6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t="s">
        <v>14</v>
      </c>
      <c r="G664" s="10">
        <f t="shared" si="40"/>
        <v>97.868131868131869</v>
      </c>
      <c r="H664" s="6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t="s">
        <v>14</v>
      </c>
      <c r="G665" s="10">
        <f t="shared" si="40"/>
        <v>77.239999999999995</v>
      </c>
      <c r="H665" s="6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t="s">
        <v>14</v>
      </c>
      <c r="G666" s="10">
        <f t="shared" si="40"/>
        <v>33.464735516372798</v>
      </c>
      <c r="H666" s="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t="s">
        <v>20</v>
      </c>
      <c r="G667" s="10">
        <f t="shared" si="40"/>
        <v>239.58823529411765</v>
      </c>
      <c r="H667" s="6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t="s">
        <v>74</v>
      </c>
      <c r="G668" s="10">
        <f t="shared" si="40"/>
        <v>64.032258064516128</v>
      </c>
      <c r="H668" s="6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t="s">
        <v>20</v>
      </c>
      <c r="G669" s="10">
        <f t="shared" si="40"/>
        <v>176.15942028985506</v>
      </c>
      <c r="H669" s="6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t="s">
        <v>14</v>
      </c>
      <c r="G670" s="10">
        <f t="shared" si="40"/>
        <v>20.33818181818182</v>
      </c>
      <c r="H670" s="6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t="s">
        <v>20</v>
      </c>
      <c r="G671" s="10">
        <f t="shared" si="40"/>
        <v>358.64754098360658</v>
      </c>
      <c r="H671" s="6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t="s">
        <v>20</v>
      </c>
      <c r="G672" s="10">
        <f t="shared" si="40"/>
        <v>468.85802469135803</v>
      </c>
      <c r="H672" s="6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t="s">
        <v>20</v>
      </c>
      <c r="G673" s="10">
        <f t="shared" si="40"/>
        <v>122.05635245901641</v>
      </c>
      <c r="H673" s="6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t="s">
        <v>14</v>
      </c>
      <c r="G674" s="10">
        <f t="shared" si="40"/>
        <v>55.931783729156137</v>
      </c>
      <c r="H674" s="6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t="s">
        <v>14</v>
      </c>
      <c r="G675" s="10">
        <f t="shared" si="40"/>
        <v>43.660714285714285</v>
      </c>
      <c r="H675" s="6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t="s">
        <v>74</v>
      </c>
      <c r="G676" s="10">
        <f t="shared" si="40"/>
        <v>33.53837141183363</v>
      </c>
      <c r="H676" s="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t="s">
        <v>20</v>
      </c>
      <c r="G677" s="10">
        <f t="shared" si="40"/>
        <v>122.97938144329896</v>
      </c>
      <c r="H677" s="6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t="s">
        <v>20</v>
      </c>
      <c r="G678" s="10">
        <f t="shared" si="40"/>
        <v>189.74959871589084</v>
      </c>
      <c r="H678" s="6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t="s">
        <v>14</v>
      </c>
      <c r="G679" s="10">
        <f t="shared" si="40"/>
        <v>83.622641509433961</v>
      </c>
      <c r="H679" s="6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t="s">
        <v>74</v>
      </c>
      <c r="G680" s="10">
        <f t="shared" si="40"/>
        <v>17.968844221105527</v>
      </c>
      <c r="H680" s="6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t="s">
        <v>20</v>
      </c>
      <c r="G681" s="10">
        <f t="shared" si="40"/>
        <v>1036.5</v>
      </c>
      <c r="H681" s="6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t="s">
        <v>14</v>
      </c>
      <c r="G682" s="10">
        <f t="shared" si="40"/>
        <v>97.405219780219781</v>
      </c>
      <c r="H682" s="6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t="s">
        <v>14</v>
      </c>
      <c r="G683" s="10">
        <f t="shared" si="40"/>
        <v>86.386203150461711</v>
      </c>
      <c r="H683" s="6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t="s">
        <v>20</v>
      </c>
      <c r="G684" s="10">
        <f t="shared" si="40"/>
        <v>150.16666666666666</v>
      </c>
      <c r="H684" s="6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t="s">
        <v>20</v>
      </c>
      <c r="G685" s="10">
        <f t="shared" si="40"/>
        <v>358.43478260869563</v>
      </c>
      <c r="H685" s="6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t="s">
        <v>20</v>
      </c>
      <c r="G686" s="10">
        <f t="shared" si="40"/>
        <v>542.85714285714289</v>
      </c>
      <c r="H686" s="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t="s">
        <v>14</v>
      </c>
      <c r="G687" s="10">
        <f t="shared" si="40"/>
        <v>67.500714285714281</v>
      </c>
      <c r="H687" s="6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t="s">
        <v>20</v>
      </c>
      <c r="G688" s="10">
        <f t="shared" si="40"/>
        <v>191.74666666666667</v>
      </c>
      <c r="H688" s="6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t="s">
        <v>20</v>
      </c>
      <c r="G689" s="10">
        <f t="shared" si="40"/>
        <v>932</v>
      </c>
      <c r="H689" s="6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t="s">
        <v>20</v>
      </c>
      <c r="G690" s="10">
        <f t="shared" si="40"/>
        <v>429.27586206896552</v>
      </c>
      <c r="H690" s="6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t="s">
        <v>20</v>
      </c>
      <c r="G691" s="10">
        <f t="shared" si="40"/>
        <v>100.65753424657535</v>
      </c>
      <c r="H691" s="6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t="s">
        <v>20</v>
      </c>
      <c r="G692" s="10">
        <f t="shared" si="40"/>
        <v>226.61111111111109</v>
      </c>
      <c r="H692" s="6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t="s">
        <v>20</v>
      </c>
      <c r="G693" s="10">
        <f t="shared" si="40"/>
        <v>142.38</v>
      </c>
      <c r="H693" s="6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t="s">
        <v>14</v>
      </c>
      <c r="G694" s="10">
        <f t="shared" si="40"/>
        <v>90.633333333333326</v>
      </c>
      <c r="H694" s="6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t="s">
        <v>14</v>
      </c>
      <c r="G695" s="10">
        <f t="shared" si="40"/>
        <v>63.966740576496676</v>
      </c>
      <c r="H695" s="6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t="s">
        <v>14</v>
      </c>
      <c r="G696" s="10">
        <f t="shared" si="40"/>
        <v>84.131868131868131</v>
      </c>
      <c r="H696" s="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t="s">
        <v>20</v>
      </c>
      <c r="G697" s="10">
        <f t="shared" si="40"/>
        <v>133.93478260869566</v>
      </c>
      <c r="H697" s="6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t="s">
        <v>14</v>
      </c>
      <c r="G698" s="10">
        <f t="shared" si="40"/>
        <v>59.042047531992694</v>
      </c>
      <c r="H698" s="6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t="s">
        <v>20</v>
      </c>
      <c r="G699" s="10">
        <f t="shared" si="40"/>
        <v>152.80062063615205</v>
      </c>
      <c r="H699" s="6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t="s">
        <v>20</v>
      </c>
      <c r="G700" s="10">
        <f t="shared" si="40"/>
        <v>446.69121140142522</v>
      </c>
      <c r="H700" s="6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t="s">
        <v>14</v>
      </c>
      <c r="G701" s="10">
        <f t="shared" si="40"/>
        <v>84.391891891891888</v>
      </c>
      <c r="H701" s="6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t="s">
        <v>14</v>
      </c>
      <c r="G702" s="10">
        <f t="shared" si="40"/>
        <v>3</v>
      </c>
      <c r="H702" s="6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t="s">
        <v>20</v>
      </c>
      <c r="G703" s="10">
        <f t="shared" si="40"/>
        <v>175.02692307692308</v>
      </c>
      <c r="H703" s="6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t="s">
        <v>14</v>
      </c>
      <c r="G704" s="10">
        <f t="shared" si="40"/>
        <v>54.137931034482754</v>
      </c>
      <c r="H704" s="6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t="s">
        <v>20</v>
      </c>
      <c r="G705" s="10">
        <f t="shared" si="40"/>
        <v>311.87381703470032</v>
      </c>
      <c r="H705" s="6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t="s">
        <v>20</v>
      </c>
      <c r="G706" s="10">
        <f t="shared" si="40"/>
        <v>122.78160919540231</v>
      </c>
      <c r="H706" s="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t="s">
        <v>14</v>
      </c>
      <c r="G707" s="10">
        <f t="shared" ref="G707:G770" si="44">E707/D707*100</f>
        <v>99.026517383618156</v>
      </c>
      <c r="H707" s="6">
        <f t="shared" ref="H707:H770" si="45">IFERROR(E707/I707,"NONE")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t="s">
        <v>20</v>
      </c>
      <c r="G708" s="10">
        <f t="shared" si="44"/>
        <v>127.84686346863469</v>
      </c>
      <c r="H708" s="6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t="s">
        <v>20</v>
      </c>
      <c r="G709" s="10">
        <f t="shared" si="44"/>
        <v>158.61643835616439</v>
      </c>
      <c r="H709" s="6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t="s">
        <v>20</v>
      </c>
      <c r="G710" s="10">
        <f t="shared" si="44"/>
        <v>707.05882352941171</v>
      </c>
      <c r="H710" s="6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t="s">
        <v>20</v>
      </c>
      <c r="G711" s="10">
        <f t="shared" si="44"/>
        <v>142.38775510204081</v>
      </c>
      <c r="H711" s="6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t="s">
        <v>20</v>
      </c>
      <c r="G712" s="10">
        <f t="shared" si="44"/>
        <v>147.86046511627907</v>
      </c>
      <c r="H712" s="6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t="s">
        <v>14</v>
      </c>
      <c r="G713" s="10">
        <f t="shared" si="44"/>
        <v>20.322580645161288</v>
      </c>
      <c r="H713" s="6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t="s">
        <v>20</v>
      </c>
      <c r="G714" s="10">
        <f t="shared" si="44"/>
        <v>1840.625</v>
      </c>
      <c r="H714" s="6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t="s">
        <v>20</v>
      </c>
      <c r="G715" s="10">
        <f t="shared" si="44"/>
        <v>161.94202898550725</v>
      </c>
      <c r="H715" s="6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t="s">
        <v>20</v>
      </c>
      <c r="G716" s="10">
        <f t="shared" si="44"/>
        <v>472.82077922077923</v>
      </c>
      <c r="H716" s="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t="s">
        <v>14</v>
      </c>
      <c r="G717" s="10">
        <f t="shared" si="44"/>
        <v>24.466101694915253</v>
      </c>
      <c r="H717" s="6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t="s">
        <v>20</v>
      </c>
      <c r="G718" s="10">
        <f t="shared" si="44"/>
        <v>517.65</v>
      </c>
      <c r="H718" s="6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t="s">
        <v>20</v>
      </c>
      <c r="G719" s="10">
        <f t="shared" si="44"/>
        <v>247.64285714285714</v>
      </c>
      <c r="H719" s="6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t="s">
        <v>20</v>
      </c>
      <c r="G720" s="10">
        <f t="shared" si="44"/>
        <v>100.20481927710843</v>
      </c>
      <c r="H720" s="6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t="s">
        <v>20</v>
      </c>
      <c r="G721" s="10">
        <f t="shared" si="44"/>
        <v>153</v>
      </c>
      <c r="H721" s="6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t="s">
        <v>74</v>
      </c>
      <c r="G722" s="10">
        <f t="shared" si="44"/>
        <v>37.091954022988503</v>
      </c>
      <c r="H722" s="6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t="s">
        <v>74</v>
      </c>
      <c r="G723" s="10">
        <f t="shared" si="44"/>
        <v>4.392394822006473</v>
      </c>
      <c r="H723" s="6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t="s">
        <v>20</v>
      </c>
      <c r="G724" s="10">
        <f t="shared" si="44"/>
        <v>156.50721649484535</v>
      </c>
      <c r="H724" s="6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t="s">
        <v>20</v>
      </c>
      <c r="G725" s="10">
        <f t="shared" si="44"/>
        <v>270.40816326530609</v>
      </c>
      <c r="H725" s="6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t="s">
        <v>20</v>
      </c>
      <c r="G726" s="10">
        <f t="shared" si="44"/>
        <v>134.05952380952382</v>
      </c>
      <c r="H726" s="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t="s">
        <v>14</v>
      </c>
      <c r="G727" s="10">
        <f t="shared" si="44"/>
        <v>50.398033126293996</v>
      </c>
      <c r="H727" s="6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t="s">
        <v>74</v>
      </c>
      <c r="G728" s="10">
        <f t="shared" si="44"/>
        <v>88.815837937384899</v>
      </c>
      <c r="H728" s="6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t="s">
        <v>20</v>
      </c>
      <c r="G729" s="10">
        <f t="shared" si="44"/>
        <v>165</v>
      </c>
      <c r="H729" s="6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t="s">
        <v>14</v>
      </c>
      <c r="G730" s="10">
        <f t="shared" si="44"/>
        <v>17.5</v>
      </c>
      <c r="H730" s="6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t="s">
        <v>20</v>
      </c>
      <c r="G731" s="10">
        <f t="shared" si="44"/>
        <v>185.66071428571428</v>
      </c>
      <c r="H731" s="6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t="s">
        <v>20</v>
      </c>
      <c r="G732" s="10">
        <f t="shared" si="44"/>
        <v>412.6631944444444</v>
      </c>
      <c r="H732" s="6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t="s">
        <v>74</v>
      </c>
      <c r="G733" s="10">
        <f t="shared" si="44"/>
        <v>90.25</v>
      </c>
      <c r="H733" s="6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t="s">
        <v>14</v>
      </c>
      <c r="G734" s="10">
        <f t="shared" si="44"/>
        <v>91.984615384615381</v>
      </c>
      <c r="H734" s="6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t="s">
        <v>20</v>
      </c>
      <c r="G735" s="10">
        <f t="shared" si="44"/>
        <v>527.00632911392404</v>
      </c>
      <c r="H735" s="6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t="s">
        <v>20</v>
      </c>
      <c r="G736" s="10">
        <f t="shared" si="44"/>
        <v>319.14285714285711</v>
      </c>
      <c r="H736" s="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t="s">
        <v>20</v>
      </c>
      <c r="G737" s="10">
        <f t="shared" si="44"/>
        <v>354.18867924528303</v>
      </c>
      <c r="H737" s="6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t="s">
        <v>74</v>
      </c>
      <c r="G738" s="10">
        <f t="shared" si="44"/>
        <v>32.896103896103895</v>
      </c>
      <c r="H738" s="6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t="s">
        <v>20</v>
      </c>
      <c r="G739" s="10">
        <f t="shared" si="44"/>
        <v>135.8918918918919</v>
      </c>
      <c r="H739" s="6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t="s">
        <v>14</v>
      </c>
      <c r="G740" s="10">
        <f t="shared" si="44"/>
        <v>2.0843373493975905</v>
      </c>
      <c r="H740" s="6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t="s">
        <v>14</v>
      </c>
      <c r="G741" s="10">
        <f t="shared" si="44"/>
        <v>61</v>
      </c>
      <c r="H741" s="6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t="s">
        <v>14</v>
      </c>
      <c r="G742" s="10">
        <f t="shared" si="44"/>
        <v>30.037735849056602</v>
      </c>
      <c r="H742" s="6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t="s">
        <v>20</v>
      </c>
      <c r="G743" s="10">
        <f t="shared" si="44"/>
        <v>1179.1666666666665</v>
      </c>
      <c r="H743" s="6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t="s">
        <v>20</v>
      </c>
      <c r="G744" s="10">
        <f t="shared" si="44"/>
        <v>1126.0833333333335</v>
      </c>
      <c r="H744" s="6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t="s">
        <v>14</v>
      </c>
      <c r="G745" s="10">
        <f t="shared" si="44"/>
        <v>12.923076923076923</v>
      </c>
      <c r="H745" s="6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t="s">
        <v>20</v>
      </c>
      <c r="G746" s="10">
        <f t="shared" si="44"/>
        <v>712</v>
      </c>
      <c r="H746" s="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t="s">
        <v>14</v>
      </c>
      <c r="G747" s="10">
        <f t="shared" si="44"/>
        <v>30.304347826086957</v>
      </c>
      <c r="H747" s="6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t="s">
        <v>20</v>
      </c>
      <c r="G748" s="10">
        <f t="shared" si="44"/>
        <v>212.50896057347671</v>
      </c>
      <c r="H748" s="6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t="s">
        <v>20</v>
      </c>
      <c r="G749" s="10">
        <f t="shared" si="44"/>
        <v>228.85714285714286</v>
      </c>
      <c r="H749" s="6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t="s">
        <v>74</v>
      </c>
      <c r="G750" s="10">
        <f t="shared" si="44"/>
        <v>34.959979476654695</v>
      </c>
      <c r="H750" s="6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t="s">
        <v>20</v>
      </c>
      <c r="G751" s="10">
        <f t="shared" si="44"/>
        <v>157.29069767441862</v>
      </c>
      <c r="H751" s="6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t="s">
        <v>14</v>
      </c>
      <c r="G752" s="10">
        <f t="shared" si="44"/>
        <v>1</v>
      </c>
      <c r="H752" s="6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t="s">
        <v>20</v>
      </c>
      <c r="G753" s="10">
        <f t="shared" si="44"/>
        <v>232.30555555555554</v>
      </c>
      <c r="H753" s="6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t="s">
        <v>74</v>
      </c>
      <c r="G754" s="10">
        <f t="shared" si="44"/>
        <v>92.448275862068968</v>
      </c>
      <c r="H754" s="6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t="s">
        <v>20</v>
      </c>
      <c r="G755" s="10">
        <f t="shared" si="44"/>
        <v>256.70212765957444</v>
      </c>
      <c r="H755" s="6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t="s">
        <v>20</v>
      </c>
      <c r="G756" s="10">
        <f t="shared" si="44"/>
        <v>168.47017045454547</v>
      </c>
      <c r="H756" s="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t="s">
        <v>20</v>
      </c>
      <c r="G757" s="10">
        <f t="shared" si="44"/>
        <v>166.57777777777778</v>
      </c>
      <c r="H757" s="6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t="s">
        <v>20</v>
      </c>
      <c r="G758" s="10">
        <f t="shared" si="44"/>
        <v>772.07692307692309</v>
      </c>
      <c r="H758" s="6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t="s">
        <v>20</v>
      </c>
      <c r="G759" s="10">
        <f t="shared" si="44"/>
        <v>406.85714285714283</v>
      </c>
      <c r="H759" s="6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t="s">
        <v>20</v>
      </c>
      <c r="G760" s="10">
        <f t="shared" si="44"/>
        <v>564.20608108108115</v>
      </c>
      <c r="H760" s="6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t="s">
        <v>14</v>
      </c>
      <c r="G761" s="10">
        <f t="shared" si="44"/>
        <v>68.426865671641792</v>
      </c>
      <c r="H761" s="6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t="s">
        <v>14</v>
      </c>
      <c r="G762" s="10">
        <f t="shared" si="44"/>
        <v>34.351966873706004</v>
      </c>
      <c r="H762" s="6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t="s">
        <v>20</v>
      </c>
      <c r="G763" s="10">
        <f t="shared" si="44"/>
        <v>655.4545454545455</v>
      </c>
      <c r="H763" s="6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t="s">
        <v>20</v>
      </c>
      <c r="G764" s="10">
        <f t="shared" si="44"/>
        <v>177.25714285714284</v>
      </c>
      <c r="H764" s="6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t="s">
        <v>20</v>
      </c>
      <c r="G765" s="10">
        <f t="shared" si="44"/>
        <v>113.17857142857144</v>
      </c>
      <c r="H765" s="6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t="s">
        <v>20</v>
      </c>
      <c r="G766" s="10">
        <f t="shared" si="44"/>
        <v>728.18181818181824</v>
      </c>
      <c r="H766" s="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t="s">
        <v>20</v>
      </c>
      <c r="G767" s="10">
        <f t="shared" si="44"/>
        <v>208.33333333333334</v>
      </c>
      <c r="H767" s="6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t="s">
        <v>14</v>
      </c>
      <c r="G768" s="10">
        <f t="shared" si="44"/>
        <v>31.171232876712331</v>
      </c>
      <c r="H768" s="6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t="s">
        <v>14</v>
      </c>
      <c r="G769" s="10">
        <f t="shared" si="44"/>
        <v>56.967078189300416</v>
      </c>
      <c r="H769" s="6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t="s">
        <v>20</v>
      </c>
      <c r="G770" s="10">
        <f t="shared" si="44"/>
        <v>231</v>
      </c>
      <c r="H770" s="6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t="s">
        <v>14</v>
      </c>
      <c r="G771" s="10">
        <f t="shared" ref="G771:G834" si="48">E771/D771*100</f>
        <v>86.867834394904463</v>
      </c>
      <c r="H771" s="6">
        <f t="shared" ref="H771:H834" si="49">IFERROR(E771/I771,"NONE")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t="s">
        <v>20</v>
      </c>
      <c r="G772" s="10">
        <f t="shared" si="48"/>
        <v>270.74418604651163</v>
      </c>
      <c r="H772" s="6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t="s">
        <v>74</v>
      </c>
      <c r="G773" s="10">
        <f t="shared" si="48"/>
        <v>49.446428571428569</v>
      </c>
      <c r="H773" s="6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t="s">
        <v>20</v>
      </c>
      <c r="G774" s="10">
        <f t="shared" si="48"/>
        <v>113.3596256684492</v>
      </c>
      <c r="H774" s="6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t="s">
        <v>20</v>
      </c>
      <c r="G775" s="10">
        <f t="shared" si="48"/>
        <v>190.55555555555554</v>
      </c>
      <c r="H775" s="6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t="s">
        <v>20</v>
      </c>
      <c r="G776" s="10">
        <f t="shared" si="48"/>
        <v>135.5</v>
      </c>
      <c r="H776" s="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t="s">
        <v>14</v>
      </c>
      <c r="G777" s="10">
        <f t="shared" si="48"/>
        <v>10.297872340425531</v>
      </c>
      <c r="H777" s="6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t="s">
        <v>14</v>
      </c>
      <c r="G778" s="10">
        <f t="shared" si="48"/>
        <v>65.544223826714799</v>
      </c>
      <c r="H778" s="6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t="s">
        <v>14</v>
      </c>
      <c r="G779" s="10">
        <f t="shared" si="48"/>
        <v>49.026652452025587</v>
      </c>
      <c r="H779" s="6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t="s">
        <v>20</v>
      </c>
      <c r="G780" s="10">
        <f t="shared" si="48"/>
        <v>787.92307692307691</v>
      </c>
      <c r="H780" s="6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t="s">
        <v>14</v>
      </c>
      <c r="G781" s="10">
        <f t="shared" si="48"/>
        <v>80.306347746090154</v>
      </c>
      <c r="H781" s="6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t="s">
        <v>20</v>
      </c>
      <c r="G782" s="10">
        <f t="shared" si="48"/>
        <v>106.29411764705883</v>
      </c>
      <c r="H782" s="6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t="s">
        <v>74</v>
      </c>
      <c r="G783" s="10">
        <f t="shared" si="48"/>
        <v>50.735632183908038</v>
      </c>
      <c r="H783" s="6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t="s">
        <v>20</v>
      </c>
      <c r="G784" s="10">
        <f t="shared" si="48"/>
        <v>215.31372549019611</v>
      </c>
      <c r="H784" s="6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t="s">
        <v>20</v>
      </c>
      <c r="G785" s="10">
        <f t="shared" si="48"/>
        <v>141.22972972972974</v>
      </c>
      <c r="H785" s="6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t="s">
        <v>20</v>
      </c>
      <c r="G786" s="10">
        <f t="shared" si="48"/>
        <v>115.33745781777279</v>
      </c>
      <c r="H786" s="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t="s">
        <v>20</v>
      </c>
      <c r="G787" s="10">
        <f t="shared" si="48"/>
        <v>193.11940298507463</v>
      </c>
      <c r="H787" s="6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t="s">
        <v>20</v>
      </c>
      <c r="G788" s="10">
        <f t="shared" si="48"/>
        <v>729.73333333333335</v>
      </c>
      <c r="H788" s="6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t="s">
        <v>14</v>
      </c>
      <c r="G789" s="10">
        <f t="shared" si="48"/>
        <v>99.66339869281046</v>
      </c>
      <c r="H789" s="6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t="s">
        <v>47</v>
      </c>
      <c r="G790" s="10">
        <f t="shared" si="48"/>
        <v>88.166666666666671</v>
      </c>
      <c r="H790" s="6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t="s">
        <v>14</v>
      </c>
      <c r="G791" s="10">
        <f t="shared" si="48"/>
        <v>37.233333333333334</v>
      </c>
      <c r="H791" s="6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t="s">
        <v>74</v>
      </c>
      <c r="G792" s="10">
        <f t="shared" si="48"/>
        <v>30.540075309306079</v>
      </c>
      <c r="H792" s="6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t="s">
        <v>14</v>
      </c>
      <c r="G793" s="10">
        <f t="shared" si="48"/>
        <v>25.714285714285712</v>
      </c>
      <c r="H793" s="6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t="s">
        <v>14</v>
      </c>
      <c r="G794" s="10">
        <f t="shared" si="48"/>
        <v>34</v>
      </c>
      <c r="H794" s="6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t="s">
        <v>20</v>
      </c>
      <c r="G795" s="10">
        <f t="shared" si="48"/>
        <v>1185.909090909091</v>
      </c>
      <c r="H795" s="6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t="s">
        <v>20</v>
      </c>
      <c r="G796" s="10">
        <f t="shared" si="48"/>
        <v>125.39393939393939</v>
      </c>
      <c r="H796" s="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t="s">
        <v>14</v>
      </c>
      <c r="G797" s="10">
        <f t="shared" si="48"/>
        <v>14.394366197183098</v>
      </c>
      <c r="H797" s="6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t="s">
        <v>14</v>
      </c>
      <c r="G798" s="10">
        <f t="shared" si="48"/>
        <v>54.807692307692314</v>
      </c>
      <c r="H798" s="6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t="s">
        <v>20</v>
      </c>
      <c r="G799" s="10">
        <f t="shared" si="48"/>
        <v>109.63157894736841</v>
      </c>
      <c r="H799" s="6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t="s">
        <v>20</v>
      </c>
      <c r="G800" s="10">
        <f t="shared" si="48"/>
        <v>188.47058823529412</v>
      </c>
      <c r="H800" s="6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t="s">
        <v>14</v>
      </c>
      <c r="G801" s="10">
        <f t="shared" si="48"/>
        <v>87.008284023668637</v>
      </c>
      <c r="H801" s="6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t="s">
        <v>14</v>
      </c>
      <c r="G802" s="10">
        <f t="shared" si="48"/>
        <v>1</v>
      </c>
      <c r="H802" s="6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t="s">
        <v>20</v>
      </c>
      <c r="G803" s="10">
        <f t="shared" si="48"/>
        <v>202.9130434782609</v>
      </c>
      <c r="H803" s="6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t="s">
        <v>20</v>
      </c>
      <c r="G804" s="10">
        <f t="shared" si="48"/>
        <v>197.03225806451613</v>
      </c>
      <c r="H804" s="6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t="s">
        <v>20</v>
      </c>
      <c r="G805" s="10">
        <f t="shared" si="48"/>
        <v>107</v>
      </c>
      <c r="H805" s="6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t="s">
        <v>20</v>
      </c>
      <c r="G806" s="10">
        <f t="shared" si="48"/>
        <v>268.73076923076923</v>
      </c>
      <c r="H806" s="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t="s">
        <v>14</v>
      </c>
      <c r="G807" s="10">
        <f t="shared" si="48"/>
        <v>50.845360824742272</v>
      </c>
      <c r="H807" s="6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t="s">
        <v>20</v>
      </c>
      <c r="G808" s="10">
        <f t="shared" si="48"/>
        <v>1180.2857142857142</v>
      </c>
      <c r="H808" s="6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t="s">
        <v>20</v>
      </c>
      <c r="G809" s="10">
        <f t="shared" si="48"/>
        <v>264</v>
      </c>
      <c r="H809" s="6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t="s">
        <v>14</v>
      </c>
      <c r="G810" s="10">
        <f t="shared" si="48"/>
        <v>30.44230769230769</v>
      </c>
      <c r="H810" s="6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t="s">
        <v>14</v>
      </c>
      <c r="G811" s="10">
        <f t="shared" si="48"/>
        <v>62.880681818181813</v>
      </c>
      <c r="H811" s="6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t="s">
        <v>20</v>
      </c>
      <c r="G812" s="10">
        <f t="shared" si="48"/>
        <v>193.125</v>
      </c>
      <c r="H812" s="6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t="s">
        <v>14</v>
      </c>
      <c r="G813" s="10">
        <f t="shared" si="48"/>
        <v>77.102702702702715</v>
      </c>
      <c r="H813" s="6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t="s">
        <v>20</v>
      </c>
      <c r="G814" s="10">
        <f t="shared" si="48"/>
        <v>225.52763819095478</v>
      </c>
      <c r="H814" s="6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t="s">
        <v>20</v>
      </c>
      <c r="G815" s="10">
        <f t="shared" si="48"/>
        <v>239.40625</v>
      </c>
      <c r="H815" s="6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t="s">
        <v>14</v>
      </c>
      <c r="G816" s="10">
        <f t="shared" si="48"/>
        <v>92.1875</v>
      </c>
      <c r="H816" s="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t="s">
        <v>20</v>
      </c>
      <c r="G817" s="10">
        <f t="shared" si="48"/>
        <v>130.23333333333335</v>
      </c>
      <c r="H817" s="6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t="s">
        <v>20</v>
      </c>
      <c r="G818" s="10">
        <f t="shared" si="48"/>
        <v>615.21739130434787</v>
      </c>
      <c r="H818" s="6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t="s">
        <v>20</v>
      </c>
      <c r="G819" s="10">
        <f t="shared" si="48"/>
        <v>368.79532163742692</v>
      </c>
      <c r="H819" s="6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t="s">
        <v>20</v>
      </c>
      <c r="G820" s="10">
        <f t="shared" si="48"/>
        <v>1094.8571428571429</v>
      </c>
      <c r="H820" s="6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t="s">
        <v>14</v>
      </c>
      <c r="G821" s="10">
        <f t="shared" si="48"/>
        <v>50.662921348314605</v>
      </c>
      <c r="H821" s="6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t="s">
        <v>20</v>
      </c>
      <c r="G822" s="10">
        <f t="shared" si="48"/>
        <v>800.6</v>
      </c>
      <c r="H822" s="6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t="s">
        <v>20</v>
      </c>
      <c r="G823" s="10">
        <f t="shared" si="48"/>
        <v>291.28571428571428</v>
      </c>
      <c r="H823" s="6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t="s">
        <v>20</v>
      </c>
      <c r="G824" s="10">
        <f t="shared" si="48"/>
        <v>349.9666666666667</v>
      </c>
      <c r="H824" s="6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t="s">
        <v>20</v>
      </c>
      <c r="G825" s="10">
        <f t="shared" si="48"/>
        <v>357.07317073170731</v>
      </c>
      <c r="H825" s="6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t="s">
        <v>20</v>
      </c>
      <c r="G826" s="10">
        <f t="shared" si="48"/>
        <v>126.48941176470588</v>
      </c>
      <c r="H826" s="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t="s">
        <v>20</v>
      </c>
      <c r="G827" s="10">
        <f t="shared" si="48"/>
        <v>387.5</v>
      </c>
      <c r="H827" s="6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t="s">
        <v>20</v>
      </c>
      <c r="G828" s="10">
        <f t="shared" si="48"/>
        <v>457.03571428571428</v>
      </c>
      <c r="H828" s="6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t="s">
        <v>20</v>
      </c>
      <c r="G829" s="10">
        <f t="shared" si="48"/>
        <v>266.69565217391306</v>
      </c>
      <c r="H829" s="6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t="s">
        <v>14</v>
      </c>
      <c r="G830" s="10">
        <f t="shared" si="48"/>
        <v>69</v>
      </c>
      <c r="H830" s="6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t="s">
        <v>14</v>
      </c>
      <c r="G831" s="10">
        <f t="shared" si="48"/>
        <v>51.34375</v>
      </c>
      <c r="H831" s="6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t="s">
        <v>14</v>
      </c>
      <c r="G832" s="10">
        <f t="shared" si="48"/>
        <v>1.1710526315789473</v>
      </c>
      <c r="H832" s="6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t="s">
        <v>20</v>
      </c>
      <c r="G833" s="10">
        <f t="shared" si="48"/>
        <v>108.97734294541709</v>
      </c>
      <c r="H833" s="6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t="s">
        <v>20</v>
      </c>
      <c r="G834" s="10">
        <f t="shared" si="48"/>
        <v>315.17592592592592</v>
      </c>
      <c r="H834" s="6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t="s">
        <v>20</v>
      </c>
      <c r="G835" s="10">
        <f t="shared" ref="G835:G898" si="52">E835/D835*100</f>
        <v>157.69117647058823</v>
      </c>
      <c r="H835" s="6">
        <f t="shared" ref="H835:H898" si="53">IFERROR(E835/I835,"NONE")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t="s">
        <v>20</v>
      </c>
      <c r="G836" s="10">
        <f t="shared" si="52"/>
        <v>153.8082191780822</v>
      </c>
      <c r="H836" s="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t="s">
        <v>14</v>
      </c>
      <c r="G837" s="10">
        <f t="shared" si="52"/>
        <v>89.738979118329468</v>
      </c>
      <c r="H837" s="6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t="s">
        <v>14</v>
      </c>
      <c r="G838" s="10">
        <f t="shared" si="52"/>
        <v>75.135802469135797</v>
      </c>
      <c r="H838" s="6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t="s">
        <v>20</v>
      </c>
      <c r="G839" s="10">
        <f t="shared" si="52"/>
        <v>852.88135593220341</v>
      </c>
      <c r="H839" s="6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t="s">
        <v>20</v>
      </c>
      <c r="G840" s="10">
        <f t="shared" si="52"/>
        <v>138.90625</v>
      </c>
      <c r="H840" s="6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t="s">
        <v>20</v>
      </c>
      <c r="G841" s="10">
        <f t="shared" si="52"/>
        <v>190.18181818181819</v>
      </c>
      <c r="H841" s="6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t="s">
        <v>20</v>
      </c>
      <c r="G842" s="10">
        <f t="shared" si="52"/>
        <v>100.24333619948409</v>
      </c>
      <c r="H842" s="6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t="s">
        <v>20</v>
      </c>
      <c r="G843" s="10">
        <f t="shared" si="52"/>
        <v>142.75824175824175</v>
      </c>
      <c r="H843" s="6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t="s">
        <v>20</v>
      </c>
      <c r="G844" s="10">
        <f t="shared" si="52"/>
        <v>563.13333333333333</v>
      </c>
      <c r="H844" s="6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t="s">
        <v>14</v>
      </c>
      <c r="G845" s="10">
        <f t="shared" si="52"/>
        <v>30.715909090909086</v>
      </c>
      <c r="H845" s="6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t="s">
        <v>74</v>
      </c>
      <c r="G846" s="10">
        <f t="shared" si="52"/>
        <v>99.39772727272728</v>
      </c>
      <c r="H846" s="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t="s">
        <v>20</v>
      </c>
      <c r="G847" s="10">
        <f t="shared" si="52"/>
        <v>197.54935622317598</v>
      </c>
      <c r="H847" s="6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t="s">
        <v>20</v>
      </c>
      <c r="G848" s="10">
        <f t="shared" si="52"/>
        <v>508.5</v>
      </c>
      <c r="H848" s="6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t="s">
        <v>20</v>
      </c>
      <c r="G849" s="10">
        <f t="shared" si="52"/>
        <v>237.74468085106383</v>
      </c>
      <c r="H849" s="6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t="s">
        <v>20</v>
      </c>
      <c r="G850" s="10">
        <f t="shared" si="52"/>
        <v>338.46875</v>
      </c>
      <c r="H850" s="6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t="s">
        <v>20</v>
      </c>
      <c r="G851" s="10">
        <f t="shared" si="52"/>
        <v>133.08955223880596</v>
      </c>
      <c r="H851" s="6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t="s">
        <v>14</v>
      </c>
      <c r="G852" s="10">
        <f t="shared" si="52"/>
        <v>1</v>
      </c>
      <c r="H852" s="6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t="s">
        <v>20</v>
      </c>
      <c r="G853" s="10">
        <f t="shared" si="52"/>
        <v>207.79999999999998</v>
      </c>
      <c r="H853" s="6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t="s">
        <v>14</v>
      </c>
      <c r="G854" s="10">
        <f t="shared" si="52"/>
        <v>51.122448979591837</v>
      </c>
      <c r="H854" s="6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t="s">
        <v>20</v>
      </c>
      <c r="G855" s="10">
        <f t="shared" si="52"/>
        <v>652.05847953216369</v>
      </c>
      <c r="H855" s="6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t="s">
        <v>20</v>
      </c>
      <c r="G856" s="10">
        <f t="shared" si="52"/>
        <v>113.63099415204678</v>
      </c>
      <c r="H856" s="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t="s">
        <v>20</v>
      </c>
      <c r="G857" s="10">
        <f t="shared" si="52"/>
        <v>102.37606837606839</v>
      </c>
      <c r="H857" s="6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t="s">
        <v>20</v>
      </c>
      <c r="G858" s="10">
        <f t="shared" si="52"/>
        <v>356.58333333333331</v>
      </c>
      <c r="H858" s="6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t="s">
        <v>20</v>
      </c>
      <c r="G859" s="10">
        <f t="shared" si="52"/>
        <v>139.86792452830187</v>
      </c>
      <c r="H859" s="6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t="s">
        <v>14</v>
      </c>
      <c r="G860" s="10">
        <f t="shared" si="52"/>
        <v>69.45</v>
      </c>
      <c r="H860" s="6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t="s">
        <v>14</v>
      </c>
      <c r="G861" s="10">
        <f t="shared" si="52"/>
        <v>35.534246575342465</v>
      </c>
      <c r="H861" s="6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t="s">
        <v>20</v>
      </c>
      <c r="G862" s="10">
        <f t="shared" si="52"/>
        <v>251.65</v>
      </c>
      <c r="H862" s="6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t="s">
        <v>20</v>
      </c>
      <c r="G863" s="10">
        <f t="shared" si="52"/>
        <v>105.87500000000001</v>
      </c>
      <c r="H863" s="6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t="s">
        <v>20</v>
      </c>
      <c r="G864" s="10">
        <f t="shared" si="52"/>
        <v>187.42857142857144</v>
      </c>
      <c r="H864" s="6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t="s">
        <v>20</v>
      </c>
      <c r="G865" s="10">
        <f t="shared" si="52"/>
        <v>386.78571428571428</v>
      </c>
      <c r="H865" s="6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t="s">
        <v>20</v>
      </c>
      <c r="G866" s="10">
        <f t="shared" si="52"/>
        <v>347.07142857142856</v>
      </c>
      <c r="H866" s="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t="s">
        <v>20</v>
      </c>
      <c r="G867" s="10">
        <f t="shared" si="52"/>
        <v>185.82098765432099</v>
      </c>
      <c r="H867" s="6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t="s">
        <v>74</v>
      </c>
      <c r="G868" s="10">
        <f t="shared" si="52"/>
        <v>43.241247264770237</v>
      </c>
      <c r="H868" s="6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t="s">
        <v>20</v>
      </c>
      <c r="G869" s="10">
        <f t="shared" si="52"/>
        <v>162.4375</v>
      </c>
      <c r="H869" s="6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t="s">
        <v>20</v>
      </c>
      <c r="G870" s="10">
        <f t="shared" si="52"/>
        <v>184.84285714285716</v>
      </c>
      <c r="H870" s="6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t="s">
        <v>14</v>
      </c>
      <c r="G871" s="10">
        <f t="shared" si="52"/>
        <v>23.703520691785052</v>
      </c>
      <c r="H871" s="6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t="s">
        <v>14</v>
      </c>
      <c r="G872" s="10">
        <f t="shared" si="52"/>
        <v>89.870129870129873</v>
      </c>
      <c r="H872" s="6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t="s">
        <v>20</v>
      </c>
      <c r="G873" s="10">
        <f t="shared" si="52"/>
        <v>272.6041958041958</v>
      </c>
      <c r="H873" s="6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t="s">
        <v>20</v>
      </c>
      <c r="G874" s="10">
        <f t="shared" si="52"/>
        <v>170.04255319148936</v>
      </c>
      <c r="H874" s="6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t="s">
        <v>20</v>
      </c>
      <c r="G875" s="10">
        <f t="shared" si="52"/>
        <v>188.28503562945369</v>
      </c>
      <c r="H875" s="6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t="s">
        <v>20</v>
      </c>
      <c r="G876" s="10">
        <f t="shared" si="52"/>
        <v>346.93532338308455</v>
      </c>
      <c r="H876" s="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t="s">
        <v>14</v>
      </c>
      <c r="G877" s="10">
        <f t="shared" si="52"/>
        <v>69.177215189873422</v>
      </c>
      <c r="H877" s="6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t="s">
        <v>14</v>
      </c>
      <c r="G878" s="10">
        <f t="shared" si="52"/>
        <v>25.433734939759034</v>
      </c>
      <c r="H878" s="6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t="s">
        <v>14</v>
      </c>
      <c r="G879" s="10">
        <f t="shared" si="52"/>
        <v>77.400977995110026</v>
      </c>
      <c r="H879" s="6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t="s">
        <v>14</v>
      </c>
      <c r="G880" s="10">
        <f t="shared" si="52"/>
        <v>37.481481481481481</v>
      </c>
      <c r="H880" s="6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t="s">
        <v>20</v>
      </c>
      <c r="G881" s="10">
        <f t="shared" si="52"/>
        <v>543.79999999999995</v>
      </c>
      <c r="H881" s="6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t="s">
        <v>20</v>
      </c>
      <c r="G882" s="10">
        <f t="shared" si="52"/>
        <v>228.52189349112427</v>
      </c>
      <c r="H882" s="6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t="s">
        <v>14</v>
      </c>
      <c r="G883" s="10">
        <f t="shared" si="52"/>
        <v>38.948339483394832</v>
      </c>
      <c r="H883" s="6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t="s">
        <v>20</v>
      </c>
      <c r="G884" s="10">
        <f t="shared" si="52"/>
        <v>370</v>
      </c>
      <c r="H884" s="6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t="s">
        <v>20</v>
      </c>
      <c r="G885" s="10">
        <f t="shared" si="52"/>
        <v>237.91176470588232</v>
      </c>
      <c r="H885" s="6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t="s">
        <v>14</v>
      </c>
      <c r="G886" s="10">
        <f t="shared" si="52"/>
        <v>64.036299765807954</v>
      </c>
      <c r="H886" s="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t="s">
        <v>20</v>
      </c>
      <c r="G887" s="10">
        <f t="shared" si="52"/>
        <v>118.27777777777777</v>
      </c>
      <c r="H887" s="6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t="s">
        <v>14</v>
      </c>
      <c r="G888" s="10">
        <f t="shared" si="52"/>
        <v>84.824037184594957</v>
      </c>
      <c r="H888" s="6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t="s">
        <v>14</v>
      </c>
      <c r="G889" s="10">
        <f t="shared" si="52"/>
        <v>29.346153846153843</v>
      </c>
      <c r="H889" s="6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t="s">
        <v>20</v>
      </c>
      <c r="G890" s="10">
        <f t="shared" si="52"/>
        <v>209.89655172413794</v>
      </c>
      <c r="H890" s="6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t="s">
        <v>20</v>
      </c>
      <c r="G891" s="10">
        <f t="shared" si="52"/>
        <v>169.78571428571431</v>
      </c>
      <c r="H891" s="6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t="s">
        <v>20</v>
      </c>
      <c r="G892" s="10">
        <f t="shared" si="52"/>
        <v>115.95907738095239</v>
      </c>
      <c r="H892" s="6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t="s">
        <v>20</v>
      </c>
      <c r="G893" s="10">
        <f t="shared" si="52"/>
        <v>258.59999999999997</v>
      </c>
      <c r="H893" s="6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t="s">
        <v>20</v>
      </c>
      <c r="G894" s="10">
        <f t="shared" si="52"/>
        <v>230.58333333333331</v>
      </c>
      <c r="H894" s="6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t="s">
        <v>20</v>
      </c>
      <c r="G895" s="10">
        <f t="shared" si="52"/>
        <v>128.21428571428572</v>
      </c>
      <c r="H895" s="6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t="s">
        <v>20</v>
      </c>
      <c r="G896" s="10">
        <f t="shared" si="52"/>
        <v>188.70588235294116</v>
      </c>
      <c r="H896" s="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t="s">
        <v>14</v>
      </c>
      <c r="G897" s="10">
        <f t="shared" si="52"/>
        <v>6.9511889862327907</v>
      </c>
      <c r="H897" s="6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t="s">
        <v>20</v>
      </c>
      <c r="G898" s="10">
        <f t="shared" si="52"/>
        <v>774.43434343434342</v>
      </c>
      <c r="H898" s="6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t="s">
        <v>14</v>
      </c>
      <c r="G899" s="10">
        <f t="shared" ref="G899:G962" si="56">E899/D899*100</f>
        <v>27.693181818181817</v>
      </c>
      <c r="H899" s="6">
        <f t="shared" ref="H899:H962" si="57">IFERROR(E899/I899,"NONE")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t="s">
        <v>14</v>
      </c>
      <c r="G900" s="10">
        <f t="shared" si="56"/>
        <v>52.479620323841424</v>
      </c>
      <c r="H900" s="6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t="s">
        <v>20</v>
      </c>
      <c r="G901" s="10">
        <f t="shared" si="56"/>
        <v>407.09677419354841</v>
      </c>
      <c r="H901" s="6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t="s">
        <v>14</v>
      </c>
      <c r="G902" s="10">
        <f t="shared" si="56"/>
        <v>2</v>
      </c>
      <c r="H902" s="6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t="s">
        <v>20</v>
      </c>
      <c r="G903" s="10">
        <f t="shared" si="56"/>
        <v>156.17857142857144</v>
      </c>
      <c r="H903" s="6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t="s">
        <v>20</v>
      </c>
      <c r="G904" s="10">
        <f t="shared" si="56"/>
        <v>252.42857142857144</v>
      </c>
      <c r="H904" s="6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t="s">
        <v>47</v>
      </c>
      <c r="G905" s="10">
        <f t="shared" si="56"/>
        <v>1.729268292682927</v>
      </c>
      <c r="H905" s="6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t="s">
        <v>14</v>
      </c>
      <c r="G906" s="10">
        <f t="shared" si="56"/>
        <v>12.230769230769232</v>
      </c>
      <c r="H906" s="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t="s">
        <v>20</v>
      </c>
      <c r="G907" s="10">
        <f t="shared" si="56"/>
        <v>163.98734177215189</v>
      </c>
      <c r="H907" s="6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t="s">
        <v>20</v>
      </c>
      <c r="G908" s="10">
        <f t="shared" si="56"/>
        <v>162.98181818181817</v>
      </c>
      <c r="H908" s="6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t="s">
        <v>14</v>
      </c>
      <c r="G909" s="10">
        <f t="shared" si="56"/>
        <v>20.252747252747252</v>
      </c>
      <c r="H909" s="6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t="s">
        <v>20</v>
      </c>
      <c r="G910" s="10">
        <f t="shared" si="56"/>
        <v>319.24083769633506</v>
      </c>
      <c r="H910" s="6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t="s">
        <v>20</v>
      </c>
      <c r="G911" s="10">
        <f t="shared" si="56"/>
        <v>478.94444444444446</v>
      </c>
      <c r="H911" s="6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t="s">
        <v>74</v>
      </c>
      <c r="G912" s="10">
        <f t="shared" si="56"/>
        <v>19.556634304207122</v>
      </c>
      <c r="H912" s="6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t="s">
        <v>20</v>
      </c>
      <c r="G913" s="10">
        <f t="shared" si="56"/>
        <v>198.94827586206895</v>
      </c>
      <c r="H913" s="6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t="s">
        <v>20</v>
      </c>
      <c r="G914" s="10">
        <f t="shared" si="56"/>
        <v>795</v>
      </c>
      <c r="H914" s="6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t="s">
        <v>14</v>
      </c>
      <c r="G915" s="10">
        <f t="shared" si="56"/>
        <v>50.621082621082621</v>
      </c>
      <c r="H915" s="6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t="s">
        <v>14</v>
      </c>
      <c r="G916" s="10">
        <f t="shared" si="56"/>
        <v>57.4375</v>
      </c>
      <c r="H916" s="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t="s">
        <v>20</v>
      </c>
      <c r="G917" s="10">
        <f t="shared" si="56"/>
        <v>155.62827640984909</v>
      </c>
      <c r="H917" s="6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t="s">
        <v>14</v>
      </c>
      <c r="G918" s="10">
        <f t="shared" si="56"/>
        <v>36.297297297297298</v>
      </c>
      <c r="H918" s="6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t="s">
        <v>47</v>
      </c>
      <c r="G919" s="10">
        <f t="shared" si="56"/>
        <v>58.25</v>
      </c>
      <c r="H919" s="6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t="s">
        <v>20</v>
      </c>
      <c r="G920" s="10">
        <f t="shared" si="56"/>
        <v>237.39473684210526</v>
      </c>
      <c r="H920" s="6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t="s">
        <v>14</v>
      </c>
      <c r="G921" s="10">
        <f t="shared" si="56"/>
        <v>58.75</v>
      </c>
      <c r="H921" s="6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t="s">
        <v>20</v>
      </c>
      <c r="G922" s="10">
        <f t="shared" si="56"/>
        <v>182.56603773584905</v>
      </c>
      <c r="H922" s="6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t="s">
        <v>14</v>
      </c>
      <c r="G923" s="10">
        <f t="shared" si="56"/>
        <v>0.75436408977556113</v>
      </c>
      <c r="H923" s="6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t="s">
        <v>20</v>
      </c>
      <c r="G924" s="10">
        <f t="shared" si="56"/>
        <v>175.95330739299609</v>
      </c>
      <c r="H924" s="6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t="s">
        <v>20</v>
      </c>
      <c r="G925" s="10">
        <f t="shared" si="56"/>
        <v>237.88235294117646</v>
      </c>
      <c r="H925" s="6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t="s">
        <v>20</v>
      </c>
      <c r="G926" s="10">
        <f t="shared" si="56"/>
        <v>488.05076142131981</v>
      </c>
      <c r="H926" s="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t="s">
        <v>20</v>
      </c>
      <c r="G927" s="10">
        <f t="shared" si="56"/>
        <v>224.06666666666669</v>
      </c>
      <c r="H927" s="6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t="s">
        <v>14</v>
      </c>
      <c r="G928" s="10">
        <f t="shared" si="56"/>
        <v>18.126436781609197</v>
      </c>
      <c r="H928" s="6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t="s">
        <v>14</v>
      </c>
      <c r="G929" s="10">
        <f t="shared" si="56"/>
        <v>45.847222222222221</v>
      </c>
      <c r="H929" s="6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t="s">
        <v>20</v>
      </c>
      <c r="G930" s="10">
        <f t="shared" si="56"/>
        <v>117.31541218637993</v>
      </c>
      <c r="H930" s="6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t="s">
        <v>20</v>
      </c>
      <c r="G931" s="10">
        <f t="shared" si="56"/>
        <v>217.30909090909088</v>
      </c>
      <c r="H931" s="6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t="s">
        <v>20</v>
      </c>
      <c r="G932" s="10">
        <f t="shared" si="56"/>
        <v>112.28571428571428</v>
      </c>
      <c r="H932" s="6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t="s">
        <v>14</v>
      </c>
      <c r="G933" s="10">
        <f t="shared" si="56"/>
        <v>72.51898734177216</v>
      </c>
      <c r="H933" s="6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t="s">
        <v>20</v>
      </c>
      <c r="G934" s="10">
        <f t="shared" si="56"/>
        <v>212.30434782608697</v>
      </c>
      <c r="H934" s="6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t="s">
        <v>20</v>
      </c>
      <c r="G935" s="10">
        <f t="shared" si="56"/>
        <v>239.74657534246577</v>
      </c>
      <c r="H935" s="6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t="s">
        <v>20</v>
      </c>
      <c r="G936" s="10">
        <f t="shared" si="56"/>
        <v>181.93548387096774</v>
      </c>
      <c r="H936" s="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t="s">
        <v>20</v>
      </c>
      <c r="G937" s="10">
        <f t="shared" si="56"/>
        <v>164.13114754098362</v>
      </c>
      <c r="H937" s="6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t="s">
        <v>14</v>
      </c>
      <c r="G938" s="10">
        <f t="shared" si="56"/>
        <v>1.6375968992248062</v>
      </c>
      <c r="H938" s="6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t="s">
        <v>74</v>
      </c>
      <c r="G939" s="10">
        <f t="shared" si="56"/>
        <v>49.64385964912281</v>
      </c>
      <c r="H939" s="6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t="s">
        <v>20</v>
      </c>
      <c r="G940" s="10">
        <f t="shared" si="56"/>
        <v>109.70652173913042</v>
      </c>
      <c r="H940" s="6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t="s">
        <v>14</v>
      </c>
      <c r="G941" s="10">
        <f t="shared" si="56"/>
        <v>49.217948717948715</v>
      </c>
      <c r="H941" s="6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t="s">
        <v>47</v>
      </c>
      <c r="G942" s="10">
        <f t="shared" si="56"/>
        <v>62.232323232323225</v>
      </c>
      <c r="H942" s="6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t="s">
        <v>14</v>
      </c>
      <c r="G943" s="10">
        <f t="shared" si="56"/>
        <v>13.05813953488372</v>
      </c>
      <c r="H943" s="6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t="s">
        <v>14</v>
      </c>
      <c r="G944" s="10">
        <f t="shared" si="56"/>
        <v>64.635416666666671</v>
      </c>
      <c r="H944" s="6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t="s">
        <v>20</v>
      </c>
      <c r="G945" s="10">
        <f t="shared" si="56"/>
        <v>159.58666666666667</v>
      </c>
      <c r="H945" s="6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t="s">
        <v>14</v>
      </c>
      <c r="G946" s="10">
        <f t="shared" si="56"/>
        <v>81.42</v>
      </c>
      <c r="H946" s="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t="s">
        <v>14</v>
      </c>
      <c r="G947" s="10">
        <f t="shared" si="56"/>
        <v>32.444767441860463</v>
      </c>
      <c r="H947" s="6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t="s">
        <v>14</v>
      </c>
      <c r="G948" s="10">
        <f t="shared" si="56"/>
        <v>9.9141184124918666</v>
      </c>
      <c r="H948" s="6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t="s">
        <v>14</v>
      </c>
      <c r="G949" s="10">
        <f t="shared" si="56"/>
        <v>26.694444444444443</v>
      </c>
      <c r="H949" s="6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t="s">
        <v>74</v>
      </c>
      <c r="G950" s="10">
        <f t="shared" si="56"/>
        <v>62.957446808510639</v>
      </c>
      <c r="H950" s="6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t="s">
        <v>20</v>
      </c>
      <c r="G951" s="10">
        <f t="shared" si="56"/>
        <v>161.35593220338984</v>
      </c>
      <c r="H951" s="6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t="s">
        <v>14</v>
      </c>
      <c r="G952" s="10">
        <f t="shared" si="56"/>
        <v>5</v>
      </c>
      <c r="H952" s="6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t="s">
        <v>20</v>
      </c>
      <c r="G953" s="10">
        <f t="shared" si="56"/>
        <v>1096.9379310344827</v>
      </c>
      <c r="H953" s="6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t="s">
        <v>74</v>
      </c>
      <c r="G954" s="10">
        <f t="shared" si="56"/>
        <v>70.094158075601371</v>
      </c>
      <c r="H954" s="6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t="s">
        <v>14</v>
      </c>
      <c r="G955" s="10">
        <f t="shared" si="56"/>
        <v>60</v>
      </c>
      <c r="H955" s="6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t="s">
        <v>20</v>
      </c>
      <c r="G956" s="10">
        <f t="shared" si="56"/>
        <v>367.0985915492958</v>
      </c>
      <c r="H956" s="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t="s">
        <v>20</v>
      </c>
      <c r="G957" s="10">
        <f t="shared" si="56"/>
        <v>1109</v>
      </c>
      <c r="H957" s="6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t="s">
        <v>14</v>
      </c>
      <c r="G958" s="10">
        <f t="shared" si="56"/>
        <v>19.028784648187631</v>
      </c>
      <c r="H958" s="6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t="s">
        <v>20</v>
      </c>
      <c r="G959" s="10">
        <f t="shared" si="56"/>
        <v>126.87755102040816</v>
      </c>
      <c r="H959" s="6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t="s">
        <v>20</v>
      </c>
      <c r="G960" s="10">
        <f t="shared" si="56"/>
        <v>734.63636363636363</v>
      </c>
      <c r="H960" s="6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t="s">
        <v>14</v>
      </c>
      <c r="G961" s="10">
        <f t="shared" si="56"/>
        <v>4.5731034482758623</v>
      </c>
      <c r="H961" s="6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t="s">
        <v>14</v>
      </c>
      <c r="G962" s="10">
        <f t="shared" si="56"/>
        <v>85.054545454545448</v>
      </c>
      <c r="H962" s="6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t="s">
        <v>20</v>
      </c>
      <c r="G963" s="10">
        <f t="shared" ref="G963:G1001" si="60">E963/D963*100</f>
        <v>119.29824561403508</v>
      </c>
      <c r="H963" s="6">
        <f t="shared" ref="H963:H1001" si="61">IFERROR(E963/I963,"NONE")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t="s">
        <v>20</v>
      </c>
      <c r="G964" s="10">
        <f t="shared" si="60"/>
        <v>296.02777777777777</v>
      </c>
      <c r="H964" s="6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t="s">
        <v>14</v>
      </c>
      <c r="G965" s="10">
        <f t="shared" si="60"/>
        <v>84.694915254237287</v>
      </c>
      <c r="H965" s="6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t="s">
        <v>20</v>
      </c>
      <c r="G966" s="10">
        <f t="shared" si="60"/>
        <v>355.7837837837838</v>
      </c>
      <c r="H966" s="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t="s">
        <v>20</v>
      </c>
      <c r="G967" s="10">
        <f t="shared" si="60"/>
        <v>386.40909090909093</v>
      </c>
      <c r="H967" s="6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t="s">
        <v>20</v>
      </c>
      <c r="G968" s="10">
        <f t="shared" si="60"/>
        <v>792.23529411764707</v>
      </c>
      <c r="H968" s="6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t="s">
        <v>20</v>
      </c>
      <c r="G969" s="10">
        <f t="shared" si="60"/>
        <v>137.03393665158373</v>
      </c>
      <c r="H969" s="6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t="s">
        <v>20</v>
      </c>
      <c r="G970" s="10">
        <f t="shared" si="60"/>
        <v>338.20833333333337</v>
      </c>
      <c r="H970" s="6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t="s">
        <v>20</v>
      </c>
      <c r="G971" s="10">
        <f t="shared" si="60"/>
        <v>108.22784810126582</v>
      </c>
      <c r="H971" s="6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t="s">
        <v>14</v>
      </c>
      <c r="G972" s="10">
        <f t="shared" si="60"/>
        <v>60.757639620653315</v>
      </c>
      <c r="H972" s="6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t="s">
        <v>14</v>
      </c>
      <c r="G973" s="10">
        <f t="shared" si="60"/>
        <v>27.725490196078432</v>
      </c>
      <c r="H973" s="6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t="s">
        <v>20</v>
      </c>
      <c r="G974" s="10">
        <f t="shared" si="60"/>
        <v>228.3934426229508</v>
      </c>
      <c r="H974" s="6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t="s">
        <v>14</v>
      </c>
      <c r="G975" s="10">
        <f t="shared" si="60"/>
        <v>21.615194054500414</v>
      </c>
      <c r="H975" s="6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t="s">
        <v>20</v>
      </c>
      <c r="G976" s="10">
        <f t="shared" si="60"/>
        <v>373.875</v>
      </c>
      <c r="H976" s="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t="s">
        <v>20</v>
      </c>
      <c r="G977" s="10">
        <f t="shared" si="60"/>
        <v>154.92592592592592</v>
      </c>
      <c r="H977" s="6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t="s">
        <v>20</v>
      </c>
      <c r="G978" s="10">
        <f t="shared" si="60"/>
        <v>322.14999999999998</v>
      </c>
      <c r="H978" s="6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t="s">
        <v>14</v>
      </c>
      <c r="G979" s="10">
        <f t="shared" si="60"/>
        <v>73.957142857142856</v>
      </c>
      <c r="H979" s="6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t="s">
        <v>20</v>
      </c>
      <c r="G980" s="10">
        <f t="shared" si="60"/>
        <v>864.1</v>
      </c>
      <c r="H980" s="6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t="s">
        <v>20</v>
      </c>
      <c r="G981" s="10">
        <f t="shared" si="60"/>
        <v>143.26245847176079</v>
      </c>
      <c r="H981" s="6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t="s">
        <v>14</v>
      </c>
      <c r="G982" s="10">
        <f t="shared" si="60"/>
        <v>40.281762295081968</v>
      </c>
      <c r="H982" s="6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t="s">
        <v>20</v>
      </c>
      <c r="G983" s="10">
        <f t="shared" si="60"/>
        <v>178.22388059701493</v>
      </c>
      <c r="H983" s="6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t="s">
        <v>14</v>
      </c>
      <c r="G984" s="10">
        <f t="shared" si="60"/>
        <v>84.930555555555557</v>
      </c>
      <c r="H984" s="6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t="s">
        <v>20</v>
      </c>
      <c r="G985" s="10">
        <f t="shared" si="60"/>
        <v>145.93648334624322</v>
      </c>
      <c r="H985" s="6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t="s">
        <v>20</v>
      </c>
      <c r="G986" s="10">
        <f t="shared" si="60"/>
        <v>152.46153846153848</v>
      </c>
      <c r="H986" s="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t="s">
        <v>14</v>
      </c>
      <c r="G987" s="10">
        <f t="shared" si="60"/>
        <v>67.129542790152414</v>
      </c>
      <c r="H987" s="6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t="s">
        <v>14</v>
      </c>
      <c r="G988" s="10">
        <f t="shared" si="60"/>
        <v>40.307692307692307</v>
      </c>
      <c r="H988" s="6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t="s">
        <v>20</v>
      </c>
      <c r="G989" s="10">
        <f t="shared" si="60"/>
        <v>216.79032258064518</v>
      </c>
      <c r="H989" s="6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t="s">
        <v>14</v>
      </c>
      <c r="G990" s="10">
        <f t="shared" si="60"/>
        <v>52.117021276595743</v>
      </c>
      <c r="H990" s="6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t="s">
        <v>20</v>
      </c>
      <c r="G991" s="10">
        <f t="shared" si="60"/>
        <v>499.58333333333337</v>
      </c>
      <c r="H991" s="6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t="s">
        <v>14</v>
      </c>
      <c r="G992" s="10">
        <f t="shared" si="60"/>
        <v>87.679487179487182</v>
      </c>
      <c r="H992" s="6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t="s">
        <v>20</v>
      </c>
      <c r="G993" s="10">
        <f t="shared" si="60"/>
        <v>113.17346938775511</v>
      </c>
      <c r="H993" s="6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t="s">
        <v>20</v>
      </c>
      <c r="G994" s="10">
        <f t="shared" si="60"/>
        <v>426.54838709677421</v>
      </c>
      <c r="H994" s="6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t="s">
        <v>74</v>
      </c>
      <c r="G995" s="10">
        <f t="shared" si="60"/>
        <v>77.632653061224488</v>
      </c>
      <c r="H995" s="6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t="s">
        <v>14</v>
      </c>
      <c r="G996" s="10">
        <f t="shared" si="60"/>
        <v>52.496810772501767</v>
      </c>
      <c r="H996" s="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t="s">
        <v>20</v>
      </c>
      <c r="G997" s="10">
        <f t="shared" si="60"/>
        <v>157.46762589928059</v>
      </c>
      <c r="H997" s="6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t="s">
        <v>14</v>
      </c>
      <c r="G998" s="10">
        <f t="shared" si="60"/>
        <v>72.939393939393938</v>
      </c>
      <c r="H998" s="6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t="s">
        <v>74</v>
      </c>
      <c r="G999" s="10">
        <f t="shared" si="60"/>
        <v>60.565789473684205</v>
      </c>
      <c r="H999" s="6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t="s">
        <v>14</v>
      </c>
      <c r="G1000" s="10">
        <f t="shared" si="60"/>
        <v>56.791291291291287</v>
      </c>
      <c r="H1000" s="6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t="s">
        <v>74</v>
      </c>
      <c r="G1001" s="10">
        <f t="shared" si="60"/>
        <v>56.542754275427541</v>
      </c>
      <c r="H1001" s="6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H1048576">
    <cfRule type="cellIs" dxfId="11" priority="15" operator="equal">
      <formula>"failed"</formula>
    </cfRule>
    <cfRule type="cellIs" dxfId="10" priority="16" operator="equal">
      <formula>"canceled"</formula>
    </cfRule>
    <cfRule type="cellIs" dxfId="9" priority="17" operator="equal">
      <formula>"live"</formula>
    </cfRule>
    <cfRule type="cellIs" dxfId="8" priority="18" operator="equal">
      <formula>"successful"</formula>
    </cfRule>
  </conditionalFormatting>
  <conditionalFormatting sqref="G2:G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EBB-CDD8-41DB-AF93-27B5D7D16165}">
  <dimension ref="A1:F14"/>
  <sheetViews>
    <sheetView zoomScale="96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2068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5">
      <c r="A6" s="8" t="s">
        <v>2033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5">
      <c r="A7" s="8" t="s">
        <v>2050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5">
      <c r="A8" s="8" t="s">
        <v>2064</v>
      </c>
      <c r="B8" s="17"/>
      <c r="C8" s="17"/>
      <c r="D8" s="17"/>
      <c r="E8" s="17">
        <v>4</v>
      </c>
      <c r="F8" s="17">
        <v>4</v>
      </c>
    </row>
    <row r="9" spans="1:6" x14ac:dyDescent="0.25">
      <c r="A9" s="8" t="s">
        <v>2035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5">
      <c r="A10" s="8" t="s">
        <v>2054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5">
      <c r="A11" s="8" t="s">
        <v>2047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5">
      <c r="A12" s="8" t="s">
        <v>2037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5">
      <c r="A13" s="8" t="s">
        <v>2039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5">
      <c r="A14" s="8" t="s">
        <v>2067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FB4-8327-4C03-BCF0-9A44D406F732}">
  <dimension ref="A1:F30"/>
  <sheetViews>
    <sheetView zoomScale="74" workbookViewId="0">
      <selection activeCell="B1" sqref="B1"/>
    </sheetView>
  </sheetViews>
  <sheetFormatPr defaultRowHeight="15.75" x14ac:dyDescent="0.25"/>
  <cols>
    <col min="1" max="1" width="19" bestFit="1" customWidth="1"/>
    <col min="2" max="2" width="15.875" bestFit="1" customWidth="1"/>
    <col min="3" max="3" width="5.875" bestFit="1" customWidth="1"/>
    <col min="4" max="4" width="4.125" bestFit="1" customWidth="1"/>
    <col min="5" max="5" width="9.625" bestFit="1" customWidth="1"/>
    <col min="6" max="7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2068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5">
      <c r="A7" s="8" t="s">
        <v>2065</v>
      </c>
      <c r="B7" s="17"/>
      <c r="C7" s="17"/>
      <c r="D7" s="17"/>
      <c r="E7" s="17">
        <v>4</v>
      </c>
      <c r="F7" s="17">
        <v>4</v>
      </c>
    </row>
    <row r="8" spans="1:6" x14ac:dyDescent="0.25">
      <c r="A8" s="8" t="s">
        <v>2042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5">
      <c r="A9" s="8" t="s">
        <v>2044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5">
      <c r="A10" s="8" t="s">
        <v>2043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5">
      <c r="A11" s="8" t="s">
        <v>2053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5">
      <c r="A12" s="8" t="s">
        <v>2034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5">
      <c r="A13" s="8" t="s">
        <v>2045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5">
      <c r="A14" s="8" t="s">
        <v>2058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5">
      <c r="A15" s="8" t="s">
        <v>2057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5">
      <c r="A16" s="8" t="s">
        <v>2061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5">
      <c r="A17" s="8" t="s">
        <v>2048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5">
      <c r="A18" s="8" t="s">
        <v>2055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5">
      <c r="A19" s="8" t="s">
        <v>2040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5">
      <c r="A20" s="8" t="s">
        <v>2056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5">
      <c r="A21" s="8" t="s">
        <v>2036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5">
      <c r="A22" s="8" t="s">
        <v>2063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5">
      <c r="A23" s="8" t="s">
        <v>2052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5">
      <c r="A24" s="8" t="s">
        <v>2060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5">
      <c r="A25" s="8" t="s">
        <v>2059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5">
      <c r="A26" s="8" t="s">
        <v>2051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5">
      <c r="A27" s="8" t="s">
        <v>2046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5">
      <c r="A28" s="8" t="s">
        <v>2038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5">
      <c r="A29" s="8" t="s">
        <v>2062</v>
      </c>
      <c r="B29" s="17"/>
      <c r="C29" s="17"/>
      <c r="D29" s="17"/>
      <c r="E29" s="17">
        <v>3</v>
      </c>
      <c r="F29" s="17">
        <v>3</v>
      </c>
    </row>
    <row r="30" spans="1:6" x14ac:dyDescent="0.25">
      <c r="A30" s="8" t="s">
        <v>2067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82F-73EB-4E2F-9964-1FA241E0DE38}">
  <dimension ref="A1:E18"/>
  <sheetViews>
    <sheetView tabSelected="1" zoomScale="90" workbookViewId="0">
      <selection activeCell="F1" sqref="F1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2085</v>
      </c>
      <c r="B2" t="s">
        <v>2069</v>
      </c>
    </row>
    <row r="4" spans="1:5" x14ac:dyDescent="0.25">
      <c r="A4" s="7" t="s">
        <v>2068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4EC-74D0-4D97-A11F-7365B092F360}">
  <dimension ref="A1:H29"/>
  <sheetViews>
    <sheetView zoomScale="80" workbookViewId="0">
      <selection activeCell="I1" sqref="I1"/>
    </sheetView>
  </sheetViews>
  <sheetFormatPr defaultRowHeight="15.75" x14ac:dyDescent="0.25"/>
  <cols>
    <col min="1" max="1" width="19" customWidth="1"/>
    <col min="2" max="2" width="16.75" bestFit="1" customWidth="1"/>
    <col min="3" max="3" width="20.375" bestFit="1" customWidth="1"/>
    <col min="4" max="4" width="16.625" bestFit="1" customWidth="1"/>
    <col min="5" max="5" width="19.375" bestFit="1" customWidth="1"/>
    <col min="6" max="6" width="21.375" customWidth="1"/>
    <col min="7" max="7" width="19.375" customWidth="1"/>
    <col min="8" max="8" width="19.5" customWidth="1"/>
    <col min="9" max="11" width="13.875" bestFit="1" customWidth="1"/>
    <col min="12" max="12" width="11.875" bestFit="1" customWidth="1"/>
    <col min="13" max="13" width="17.625" bestFit="1" customWidth="1"/>
    <col min="14" max="14" width="13.375" bestFit="1" customWidth="1"/>
    <col min="15" max="15" width="11.875" bestFit="1" customWidth="1"/>
    <col min="16" max="16" width="28.875" bestFit="1" customWidth="1"/>
    <col min="17" max="17" width="7.75" bestFit="1" customWidth="1"/>
    <col min="18" max="18" width="8.625" bestFit="1" customWidth="1"/>
    <col min="19" max="19" width="11.75" bestFit="1" customWidth="1"/>
    <col min="20" max="20" width="11" bestFit="1" customWidth="1"/>
    <col min="21" max="21" width="8.75" bestFit="1" customWidth="1"/>
    <col min="22" max="22" width="7.75" bestFit="1" customWidth="1"/>
    <col min="23" max="23" width="5.625" bestFit="1" customWidth="1"/>
    <col min="24" max="24" width="8.75" bestFit="1" customWidth="1"/>
    <col min="25" max="25" width="7.75" bestFit="1" customWidth="1"/>
    <col min="26" max="26" width="8.625" bestFit="1" customWidth="1"/>
    <col min="27" max="28" width="11.75" bestFit="1" customWidth="1"/>
    <col min="29" max="29" width="11" bestFit="1" customWidth="1"/>
    <col min="30" max="30" width="15.625" bestFit="1" customWidth="1"/>
    <col min="31" max="32" width="6.75" bestFit="1" customWidth="1"/>
    <col min="33" max="33" width="18.875" bestFit="1" customWidth="1"/>
    <col min="34" max="34" width="15.625" bestFit="1" customWidth="1"/>
    <col min="35" max="36" width="6.75" bestFit="1" customWidth="1"/>
    <col min="37" max="37" width="18.875" bestFit="1" customWidth="1"/>
    <col min="38" max="38" width="13.5" bestFit="1" customWidth="1"/>
    <col min="39" max="39" width="8.75" bestFit="1" customWidth="1"/>
    <col min="40" max="40" width="7.75" bestFit="1" customWidth="1"/>
    <col min="41" max="41" width="16.75" bestFit="1" customWidth="1"/>
    <col min="42" max="42" width="19.375" bestFit="1" customWidth="1"/>
    <col min="43" max="43" width="8.75" bestFit="1" customWidth="1"/>
    <col min="44" max="44" width="7.75" bestFit="1" customWidth="1"/>
    <col min="45" max="45" width="22.625" bestFit="1" customWidth="1"/>
    <col min="46" max="46" width="15.125" bestFit="1" customWidth="1"/>
    <col min="47" max="47" width="7.75" bestFit="1" customWidth="1"/>
    <col min="48" max="48" width="6.75" bestFit="1" customWidth="1"/>
    <col min="49" max="49" width="18.375" bestFit="1" customWidth="1"/>
    <col min="50" max="50" width="8.625" bestFit="1" customWidth="1"/>
    <col min="51" max="53" width="11.75" bestFit="1" customWidth="1"/>
    <col min="54" max="54" width="11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COUNTIFS(Crowdfunding!F:F,"=canceled",Crowdfunding!D:D,"&lt;1000")</f>
        <v>1</v>
      </c>
      <c r="E2">
        <f>SUM(B2:D2)</f>
        <v>51</v>
      </c>
      <c r="F2" s="15">
        <f t="shared" ref="F2:F13" si="0"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7.25" x14ac:dyDescent="0.3">
      <c r="A3" t="s">
        <v>2095</v>
      </c>
      <c r="B3" s="14">
        <f>COUNTIFS(Crowdfunding!F:F,"=successful",Crowdfunding!D:D,"&gt;=1000",Crowdfunding!D:D,"&lt;5000")</f>
        <v>191</v>
      </c>
      <c r="C3" s="14">
        <f>COUNTIFS(Crowdfunding!F:F,"=failed",Crowdfunding!D:D,"&gt;=1000",Crowdfunding!D:D,"&lt;5000")</f>
        <v>38</v>
      </c>
      <c r="D3" s="14">
        <f>COUNTIFS(Crowdfunding!F:F,"=canceled",Crowdfunding!D:D,"&gt;=1000",Crowdfunding!D:D,"&lt;5000")</f>
        <v>2</v>
      </c>
      <c r="E3">
        <f t="shared" ref="E3:E13" si="1">SUM(B3:D3)</f>
        <v>231</v>
      </c>
      <c r="F3" s="15">
        <f t="shared" si="0"/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17.25" x14ac:dyDescent="0.3">
      <c r="A4" t="s">
        <v>2096</v>
      </c>
      <c r="B4" s="14">
        <f>COUNTIFS(Crowdfunding!F:F,"=successful",Crowdfunding!D:D,"&gt;=5000",Crowdfunding!D:D,"&lt;10000")</f>
        <v>164</v>
      </c>
      <c r="C4" s="14">
        <f>COUNTIFS(Crowdfunding!F:F,"=failed",Crowdfunding!D:D,"&gt;=5000",Crowdfunding!D:D,"&lt;10000")</f>
        <v>126</v>
      </c>
      <c r="D4" s="14">
        <f>COUNTIFS(Crowdfunding!F:F,"=canceled",Crowdfunding!D:D,"&gt;=5000",Crowdfunding!D:D,"&lt;10000")</f>
        <v>25</v>
      </c>
      <c r="E4">
        <f t="shared" si="1"/>
        <v>315</v>
      </c>
      <c r="F4" s="15">
        <f t="shared" si="0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17.25" x14ac:dyDescent="0.3">
      <c r="A5" t="s">
        <v>2097</v>
      </c>
      <c r="B5" s="14">
        <f>COUNTIFS(Crowdfunding!F:F,"=successful",Crowdfunding!D:D,"&gt;=10000",Crowdfunding!D:D,"&lt;15000")</f>
        <v>4</v>
      </c>
      <c r="C5" s="14">
        <f>COUNTIFS(Crowdfunding!F:F,"=failed",Crowdfunding!D:D,"&gt;=10000",Crowdfunding!D:D,"&lt;15000")</f>
        <v>5</v>
      </c>
      <c r="D5" s="14">
        <f>COUNTIFS(Crowdfunding!F:F,"=canceled",Crowdfunding!D:D,"&gt;=10000",Crowdfunding!D:D,"&lt;15000")</f>
        <v>0</v>
      </c>
      <c r="E5">
        <f t="shared" si="1"/>
        <v>9</v>
      </c>
      <c r="F5" s="15">
        <f t="shared" si="0"/>
        <v>0.44444444444444442</v>
      </c>
      <c r="G5" s="15">
        <f t="shared" si="2"/>
        <v>0.55555555555555558</v>
      </c>
      <c r="H5" s="15">
        <f t="shared" si="3"/>
        <v>0</v>
      </c>
    </row>
    <row r="6" spans="1:8" ht="17.25" x14ac:dyDescent="0.3">
      <c r="A6" t="s">
        <v>2098</v>
      </c>
      <c r="B6" s="14">
        <f>COUNTIFS(Crowdfunding!F:F,"=successful",Crowdfunding!D:D,"&gt;=15000",Crowdfunding!D:D,"&lt;20000")</f>
        <v>10</v>
      </c>
      <c r="C6" s="14">
        <f>COUNTIFS(Crowdfunding!F:F,"=failed",Crowdfunding!D:D,"&gt;=15000",Crowdfunding!D:D,"&lt;20000")</f>
        <v>0</v>
      </c>
      <c r="D6" s="14">
        <f>COUNTIFS(Crowdfunding!F:F,"=canceled",Crowdfunding!D:D,"&gt;=15000",Crowdfunding!D:D,"&lt;20000")</f>
        <v>0</v>
      </c>
      <c r="E6">
        <f t="shared" si="1"/>
        <v>10</v>
      </c>
      <c r="F6" s="15">
        <f t="shared" si="0"/>
        <v>1</v>
      </c>
      <c r="G6" s="15">
        <f t="shared" si="2"/>
        <v>0</v>
      </c>
      <c r="H6" s="15">
        <f t="shared" si="3"/>
        <v>0</v>
      </c>
    </row>
    <row r="7" spans="1:8" ht="17.25" x14ac:dyDescent="0.3">
      <c r="A7" t="s">
        <v>2099</v>
      </c>
      <c r="B7" s="14">
        <f>COUNTIFS(Crowdfunding!F:F,"=successful",Crowdfunding!D:D,"&gt;=20000",Crowdfunding!D:D,"&lt;25000")</f>
        <v>7</v>
      </c>
      <c r="C7" s="14">
        <f>COUNTIFS(Crowdfunding!F:F,"=failed",Crowdfunding!D:D,"&gt;=20000",Crowdfunding!D:D,"&lt;25000")</f>
        <v>0</v>
      </c>
      <c r="D7" s="14">
        <f>COUNTIFS(Crowdfunding!F:F,"=canceled",Crowdfunding!D:D,"&gt;=20000",Crowdfunding!D:D,"&lt;25000")</f>
        <v>0</v>
      </c>
      <c r="E7">
        <f t="shared" si="1"/>
        <v>7</v>
      </c>
      <c r="F7" s="15">
        <f t="shared" si="0"/>
        <v>1</v>
      </c>
      <c r="G7" s="15">
        <f t="shared" si="2"/>
        <v>0</v>
      </c>
      <c r="H7" s="15">
        <f t="shared" si="3"/>
        <v>0</v>
      </c>
    </row>
    <row r="8" spans="1:8" ht="17.25" x14ac:dyDescent="0.3">
      <c r="A8" t="s">
        <v>2100</v>
      </c>
      <c r="B8" s="14">
        <f>COUNTIFS(Crowdfunding!F:F,"=successful",Crowdfunding!D:D,"&gt;=25000",Crowdfunding!D:D,"&lt;30000")</f>
        <v>11</v>
      </c>
      <c r="C8" s="14">
        <f>COUNTIFS(Crowdfunding!F:F,"=failed",Crowdfunding!D:D,"&gt;=25000",Crowdfunding!D:D,"&lt;30000")</f>
        <v>3</v>
      </c>
      <c r="D8" s="14">
        <f>COUNTIFS(Crowdfunding!F:F,"=canceled",Crowdfunding!D:D,"&gt;=25000",Crowdfunding!D:D,"&lt;30000")</f>
        <v>0</v>
      </c>
      <c r="E8">
        <f t="shared" si="1"/>
        <v>14</v>
      </c>
      <c r="F8" s="15">
        <f t="shared" si="0"/>
        <v>0.7857142857142857</v>
      </c>
      <c r="G8" s="15">
        <f t="shared" si="2"/>
        <v>0.21428571428571427</v>
      </c>
      <c r="H8" s="15">
        <f t="shared" si="3"/>
        <v>0</v>
      </c>
    </row>
    <row r="9" spans="1:8" ht="17.25" x14ac:dyDescent="0.3">
      <c r="A9" t="s">
        <v>2101</v>
      </c>
      <c r="B9" s="14">
        <f>COUNTIFS(Crowdfunding!F:F,"=successful",Crowdfunding!D:D,"&gt;=30000",Crowdfunding!D:D,"&lt;35000")</f>
        <v>7</v>
      </c>
      <c r="C9" s="14">
        <f>COUNTIFS(Crowdfunding!F:F,"=failed",Crowdfunding!D:D,"&gt;=30000",Crowdfunding!D:D,"&lt;35000")</f>
        <v>0</v>
      </c>
      <c r="D9" s="14">
        <f>COUNTIFS(Crowdfunding!F:F,"=canceled",Crowdfunding!D:D,"&gt;=30000",Crowdfunding!D:D,"&lt;35000")</f>
        <v>0</v>
      </c>
      <c r="E9">
        <f t="shared" si="1"/>
        <v>7</v>
      </c>
      <c r="F9" s="15">
        <f t="shared" si="0"/>
        <v>1</v>
      </c>
      <c r="G9" s="15">
        <f t="shared" si="2"/>
        <v>0</v>
      </c>
      <c r="H9" s="15">
        <f t="shared" si="3"/>
        <v>0</v>
      </c>
    </row>
    <row r="10" spans="1:8" ht="17.25" x14ac:dyDescent="0.3">
      <c r="A10" t="s">
        <v>2102</v>
      </c>
      <c r="B10" s="14">
        <f>COUNTIFS(Crowdfunding!F:F,"=successful",Crowdfunding!D:D,"&gt;=35000",Crowdfunding!D:D,"&lt;40000")</f>
        <v>8</v>
      </c>
      <c r="C10" s="14">
        <f>COUNTIFS(Crowdfunding!F:F,"=failed",Crowdfunding!D:D,"&gt;=35000",Crowdfunding!D:D,"&lt;40000")</f>
        <v>3</v>
      </c>
      <c r="D10" s="14">
        <f>COUNTIFS(Crowdfunding!F:F,"=canceled",Crowdfunding!D:D,"&gt;=35000",Crowdfunding!D:D,"&lt;40000")</f>
        <v>1</v>
      </c>
      <c r="E10">
        <f t="shared" si="1"/>
        <v>12</v>
      </c>
      <c r="F10" s="15">
        <f t="shared" si="0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17.25" x14ac:dyDescent="0.3">
      <c r="A11" t="s">
        <v>2103</v>
      </c>
      <c r="B11" s="14">
        <f>COUNTIFS(Crowdfunding!F:F,"=successful",Crowdfunding!D:D,"&gt;=40000",Crowdfunding!D:D,"&lt;45000")</f>
        <v>11</v>
      </c>
      <c r="C11" s="14">
        <f>COUNTIFS(Crowdfunding!F:F,"=failed",Crowdfunding!D:D,"&gt;=40000",Crowdfunding!D:D,"&lt;45000")</f>
        <v>3</v>
      </c>
      <c r="D11" s="14">
        <f>COUNTIFS(Crowdfunding!F:F,"=canceled",Crowdfunding!D:D,"&gt;=40000",Crowdfunding!D:D,"&lt;45000")</f>
        <v>0</v>
      </c>
      <c r="E11">
        <f t="shared" si="1"/>
        <v>14</v>
      </c>
      <c r="F11" s="15">
        <f t="shared" si="0"/>
        <v>0.7857142857142857</v>
      </c>
      <c r="G11" s="15">
        <f t="shared" si="2"/>
        <v>0.21428571428571427</v>
      </c>
      <c r="H11" s="15">
        <f t="shared" si="3"/>
        <v>0</v>
      </c>
    </row>
    <row r="12" spans="1:8" ht="17.25" x14ac:dyDescent="0.3">
      <c r="A12" t="s">
        <v>2104</v>
      </c>
      <c r="B12" s="14">
        <f>COUNTIFS(Crowdfunding!F:F,"=successful",Crowdfunding!D:D,"&gt;=45000",Crowdfunding!D:D,"&lt;50000")</f>
        <v>8</v>
      </c>
      <c r="C12" s="14">
        <f>COUNTIFS(Crowdfunding!F:F,"=failed",Crowdfunding!D:D,"&gt;=45000",Crowdfunding!D:D,"&lt;50000")</f>
        <v>3</v>
      </c>
      <c r="D12" s="14">
        <f>COUNTIFS(Crowdfunding!F:F,"=canceled",Crowdfunding!D:D,"&gt;=45000",Crowdfunding!D:D,"&lt;50000")</f>
        <v>0</v>
      </c>
      <c r="E12">
        <f t="shared" si="1"/>
        <v>11</v>
      </c>
      <c r="F12" s="15">
        <f t="shared" si="0"/>
        <v>0.72727272727272729</v>
      </c>
      <c r="G12" s="15">
        <f t="shared" si="2"/>
        <v>0.27272727272727271</v>
      </c>
      <c r="H12" s="15">
        <f t="shared" si="3"/>
        <v>0</v>
      </c>
    </row>
    <row r="13" spans="1:8" ht="17.25" x14ac:dyDescent="0.3">
      <c r="A13" t="s">
        <v>2105</v>
      </c>
      <c r="B13" s="14">
        <f>COUNTIFS(Crowdfunding!F:F,"=successful",Crowdfunding!D:D,"&gt;=50000")</f>
        <v>114</v>
      </c>
      <c r="C13" s="14">
        <f>COUNTIFS(Crowdfunding!F:F,"=failed",Crowdfunding!D:D,"&gt;=50000")</f>
        <v>163</v>
      </c>
      <c r="D13" s="14">
        <f>COUNTIFS(Crowdfunding!F:F,"=canceled",Crowdfunding!D:D,"&gt;=50000")</f>
        <v>28</v>
      </c>
      <c r="E13">
        <f t="shared" si="1"/>
        <v>305</v>
      </c>
      <c r="F13" s="15">
        <f t="shared" si="0"/>
        <v>0.3737704918032787</v>
      </c>
      <c r="G13" s="15">
        <f t="shared" si="2"/>
        <v>0.53442622950819674</v>
      </c>
      <c r="H13" s="15">
        <f t="shared" si="3"/>
        <v>9.1803278688524587E-2</v>
      </c>
    </row>
    <row r="16" spans="1:8" x14ac:dyDescent="0.25">
      <c r="B16" s="7" t="s">
        <v>2066</v>
      </c>
      <c r="C16" t="s">
        <v>2106</v>
      </c>
      <c r="D16" t="s">
        <v>2107</v>
      </c>
      <c r="E16" t="s">
        <v>2108</v>
      </c>
    </row>
    <row r="17" spans="2:5" x14ac:dyDescent="0.25">
      <c r="B17" s="8" t="s">
        <v>2094</v>
      </c>
      <c r="C17">
        <v>0.58823529411764708</v>
      </c>
      <c r="D17">
        <v>0.39215686274509803</v>
      </c>
      <c r="E17">
        <v>1.9607843137254902E-2</v>
      </c>
    </row>
    <row r="18" spans="2:5" x14ac:dyDescent="0.25">
      <c r="B18" s="8" t="s">
        <v>2095</v>
      </c>
      <c r="C18">
        <v>0.82683982683982682</v>
      </c>
      <c r="D18">
        <v>0.16450216450216451</v>
      </c>
      <c r="E18">
        <v>8.658008658008658E-3</v>
      </c>
    </row>
    <row r="19" spans="2:5" x14ac:dyDescent="0.25">
      <c r="B19" s="8" t="s">
        <v>2096</v>
      </c>
      <c r="C19">
        <v>0.52063492063492067</v>
      </c>
      <c r="D19">
        <v>0.4</v>
      </c>
      <c r="E19">
        <v>7.9365079365079361E-2</v>
      </c>
    </row>
    <row r="20" spans="2:5" x14ac:dyDescent="0.25">
      <c r="B20" s="8" t="s">
        <v>2097</v>
      </c>
      <c r="C20">
        <v>0.44444444444444442</v>
      </c>
      <c r="D20">
        <v>0.55555555555555558</v>
      </c>
      <c r="E20">
        <v>0</v>
      </c>
    </row>
    <row r="21" spans="2:5" x14ac:dyDescent="0.25">
      <c r="B21" s="8" t="s">
        <v>2098</v>
      </c>
      <c r="C21">
        <v>1</v>
      </c>
      <c r="D21">
        <v>0</v>
      </c>
      <c r="E21">
        <v>0</v>
      </c>
    </row>
    <row r="22" spans="2:5" x14ac:dyDescent="0.25">
      <c r="B22" s="8" t="s">
        <v>2099</v>
      </c>
      <c r="C22">
        <v>1</v>
      </c>
      <c r="D22">
        <v>0</v>
      </c>
      <c r="E22">
        <v>0</v>
      </c>
    </row>
    <row r="23" spans="2:5" x14ac:dyDescent="0.25">
      <c r="B23" s="8" t="s">
        <v>2100</v>
      </c>
      <c r="C23">
        <v>0.7857142857142857</v>
      </c>
      <c r="D23">
        <v>0.21428571428571427</v>
      </c>
      <c r="E23">
        <v>0</v>
      </c>
    </row>
    <row r="24" spans="2:5" x14ac:dyDescent="0.25">
      <c r="B24" s="8" t="s">
        <v>2101</v>
      </c>
      <c r="C24">
        <v>1</v>
      </c>
      <c r="D24">
        <v>0</v>
      </c>
      <c r="E24">
        <v>0</v>
      </c>
    </row>
    <row r="25" spans="2:5" x14ac:dyDescent="0.25">
      <c r="B25" s="8" t="s">
        <v>2102</v>
      </c>
      <c r="C25">
        <v>0.66666666666666663</v>
      </c>
      <c r="D25">
        <v>0.25</v>
      </c>
      <c r="E25">
        <v>8.3333333333333329E-2</v>
      </c>
    </row>
    <row r="26" spans="2:5" x14ac:dyDescent="0.25">
      <c r="B26" s="8" t="s">
        <v>2103</v>
      </c>
      <c r="C26">
        <v>0.7857142857142857</v>
      </c>
      <c r="D26">
        <v>0.21428571428571427</v>
      </c>
      <c r="E26">
        <v>0</v>
      </c>
    </row>
    <row r="27" spans="2:5" x14ac:dyDescent="0.25">
      <c r="B27" s="8" t="s">
        <v>2104</v>
      </c>
      <c r="C27">
        <v>0.72727272727272729</v>
      </c>
      <c r="D27">
        <v>0.27272727272727271</v>
      </c>
      <c r="E27">
        <v>0</v>
      </c>
    </row>
    <row r="28" spans="2:5" x14ac:dyDescent="0.25">
      <c r="B28" s="8" t="s">
        <v>2105</v>
      </c>
      <c r="C28">
        <v>0.3737704918032787</v>
      </c>
      <c r="D28">
        <v>0.53442622950819674</v>
      </c>
      <c r="E28">
        <v>9.1803278688524587E-2</v>
      </c>
    </row>
    <row r="29" spans="2:5" x14ac:dyDescent="0.25">
      <c r="B29" s="8" t="s">
        <v>2067</v>
      </c>
      <c r="C29">
        <v>8.7192929432080835</v>
      </c>
      <c r="D29">
        <v>2.9979395136097158</v>
      </c>
      <c r="E29">
        <v>0.28276754318220088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984A-96CC-4CDC-A589-AA6F92A02EBC}">
  <dimension ref="A1:I566"/>
  <sheetViews>
    <sheetView zoomScale="119" workbookViewId="0">
      <selection activeCell="J1" sqref="J1"/>
    </sheetView>
  </sheetViews>
  <sheetFormatPr defaultRowHeight="15.75" x14ac:dyDescent="0.25"/>
  <cols>
    <col min="1" max="1" width="11"/>
    <col min="2" max="2" width="13.75" customWidth="1"/>
    <col min="4" max="4" width="11"/>
    <col min="5" max="5" width="14.75" customWidth="1"/>
    <col min="7" max="7" width="16.75" style="16" customWidth="1"/>
    <col min="8" max="8" width="13.875" customWidth="1"/>
    <col min="9" max="9" width="10.5" customWidth="1"/>
  </cols>
  <sheetData>
    <row r="1" spans="1:9" s="13" customFormat="1" x14ac:dyDescent="0.25">
      <c r="A1" s="1" t="s">
        <v>4</v>
      </c>
      <c r="B1" s="13" t="s">
        <v>5</v>
      </c>
      <c r="D1" s="1" t="s">
        <v>4</v>
      </c>
      <c r="E1" s="1" t="s">
        <v>5</v>
      </c>
      <c r="G1" s="16"/>
      <c r="H1" s="13" t="s">
        <v>20</v>
      </c>
      <c r="I1" s="13" t="s">
        <v>14</v>
      </c>
    </row>
    <row r="2" spans="1:9" x14ac:dyDescent="0.25">
      <c r="A2" t="str" cm="1">
        <f t="array" ref="A2:A566">_xlfn._xlws.FILTER(Crowdfunding!$F2:$F1001, Crowdfunding!$F2:$F1001="successful")</f>
        <v>successful</v>
      </c>
      <c r="B2" cm="1">
        <f t="array" ref="B2:B566">_xlfn._xlws.FILTER(Crowdfunding!$I2:$I1001, Crowdfunding!$F2:$F1001="successful")</f>
        <v>158</v>
      </c>
      <c r="D2" t="str" cm="1">
        <f t="array" ref="D2:D365">_xlfn._xlws.FILTER(Crowdfunding!$F2:$F1001, Crowdfunding!$F2:$F1001="failed")</f>
        <v>failed</v>
      </c>
      <c r="E2" cm="1">
        <f t="array" ref="E2:E365">_xlfn._xlws.FILTER(Crowdfunding!$I2:$I1001, Crowdfunding!$F2:$F1001="failed")</f>
        <v>0</v>
      </c>
      <c r="G2" s="16" t="s">
        <v>2109</v>
      </c>
      <c r="H2" s="10">
        <f>AVERAGE(B:B)</f>
        <v>851.14690265486729</v>
      </c>
      <c r="I2" s="10">
        <f>AVERAGE(E:E)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16" t="s">
        <v>2110</v>
      </c>
      <c r="H3" s="10">
        <f>MEDIAN(B:B)</f>
        <v>201</v>
      </c>
      <c r="I3" s="10">
        <f>MEDIAN(E:E)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16" t="s">
        <v>2111</v>
      </c>
      <c r="H4" s="10">
        <f>MIN(B:B)</f>
        <v>16</v>
      </c>
      <c r="I4" s="10">
        <f>MIN(E:E)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16" t="s">
        <v>2112</v>
      </c>
      <c r="H5" s="10">
        <f>MAX(B:B)</f>
        <v>7295</v>
      </c>
      <c r="I5" s="10">
        <f>MAX(E:E)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16" t="s">
        <v>2113</v>
      </c>
      <c r="H6" s="10">
        <f>_xlfn.VAR.P(_xlfn.ANCHORARRAY(B2))</f>
        <v>1603373.7324019109</v>
      </c>
      <c r="I6" s="10">
        <f>_xlfn.VAR.P(_xlfn.ANCHORARRAY(E2))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16" t="s">
        <v>2114</v>
      </c>
      <c r="H7" s="10">
        <f>_xlfn.STDEV.P(_xlfn.ANCHORARRAY(B2))</f>
        <v>1266.2439466397898</v>
      </c>
      <c r="I7" s="10">
        <f>_xlfn.STDEV.P(_xlfn.ANCHORARRAY(E2))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7" priority="5" operator="equal">
      <formula>"failed"</formula>
    </cfRule>
    <cfRule type="cellIs" dxfId="6" priority="6" operator="equal">
      <formula>"canceled"</formula>
    </cfRule>
    <cfRule type="cellIs" dxfId="5" priority="7" operator="equal">
      <formula>"live"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sub-category</vt:lpstr>
      <vt:lpstr>Outcome over time</vt:lpstr>
      <vt:lpstr>Crowdfunding Goal Analysis</vt:lpstr>
      <vt:lpstr>Statistical Analysis</vt:lpstr>
      <vt:lpstr>backers_count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</cp:lastModifiedBy>
  <dcterms:created xsi:type="dcterms:W3CDTF">2021-09-29T18:52:28Z</dcterms:created>
  <dcterms:modified xsi:type="dcterms:W3CDTF">2023-06-14T03:07:41Z</dcterms:modified>
</cp:coreProperties>
</file>