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6020" tabRatio="500" activeTab="1"/>
  </bookViews>
  <sheets>
    <sheet name="Balance Sheet" sheetId="2" r:id="rId1"/>
    <sheet name="Cashflow Forecast" sheetId="1" r:id="rId2"/>
    <sheet name="Product Pricing Methodology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" i="1" l="1"/>
  <c r="E43" i="3"/>
  <c r="D43" i="3"/>
  <c r="C43" i="3"/>
  <c r="C41" i="3"/>
  <c r="D41" i="3"/>
  <c r="D42" i="3"/>
  <c r="E42" i="3"/>
  <c r="C42" i="3"/>
  <c r="B42" i="3"/>
  <c r="C4" i="3"/>
  <c r="I41" i="3"/>
  <c r="E41" i="3"/>
  <c r="C40" i="3"/>
  <c r="D40" i="3"/>
  <c r="E40" i="3"/>
  <c r="F40" i="3"/>
  <c r="G40" i="3"/>
  <c r="H40" i="3"/>
  <c r="I40" i="3"/>
  <c r="B40" i="3"/>
  <c r="I39" i="3"/>
  <c r="G39" i="3"/>
  <c r="H39" i="3"/>
  <c r="F39" i="3"/>
  <c r="I19" i="1"/>
  <c r="I18" i="1"/>
  <c r="F18" i="1"/>
  <c r="D18" i="1"/>
  <c r="E18" i="1"/>
  <c r="B5" i="3"/>
  <c r="B8" i="3"/>
  <c r="C25" i="3"/>
  <c r="D25" i="3"/>
  <c r="I25" i="3"/>
  <c r="I32" i="3"/>
  <c r="C24" i="3"/>
  <c r="D24" i="3"/>
  <c r="I24" i="3"/>
  <c r="I31" i="3"/>
  <c r="C23" i="3"/>
  <c r="D23" i="3"/>
  <c r="I23" i="3"/>
  <c r="I30" i="3"/>
  <c r="C22" i="3"/>
  <c r="D22" i="3"/>
  <c r="I22" i="3"/>
  <c r="I29" i="3"/>
  <c r="H25" i="3"/>
  <c r="H32" i="3"/>
  <c r="H24" i="3"/>
  <c r="H31" i="3"/>
  <c r="H23" i="3"/>
  <c r="H30" i="3"/>
  <c r="H22" i="3"/>
  <c r="H29" i="3"/>
  <c r="G25" i="3"/>
  <c r="G32" i="3"/>
  <c r="G24" i="3"/>
  <c r="G31" i="3"/>
  <c r="G23" i="3"/>
  <c r="G30" i="3"/>
  <c r="G22" i="3"/>
  <c r="G29" i="3"/>
  <c r="F25" i="3"/>
  <c r="F32" i="3"/>
  <c r="F24" i="3"/>
  <c r="F31" i="3"/>
  <c r="F23" i="3"/>
  <c r="F30" i="3"/>
  <c r="F22" i="3"/>
  <c r="F29" i="3"/>
  <c r="E25" i="3"/>
  <c r="E32" i="3"/>
  <c r="E24" i="3"/>
  <c r="E31" i="3"/>
  <c r="E23" i="3"/>
  <c r="E30" i="3"/>
  <c r="E22" i="3"/>
  <c r="E29" i="3"/>
  <c r="C11" i="3"/>
  <c r="E11" i="3"/>
  <c r="F11" i="3"/>
  <c r="C12" i="3"/>
  <c r="E12" i="3"/>
  <c r="F12" i="3"/>
  <c r="F18" i="3"/>
  <c r="C13" i="3"/>
  <c r="E13" i="3"/>
  <c r="F13" i="3"/>
  <c r="G18" i="3"/>
  <c r="C14" i="3"/>
  <c r="E14" i="3"/>
  <c r="F14" i="3"/>
  <c r="H18" i="3"/>
  <c r="C15" i="3"/>
  <c r="E15" i="3"/>
  <c r="F15" i="3"/>
  <c r="I18" i="3"/>
  <c r="E18" i="3"/>
  <c r="C11" i="2"/>
  <c r="G8" i="2"/>
  <c r="G10" i="2"/>
  <c r="D26" i="1"/>
  <c r="D21" i="1"/>
  <c r="F21" i="1"/>
  <c r="G7" i="2"/>
  <c r="G11" i="2"/>
  <c r="F9" i="1"/>
  <c r="F29" i="1"/>
  <c r="F33" i="1"/>
  <c r="D5" i="1"/>
  <c r="D9" i="1"/>
  <c r="D24" i="1"/>
  <c r="D29" i="1"/>
  <c r="D33" i="1"/>
  <c r="E9" i="1"/>
  <c r="E29" i="1"/>
  <c r="H35" i="1"/>
  <c r="C22" i="2"/>
  <c r="G22" i="2"/>
</calcChain>
</file>

<file path=xl/sharedStrings.xml><?xml version="1.0" encoding="utf-8"?>
<sst xmlns="http://schemas.openxmlformats.org/spreadsheetml/2006/main" count="108" uniqueCount="98">
  <si>
    <t>Spoon</t>
  </si>
  <si>
    <t>Revenue</t>
  </si>
  <si>
    <t>Service Revenue</t>
  </si>
  <si>
    <t>Interest Revenue</t>
  </si>
  <si>
    <t>Other Revenue</t>
  </si>
  <si>
    <t>Total Revenue</t>
  </si>
  <si>
    <t>Expenses</t>
  </si>
  <si>
    <t>Advertising</t>
  </si>
  <si>
    <t>Bad debt</t>
  </si>
  <si>
    <t>Commissions</t>
  </si>
  <si>
    <t>Cost of goods sold</t>
  </si>
  <si>
    <t>Depreciation</t>
  </si>
  <si>
    <t>Employee Benefits</t>
  </si>
  <si>
    <t>Interest Expense</t>
  </si>
  <si>
    <t>Maintenance and repairs</t>
  </si>
  <si>
    <t>Office supplies</t>
  </si>
  <si>
    <t>Rent</t>
  </si>
  <si>
    <t>Research and development</t>
  </si>
  <si>
    <t>Salaries and Wages</t>
  </si>
  <si>
    <t>Travel</t>
  </si>
  <si>
    <t>Web hosting and domains</t>
  </si>
  <si>
    <t>Other</t>
  </si>
  <si>
    <t>Total Expenses</t>
  </si>
  <si>
    <t>Net Income before taxes</t>
  </si>
  <si>
    <t>Income tax expense</t>
  </si>
  <si>
    <t>Net Income</t>
  </si>
  <si>
    <t>Balance Sheet</t>
  </si>
  <si>
    <t>Assets</t>
  </si>
  <si>
    <t>Liabilities</t>
  </si>
  <si>
    <t>Current Assets</t>
  </si>
  <si>
    <t>Cash</t>
  </si>
  <si>
    <t>Accounts receivable</t>
  </si>
  <si>
    <t>Inventory</t>
  </si>
  <si>
    <t>Temporary Investment</t>
  </si>
  <si>
    <t>Prepaid expenses</t>
  </si>
  <si>
    <t>Fixed Assets</t>
  </si>
  <si>
    <t>Long-term investments</t>
  </si>
  <si>
    <t>Land</t>
  </si>
  <si>
    <t>Equipment</t>
  </si>
  <si>
    <t>Total Fixed Assets</t>
  </si>
  <si>
    <t>Total Current Assets</t>
  </si>
  <si>
    <t>Current Liabilities</t>
  </si>
  <si>
    <t>Accounts payable</t>
  </si>
  <si>
    <t>Interest payable</t>
  </si>
  <si>
    <t>Taxes payable</t>
  </si>
  <si>
    <t>Accured payroll</t>
  </si>
  <si>
    <t>Total Current Liabilities</t>
  </si>
  <si>
    <t>Long-term Liabilities</t>
  </si>
  <si>
    <t>Mortgage</t>
  </si>
  <si>
    <t>Total Long-term Liabilities</t>
  </si>
  <si>
    <t>Shareholders Equity</t>
  </si>
  <si>
    <t>Capitalstack</t>
  </si>
  <si>
    <t>Retained Earnings</t>
  </si>
  <si>
    <t>Total Shareholders Equity</t>
  </si>
  <si>
    <t>Total Liabilities Equity</t>
  </si>
  <si>
    <t>exempt</t>
  </si>
  <si>
    <t>Buildings</t>
  </si>
  <si>
    <t>n/a</t>
  </si>
  <si>
    <t>16.86% APR</t>
  </si>
  <si>
    <t>Jan 06th 2014 - May 30th 2014</t>
  </si>
  <si>
    <t>IT &amp; Utilities</t>
  </si>
  <si>
    <t>Software Modules</t>
  </si>
  <si>
    <t>Sales Revenue</t>
  </si>
  <si>
    <t>Overheads</t>
  </si>
  <si>
    <t>Total Assets Equity</t>
  </si>
  <si>
    <t>remaining money from loan</t>
  </si>
  <si>
    <t>direct costs</t>
  </si>
  <si>
    <t>variable costs</t>
  </si>
  <si>
    <t>total production cost</t>
  </si>
  <si>
    <t>total distribution cost</t>
  </si>
  <si>
    <t>total cost</t>
  </si>
  <si>
    <t>sales to break even</t>
  </si>
  <si>
    <t>predicted sales ratio</t>
  </si>
  <si>
    <t>predicted sales at price</t>
  </si>
  <si>
    <t>product cost</t>
  </si>
  <si>
    <t>total sales</t>
  </si>
  <si>
    <t>sales to breakeven</t>
  </si>
  <si>
    <t>revenue</t>
  </si>
  <si>
    <t>total money</t>
  </si>
  <si>
    <t>profit margin</t>
  </si>
  <si>
    <t>total sales to breakeven</t>
  </si>
  <si>
    <t>students in uk</t>
  </si>
  <si>
    <t xml:space="preserve">sell to 5% </t>
  </si>
  <si>
    <t>extra sales required</t>
  </si>
  <si>
    <t>interest</t>
  </si>
  <si>
    <t>interest per month after project</t>
  </si>
  <si>
    <t>Q1</t>
  </si>
  <si>
    <t>Q2</t>
  </si>
  <si>
    <t>Q3</t>
  </si>
  <si>
    <t>Q4</t>
  </si>
  <si>
    <t>sales</t>
  </si>
  <si>
    <t>total sales revenue</t>
  </si>
  <si>
    <t>profit</t>
  </si>
  <si>
    <t>money owed</t>
  </si>
  <si>
    <t>Cashflow Forecast</t>
  </si>
  <si>
    <t>Easter Period 15th Mar - 22 Apr</t>
  </si>
  <si>
    <t>Summer Period 22 Apr - 30 May</t>
  </si>
  <si>
    <t>Spring Period (06 Jan-15th Mar)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</si>
</sst>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£&quot;#,##0;[Red]\-&quot;£&quot;#,##0"/>
    <numFmt numFmtId="8" formatCode="&quot;£&quot;#,##0.00;[Red]\-&quot;£&quot;#,##0.00"/>
    <numFmt numFmtId="43" formatCode="_-* #,##0.00_-;\-* #,##0.00_-;_-* &quot;-&quot;??_-;_-@_-"/>
    <numFmt numFmtId="164" formatCode="&quot;£&quot;#,##0.00;[Red]&quot;£&quot;#,##0.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2"/>
      <color theme="1"/>
      <name val="Calibri"/>
      <scheme val="minor"/>
    </font>
    <font>
      <b/>
      <sz val="20"/>
      <color theme="1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8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95959"/>
        <bgColor rgb="FF000000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2" borderId="0" xfId="0" applyFill="1"/>
    <xf numFmtId="0" fontId="3" fillId="0" borderId="0" xfId="0" applyFont="1"/>
    <xf numFmtId="0" fontId="0" fillId="0" borderId="1" xfId="0" applyBorder="1" applyAlignment="1">
      <alignment wrapText="1"/>
    </xf>
    <xf numFmtId="14" fontId="1" fillId="0" borderId="0" xfId="0" applyNumberFormat="1" applyFont="1" applyAlignment="1">
      <alignment horizontal="left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/>
    <xf numFmtId="0" fontId="2" fillId="0" borderId="0" xfId="0" applyFont="1"/>
    <xf numFmtId="0" fontId="4" fillId="0" borderId="0" xfId="0" applyFont="1"/>
    <xf numFmtId="0" fontId="0" fillId="0" borderId="0" xfId="0" applyFill="1"/>
    <xf numFmtId="164" fontId="5" fillId="0" borderId="0" xfId="0" applyNumberFormat="1" applyFont="1"/>
    <xf numFmtId="0" fontId="0" fillId="0" borderId="5" xfId="0" applyBorder="1"/>
    <xf numFmtId="164" fontId="2" fillId="0" borderId="1" xfId="0" applyNumberFormat="1" applyFont="1" applyBorder="1"/>
    <xf numFmtId="164" fontId="0" fillId="0" borderId="4" xfId="0" applyNumberFormat="1" applyBorder="1"/>
    <xf numFmtId="8" fontId="5" fillId="0" borderId="2" xfId="0" applyNumberFormat="1" applyFont="1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0" xfId="0" applyAlignment="1">
      <alignment wrapText="1"/>
    </xf>
    <xf numFmtId="0" fontId="6" fillId="0" borderId="0" xfId="0" applyFont="1"/>
    <xf numFmtId="0" fontId="6" fillId="3" borderId="0" xfId="0" applyFont="1" applyFill="1"/>
    <xf numFmtId="8" fontId="6" fillId="0" borderId="0" xfId="0" applyNumberFormat="1" applyFont="1"/>
    <xf numFmtId="6" fontId="6" fillId="0" borderId="0" xfId="0" applyNumberFormat="1" applyFont="1"/>
    <xf numFmtId="0" fontId="7" fillId="0" borderId="0" xfId="0" applyFont="1"/>
    <xf numFmtId="8" fontId="7" fillId="0" borderId="0" xfId="0" applyNumberFormat="1" applyFont="1"/>
    <xf numFmtId="43" fontId="6" fillId="0" borderId="0" xfId="0" applyNumberFormat="1" applyFont="1"/>
    <xf numFmtId="0" fontId="6" fillId="0" borderId="1" xfId="0" applyFont="1" applyBorder="1"/>
    <xf numFmtId="0" fontId="7" fillId="0" borderId="1" xfId="0" applyFont="1" applyBorder="1"/>
    <xf numFmtId="6" fontId="7" fillId="0" borderId="1" xfId="0" applyNumberFormat="1" applyFont="1" applyBorder="1"/>
    <xf numFmtId="2" fontId="6" fillId="0" borderId="1" xfId="0" applyNumberFormat="1" applyFont="1" applyBorder="1"/>
    <xf numFmtId="8" fontId="7" fillId="0" borderId="1" xfId="0" applyNumberFormat="1" applyFont="1" applyBorder="1"/>
    <xf numFmtId="6" fontId="6" fillId="0" borderId="1" xfId="0" applyNumberFormat="1" applyFont="1" applyBorder="1"/>
    <xf numFmtId="8" fontId="6" fillId="0" borderId="1" xfId="0" applyNumberFormat="1" applyFont="1" applyBorder="1"/>
    <xf numFmtId="9" fontId="7" fillId="0" borderId="1" xfId="0" applyNumberFormat="1" applyFont="1" applyBorder="1"/>
    <xf numFmtId="2" fontId="6" fillId="2" borderId="1" xfId="0" applyNumberFormat="1" applyFont="1" applyFill="1" applyBorder="1"/>
    <xf numFmtId="164" fontId="6" fillId="0" borderId="0" xfId="0" applyNumberFormat="1" applyFont="1"/>
    <xf numFmtId="164" fontId="1" fillId="0" borderId="1" xfId="0" applyNumberFormat="1" applyFont="1" applyBorder="1"/>
    <xf numFmtId="0" fontId="0" fillId="0" borderId="8" xfId="0" applyBorder="1"/>
    <xf numFmtId="0" fontId="0" fillId="0" borderId="12" xfId="0" applyBorder="1"/>
    <xf numFmtId="0" fontId="0" fillId="2" borderId="13" xfId="0" applyFill="1" applyBorder="1"/>
    <xf numFmtId="0" fontId="0" fillId="0" borderId="13" xfId="0" applyBorder="1"/>
    <xf numFmtId="0" fontId="0" fillId="0" borderId="14" xfId="0" applyBorder="1"/>
    <xf numFmtId="0" fontId="0" fillId="4" borderId="2" xfId="0" applyFill="1" applyBorder="1"/>
    <xf numFmtId="164" fontId="0" fillId="4" borderId="1" xfId="0" applyNumberFormat="1" applyFill="1" applyBorder="1"/>
    <xf numFmtId="164" fontId="1" fillId="4" borderId="1" xfId="0" applyNumberFormat="1" applyFont="1" applyFill="1" applyBorder="1"/>
    <xf numFmtId="0" fontId="0" fillId="0" borderId="15" xfId="0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5" fillId="4" borderId="0" xfId="0" applyNumberFormat="1" applyFont="1" applyFill="1"/>
    <xf numFmtId="164" fontId="10" fillId="0" borderId="0" xfId="0" applyNumberFormat="1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C12" sqref="C12"/>
    </sheetView>
  </sheetViews>
  <sheetFormatPr baseColWidth="10" defaultRowHeight="15" x14ac:dyDescent="0"/>
  <cols>
    <col min="1" max="1" width="20.1640625" bestFit="1" customWidth="1"/>
    <col min="2" max="2" width="17.6640625" bestFit="1" customWidth="1"/>
    <col min="3" max="3" width="27.5" customWidth="1"/>
    <col min="5" max="5" width="17.83203125" bestFit="1" customWidth="1"/>
    <col min="6" max="6" width="22.33203125" bestFit="1" customWidth="1"/>
    <col min="7" max="7" width="19.1640625" customWidth="1"/>
  </cols>
  <sheetData>
    <row r="1" spans="1:8" ht="25">
      <c r="A1" s="14" t="s">
        <v>0</v>
      </c>
      <c r="B1" s="1" t="s">
        <v>26</v>
      </c>
    </row>
    <row r="2" spans="1:8">
      <c r="A2" s="1"/>
      <c r="B2" s="9">
        <v>41786</v>
      </c>
    </row>
    <row r="4" spans="1:8">
      <c r="A4" s="7" t="s">
        <v>27</v>
      </c>
      <c r="C4" s="4"/>
      <c r="E4" s="7" t="s">
        <v>28</v>
      </c>
      <c r="G4" s="4"/>
    </row>
    <row r="5" spans="1:8">
      <c r="A5" s="1" t="s">
        <v>29</v>
      </c>
      <c r="C5" s="5"/>
      <c r="E5" s="1" t="s">
        <v>41</v>
      </c>
      <c r="G5" s="5"/>
    </row>
    <row r="6" spans="1:8">
      <c r="A6" t="s">
        <v>30</v>
      </c>
      <c r="C6" s="20">
        <v>0</v>
      </c>
      <c r="E6" t="s">
        <v>42</v>
      </c>
      <c r="G6" s="11">
        <v>45000</v>
      </c>
    </row>
    <row r="7" spans="1:8">
      <c r="A7" t="s">
        <v>31</v>
      </c>
      <c r="C7" s="10">
        <v>0</v>
      </c>
      <c r="E7" t="s">
        <v>63</v>
      </c>
      <c r="G7" s="10">
        <f>SUM('Cashflow Forecast'!D26:F26)+SUM('Cashflow Forecast'!D21:F21)</f>
        <v>15021.3</v>
      </c>
    </row>
    <row r="8" spans="1:8">
      <c r="A8" t="s">
        <v>32</v>
      </c>
      <c r="C8" s="10">
        <v>0</v>
      </c>
      <c r="E8" t="s">
        <v>43</v>
      </c>
      <c r="F8" s="17"/>
      <c r="G8" s="19">
        <f>((C11/100)*16.86)*(21/52)</f>
        <v>0</v>
      </c>
      <c r="H8" t="s">
        <v>58</v>
      </c>
    </row>
    <row r="9" spans="1:8">
      <c r="A9" t="s">
        <v>33</v>
      </c>
      <c r="C9" s="10">
        <v>0</v>
      </c>
      <c r="E9" t="s">
        <v>44</v>
      </c>
      <c r="G9" s="2" t="s">
        <v>55</v>
      </c>
    </row>
    <row r="10" spans="1:8">
      <c r="A10" t="s">
        <v>34</v>
      </c>
      <c r="B10" s="1"/>
      <c r="C10" s="10">
        <v>0</v>
      </c>
      <c r="E10" t="s">
        <v>45</v>
      </c>
      <c r="G10" s="18">
        <f>SUM('Cashflow Forecast'!D23:F23)</f>
        <v>23865</v>
      </c>
    </row>
    <row r="11" spans="1:8">
      <c r="B11" s="1" t="s">
        <v>40</v>
      </c>
      <c r="C11" s="10">
        <f>SUM(C6:C10)</f>
        <v>0</v>
      </c>
      <c r="F11" s="1" t="s">
        <v>46</v>
      </c>
      <c r="G11" s="10">
        <f>G8+G10+G7+G6</f>
        <v>83886.3</v>
      </c>
      <c r="H11" s="13"/>
    </row>
    <row r="13" spans="1:8">
      <c r="A13" s="1" t="s">
        <v>35</v>
      </c>
      <c r="C13" s="5"/>
      <c r="E13" s="1" t="s">
        <v>47</v>
      </c>
      <c r="G13" s="5"/>
    </row>
    <row r="14" spans="1:8">
      <c r="A14" t="s">
        <v>36</v>
      </c>
      <c r="C14" s="3" t="s">
        <v>57</v>
      </c>
      <c r="E14" t="s">
        <v>48</v>
      </c>
      <c r="G14" s="11">
        <v>0</v>
      </c>
    </row>
    <row r="15" spans="1:8">
      <c r="A15" t="s">
        <v>37</v>
      </c>
      <c r="C15" s="2" t="s">
        <v>57</v>
      </c>
      <c r="E15" t="s">
        <v>21</v>
      </c>
      <c r="G15" s="10">
        <v>0</v>
      </c>
    </row>
    <row r="16" spans="1:8">
      <c r="A16" t="s">
        <v>56</v>
      </c>
      <c r="C16" s="8" t="s">
        <v>57</v>
      </c>
      <c r="F16" s="1" t="s">
        <v>49</v>
      </c>
      <c r="G16" s="10">
        <v>0</v>
      </c>
    </row>
    <row r="17" spans="1:7">
      <c r="A17" t="s">
        <v>38</v>
      </c>
      <c r="C17" s="21" t="s">
        <v>57</v>
      </c>
    </row>
    <row r="18" spans="1:7">
      <c r="C18" s="22"/>
      <c r="E18" s="1" t="s">
        <v>50</v>
      </c>
      <c r="G18" s="5"/>
    </row>
    <row r="19" spans="1:7">
      <c r="B19" s="1" t="s">
        <v>39</v>
      </c>
      <c r="C19" s="11">
        <v>0</v>
      </c>
      <c r="E19" t="s">
        <v>51</v>
      </c>
      <c r="G19" s="11">
        <v>0</v>
      </c>
    </row>
    <row r="20" spans="1:7">
      <c r="E20" t="s">
        <v>52</v>
      </c>
      <c r="G20" s="10">
        <v>0</v>
      </c>
    </row>
    <row r="21" spans="1:7">
      <c r="F21" s="1" t="s">
        <v>53</v>
      </c>
      <c r="G21" s="10">
        <v>0</v>
      </c>
    </row>
    <row r="22" spans="1:7">
      <c r="B22" s="1" t="s">
        <v>64</v>
      </c>
      <c r="C22" s="10">
        <f>C11+C19</f>
        <v>0</v>
      </c>
      <c r="F22" s="1" t="s">
        <v>54</v>
      </c>
      <c r="G22" s="10">
        <f>G11+G16+G21</f>
        <v>83886.3</v>
      </c>
    </row>
    <row r="23" spans="1:7">
      <c r="G23" s="1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topLeftCell="B1" workbookViewId="0">
      <selection activeCell="K25" sqref="K25"/>
    </sheetView>
  </sheetViews>
  <sheetFormatPr baseColWidth="10" defaultRowHeight="15" x14ac:dyDescent="0"/>
  <cols>
    <col min="1" max="1" width="23.5" bestFit="1" customWidth="1"/>
    <col min="3" max="3" width="13.33203125" bestFit="1" customWidth="1"/>
    <col min="4" max="4" width="29.6640625" customWidth="1"/>
    <col min="5" max="5" width="32.1640625" customWidth="1"/>
    <col min="6" max="6" width="32" customWidth="1"/>
    <col min="7" max="7" width="15.83203125" bestFit="1" customWidth="1"/>
    <col min="9" max="9" width="27.33203125" bestFit="1" customWidth="1"/>
  </cols>
  <sheetData>
    <row r="1" spans="1:6" ht="25">
      <c r="A1" s="14" t="s">
        <v>0</v>
      </c>
      <c r="B1" t="s">
        <v>94</v>
      </c>
    </row>
    <row r="2" spans="1:6">
      <c r="B2" t="s">
        <v>59</v>
      </c>
    </row>
    <row r="4" spans="1:6">
      <c r="A4" s="1" t="s">
        <v>1</v>
      </c>
      <c r="D4" s="1" t="s">
        <v>97</v>
      </c>
      <c r="E4" s="1" t="s">
        <v>95</v>
      </c>
      <c r="F4" s="1" t="s">
        <v>96</v>
      </c>
    </row>
    <row r="5" spans="1:6">
      <c r="A5" t="s">
        <v>62</v>
      </c>
      <c r="D5" s="12">
        <f>3000+2500</f>
        <v>5500</v>
      </c>
      <c r="E5" s="12">
        <v>0</v>
      </c>
      <c r="F5" s="12">
        <v>0</v>
      </c>
    </row>
    <row r="6" spans="1:6">
      <c r="A6" t="s">
        <v>2</v>
      </c>
      <c r="D6" s="12">
        <v>0</v>
      </c>
      <c r="E6" s="12">
        <v>0</v>
      </c>
      <c r="F6" s="12">
        <v>0</v>
      </c>
    </row>
    <row r="7" spans="1:6">
      <c r="A7" t="s">
        <v>3</v>
      </c>
      <c r="D7" s="12">
        <v>0</v>
      </c>
      <c r="E7" s="12">
        <v>0</v>
      </c>
      <c r="F7" s="12">
        <v>0</v>
      </c>
    </row>
    <row r="8" spans="1:6">
      <c r="A8" t="s">
        <v>4</v>
      </c>
      <c r="D8" s="12">
        <v>24000</v>
      </c>
      <c r="E8" s="12">
        <v>0</v>
      </c>
      <c r="F8" s="12">
        <v>21000</v>
      </c>
    </row>
    <row r="9" spans="1:6">
      <c r="C9" s="1" t="s">
        <v>5</v>
      </c>
      <c r="D9" s="12">
        <f>SUM(D5:D8)</f>
        <v>29500</v>
      </c>
      <c r="E9" s="12">
        <f t="shared" ref="E9:F9" si="0">SUM(E5:E8)</f>
        <v>0</v>
      </c>
      <c r="F9" s="12">
        <f t="shared" si="0"/>
        <v>21000</v>
      </c>
    </row>
    <row r="10" spans="1:6">
      <c r="D10" s="12"/>
      <c r="E10" s="12"/>
      <c r="F10" s="12"/>
    </row>
    <row r="11" spans="1:6">
      <c r="A11" s="1" t="s">
        <v>6</v>
      </c>
      <c r="D11" s="12"/>
      <c r="E11" s="12"/>
      <c r="F11" s="12"/>
    </row>
    <row r="12" spans="1:6">
      <c r="A12" t="s">
        <v>7</v>
      </c>
      <c r="D12" s="12">
        <v>0</v>
      </c>
      <c r="E12" s="12">
        <v>0</v>
      </c>
      <c r="F12" s="12">
        <v>0</v>
      </c>
    </row>
    <row r="13" spans="1:6">
      <c r="A13" t="s">
        <v>8</v>
      </c>
      <c r="D13" s="12">
        <v>0</v>
      </c>
      <c r="E13" s="12">
        <v>0</v>
      </c>
      <c r="F13" s="12">
        <v>0</v>
      </c>
    </row>
    <row r="14" spans="1:6">
      <c r="A14" t="s">
        <v>9</v>
      </c>
      <c r="D14" s="12">
        <v>0</v>
      </c>
      <c r="E14" s="12">
        <v>0</v>
      </c>
      <c r="F14" s="12">
        <v>0</v>
      </c>
    </row>
    <row r="15" spans="1:6">
      <c r="A15" t="s">
        <v>10</v>
      </c>
      <c r="D15" s="12">
        <v>0</v>
      </c>
      <c r="E15" s="12">
        <v>0</v>
      </c>
      <c r="F15" s="12">
        <v>0</v>
      </c>
    </row>
    <row r="16" spans="1:6">
      <c r="A16" t="s">
        <v>11</v>
      </c>
      <c r="D16" s="12">
        <v>0</v>
      </c>
      <c r="E16" s="12">
        <v>0</v>
      </c>
      <c r="F16" s="12">
        <v>0</v>
      </c>
    </row>
    <row r="17" spans="1:10">
      <c r="A17" t="s">
        <v>12</v>
      </c>
      <c r="D17" s="12">
        <v>0</v>
      </c>
      <c r="E17" s="12">
        <v>0</v>
      </c>
      <c r="F17" s="12">
        <v>0</v>
      </c>
      <c r="I17" t="s">
        <v>85</v>
      </c>
    </row>
    <row r="18" spans="1:10">
      <c r="A18" s="6" t="s">
        <v>13</v>
      </c>
      <c r="D18" s="12">
        <f>D8*(16.86/100)*(10/52)</f>
        <v>778.15384615384619</v>
      </c>
      <c r="E18" s="12">
        <f>((D8/100)*16.86)*(5/52)</f>
        <v>389.07692307692304</v>
      </c>
      <c r="F18" s="12">
        <f>(F8+D8)*(16.86/100)*(6/52)</f>
        <v>875.42307692307702</v>
      </c>
      <c r="I18">
        <f>45000*(16.86/100)*(1/12)</f>
        <v>632.25</v>
      </c>
    </row>
    <row r="19" spans="1:10">
      <c r="A19" t="s">
        <v>14</v>
      </c>
      <c r="D19" s="12">
        <v>0</v>
      </c>
      <c r="E19" s="12">
        <v>0</v>
      </c>
      <c r="F19" s="12">
        <v>0</v>
      </c>
      <c r="I19">
        <f>I18/5.5</f>
        <v>114.95454545454545</v>
      </c>
      <c r="J19" s="12"/>
    </row>
    <row r="20" spans="1:10">
      <c r="A20" t="s">
        <v>15</v>
      </c>
      <c r="D20" s="12">
        <v>0</v>
      </c>
      <c r="E20" s="12">
        <v>0</v>
      </c>
      <c r="F20" s="12">
        <v>0</v>
      </c>
    </row>
    <row r="21" spans="1:10">
      <c r="A21" t="s">
        <v>16</v>
      </c>
      <c r="D21" s="12">
        <f>2530.8+1898.1+1898.1</f>
        <v>6327</v>
      </c>
      <c r="E21" s="12">
        <v>0</v>
      </c>
      <c r="F21" s="12">
        <f>5694.3</f>
        <v>5694.3</v>
      </c>
    </row>
    <row r="22" spans="1:10">
      <c r="A22" t="s">
        <v>17</v>
      </c>
      <c r="D22" s="12">
        <v>0</v>
      </c>
      <c r="E22" s="12">
        <v>600</v>
      </c>
      <c r="F22" s="12">
        <v>0</v>
      </c>
    </row>
    <row r="23" spans="1:10">
      <c r="A23" s="6" t="s">
        <v>18</v>
      </c>
      <c r="D23" s="16">
        <v>12196.5</v>
      </c>
      <c r="E23" s="16">
        <v>4799.75</v>
      </c>
      <c r="F23" s="54">
        <v>6868.75</v>
      </c>
    </row>
    <row r="24" spans="1:10">
      <c r="A24" t="s">
        <v>61</v>
      </c>
      <c r="D24" s="12">
        <f>2800+2700</f>
        <v>5500</v>
      </c>
      <c r="E24" s="12">
        <v>0</v>
      </c>
      <c r="F24" s="12">
        <v>0</v>
      </c>
    </row>
    <row r="25" spans="1:10">
      <c r="A25" t="s">
        <v>19</v>
      </c>
      <c r="D25" s="12">
        <v>0</v>
      </c>
      <c r="E25" s="12">
        <v>0</v>
      </c>
      <c r="F25" s="12">
        <v>0</v>
      </c>
    </row>
    <row r="26" spans="1:10">
      <c r="A26" s="15" t="s">
        <v>60</v>
      </c>
      <c r="D26" s="12">
        <f>900+450</f>
        <v>1350</v>
      </c>
      <c r="E26" s="12">
        <v>0</v>
      </c>
      <c r="F26" s="12">
        <v>1650</v>
      </c>
    </row>
    <row r="27" spans="1:10">
      <c r="A27" s="15" t="s">
        <v>20</v>
      </c>
      <c r="D27" s="12">
        <v>14.5</v>
      </c>
      <c r="E27" s="12">
        <v>0</v>
      </c>
      <c r="F27" s="12">
        <v>0</v>
      </c>
    </row>
    <row r="28" spans="1:10">
      <c r="A28" t="s">
        <v>21</v>
      </c>
      <c r="D28" s="12">
        <v>0</v>
      </c>
      <c r="E28" s="12">
        <v>0</v>
      </c>
      <c r="F28" s="12">
        <v>0</v>
      </c>
    </row>
    <row r="29" spans="1:10">
      <c r="C29" s="1" t="s">
        <v>22</v>
      </c>
      <c r="D29" s="12">
        <f>SUM(D12:D28)</f>
        <v>26166.153846153844</v>
      </c>
      <c r="E29" s="12">
        <f t="shared" ref="E29:F29" si="1">SUM(E12:E28)</f>
        <v>5788.8269230769229</v>
      </c>
      <c r="F29" s="12">
        <f t="shared" si="1"/>
        <v>15088.473076923077</v>
      </c>
    </row>
    <row r="30" spans="1:10">
      <c r="D30" s="12"/>
      <c r="E30" s="12"/>
      <c r="F30" s="12"/>
    </row>
    <row r="31" spans="1:10">
      <c r="A31" t="s">
        <v>23</v>
      </c>
      <c r="D31" s="12">
        <v>0</v>
      </c>
      <c r="E31" s="12">
        <v>0</v>
      </c>
      <c r="F31" s="12">
        <v>0</v>
      </c>
    </row>
    <row r="32" spans="1:10">
      <c r="A32" t="s">
        <v>24</v>
      </c>
      <c r="D32" s="12">
        <v>0</v>
      </c>
      <c r="E32" s="12">
        <v>0</v>
      </c>
      <c r="F32" s="12">
        <v>0</v>
      </c>
    </row>
    <row r="33" spans="3:8">
      <c r="C33" s="1" t="s">
        <v>25</v>
      </c>
      <c r="D33" s="12">
        <f>D9-D29</f>
        <v>3333.8461538461561</v>
      </c>
      <c r="E33" s="55">
        <f>E9-E29+E35</f>
        <v>-5788.8269230769229</v>
      </c>
      <c r="F33" s="12">
        <f t="shared" ref="E33:F33" si="2">F9-F29</f>
        <v>5911.5269230769227</v>
      </c>
    </row>
    <row r="35" spans="3:8" ht="30">
      <c r="G35" s="23" t="s">
        <v>65</v>
      </c>
      <c r="H35" s="12">
        <f>F33+D33+E33</f>
        <v>3456.5461538461559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10" workbookViewId="0">
      <selection activeCell="E47" sqref="E47"/>
    </sheetView>
  </sheetViews>
  <sheetFormatPr baseColWidth="10" defaultRowHeight="15" x14ac:dyDescent="0"/>
  <cols>
    <col min="1" max="1" width="18.83203125" bestFit="1" customWidth="1"/>
    <col min="2" max="2" width="14.83203125" customWidth="1"/>
    <col min="3" max="3" width="17.1640625" bestFit="1" customWidth="1"/>
    <col min="4" max="4" width="18.1640625" bestFit="1" customWidth="1"/>
    <col min="5" max="5" width="21.1640625" bestFit="1" customWidth="1"/>
    <col min="6" max="6" width="17.6640625" bestFit="1" customWidth="1"/>
    <col min="7" max="9" width="12.1640625" bestFit="1" customWidth="1"/>
    <col min="10" max="10" width="8.83203125" customWidth="1"/>
    <col min="11" max="11" width="3.33203125" customWidth="1"/>
  </cols>
  <sheetData>
    <row r="1" spans="1:11">
      <c r="A1" s="24"/>
      <c r="B1" s="24"/>
      <c r="C1" s="24"/>
      <c r="D1" s="24"/>
      <c r="E1" s="24"/>
      <c r="F1" s="24"/>
      <c r="G1" s="24"/>
      <c r="H1" s="24"/>
      <c r="I1" s="24"/>
      <c r="J1" s="24"/>
      <c r="K1" s="25"/>
    </row>
    <row r="2" spans="1:11">
      <c r="A2" s="24"/>
      <c r="B2" s="24"/>
      <c r="C2" s="24"/>
      <c r="D2" s="24"/>
      <c r="E2" s="24"/>
      <c r="F2" s="24"/>
      <c r="G2" s="24"/>
      <c r="H2" s="24"/>
      <c r="I2" s="24"/>
      <c r="J2" s="24"/>
      <c r="K2" s="25"/>
    </row>
    <row r="3" spans="1:11">
      <c r="A3" s="24" t="s">
        <v>66</v>
      </c>
      <c r="B3" s="26">
        <v>20017.5</v>
      </c>
      <c r="C3" s="24"/>
      <c r="D3" s="24"/>
      <c r="E3" s="24"/>
      <c r="F3" s="24"/>
      <c r="G3" s="24"/>
      <c r="H3" s="24"/>
      <c r="I3" s="24"/>
      <c r="J3" s="24"/>
      <c r="K3" s="25"/>
    </row>
    <row r="4" spans="1:11">
      <c r="A4" s="24" t="s">
        <v>67</v>
      </c>
      <c r="B4">
        <v>28939.5</v>
      </c>
      <c r="C4" s="40">
        <f>21000*(16.86/100)*(2/52)</f>
        <v>136.17692307692309</v>
      </c>
      <c r="D4" s="24" t="s">
        <v>84</v>
      </c>
      <c r="E4" s="24"/>
      <c r="F4" s="24"/>
      <c r="G4" s="24"/>
      <c r="H4" s="24"/>
      <c r="I4" s="24"/>
      <c r="J4" s="24"/>
      <c r="K4" s="25"/>
    </row>
    <row r="5" spans="1:11">
      <c r="A5" s="24" t="s">
        <v>68</v>
      </c>
      <c r="B5" s="26">
        <f>B3+B4+C4</f>
        <v>49093.176923076921</v>
      </c>
      <c r="D5" s="24"/>
      <c r="E5" s="24"/>
      <c r="F5" s="24"/>
      <c r="G5" s="24"/>
      <c r="H5" s="24"/>
      <c r="I5" s="24"/>
      <c r="J5" s="24"/>
      <c r="K5" s="25"/>
    </row>
    <row r="6" spans="1:11">
      <c r="A6" s="24" t="s">
        <v>69</v>
      </c>
      <c r="B6" s="27">
        <v>10000</v>
      </c>
      <c r="C6" s="24"/>
      <c r="D6" s="24"/>
      <c r="E6" s="24"/>
      <c r="F6" s="24"/>
      <c r="G6" s="24"/>
      <c r="H6" s="24"/>
      <c r="I6" s="24"/>
      <c r="J6" s="24"/>
      <c r="K6" s="25"/>
    </row>
    <row r="7" spans="1:11">
      <c r="A7" s="24"/>
      <c r="B7" s="24"/>
      <c r="C7" s="24"/>
      <c r="D7" s="24"/>
      <c r="E7" s="24"/>
      <c r="F7" s="24"/>
      <c r="G7" s="24"/>
      <c r="H7" s="24"/>
      <c r="I7" s="24"/>
      <c r="J7" s="24"/>
      <c r="K7" s="25"/>
    </row>
    <row r="8" spans="1:11">
      <c r="A8" s="28" t="s">
        <v>70</v>
      </c>
      <c r="B8" s="29">
        <f>B5+B6</f>
        <v>59093.176923076921</v>
      </c>
      <c r="C8" s="24"/>
      <c r="D8" s="24"/>
      <c r="E8" s="24"/>
      <c r="F8" s="24"/>
      <c r="G8" s="24"/>
      <c r="H8" s="24"/>
      <c r="I8" s="24"/>
      <c r="J8" s="24"/>
      <c r="K8" s="25"/>
    </row>
    <row r="9" spans="1:11">
      <c r="A9" s="24"/>
      <c r="B9" s="24"/>
      <c r="C9" s="24"/>
      <c r="D9" s="24"/>
      <c r="E9" s="24"/>
      <c r="F9" s="24"/>
      <c r="G9" s="24"/>
      <c r="H9" s="24"/>
      <c r="I9" s="24"/>
      <c r="J9" s="24"/>
      <c r="K9" s="25"/>
    </row>
    <row r="10" spans="1:11">
      <c r="A10" s="31"/>
      <c r="B10" s="31"/>
      <c r="C10" s="32" t="s">
        <v>71</v>
      </c>
      <c r="D10" s="32" t="s">
        <v>72</v>
      </c>
      <c r="E10" s="32" t="s">
        <v>73</v>
      </c>
      <c r="F10" s="32" t="s">
        <v>83</v>
      </c>
      <c r="G10" s="32"/>
      <c r="H10" s="32"/>
      <c r="I10" s="31"/>
      <c r="J10" s="24"/>
      <c r="K10" s="25"/>
    </row>
    <row r="11" spans="1:11">
      <c r="A11" s="32" t="s">
        <v>74</v>
      </c>
      <c r="B11" s="33">
        <v>2</v>
      </c>
      <c r="C11" s="31">
        <f>B8/B11</f>
        <v>29546.58846153846</v>
      </c>
      <c r="D11" s="31">
        <v>1</v>
      </c>
      <c r="E11" s="34">
        <f>C11*D11</f>
        <v>29546.58846153846</v>
      </c>
      <c r="F11" s="34">
        <f>C11-E11</f>
        <v>0</v>
      </c>
      <c r="G11" s="31"/>
      <c r="H11" s="31"/>
      <c r="I11" s="31"/>
      <c r="J11" s="24"/>
      <c r="K11" s="25"/>
    </row>
    <row r="12" spans="1:11">
      <c r="A12" s="31"/>
      <c r="B12" s="33">
        <v>3</v>
      </c>
      <c r="C12" s="31">
        <f>B8/B12</f>
        <v>19697.725641025641</v>
      </c>
      <c r="D12" s="31">
        <v>0.72727272700000001</v>
      </c>
      <c r="E12" s="34">
        <f t="shared" ref="E12:E15" si="0">C12*D12</f>
        <v>14325.618642646541</v>
      </c>
      <c r="F12" s="34">
        <f t="shared" ref="F12:F15" si="1">C12-E12</f>
        <v>5372.1069983791003</v>
      </c>
      <c r="G12" s="31"/>
      <c r="H12" s="31"/>
      <c r="I12" s="31"/>
      <c r="J12" s="24"/>
      <c r="K12" s="25"/>
    </row>
    <row r="13" spans="1:11">
      <c r="A13" s="31"/>
      <c r="B13" s="35">
        <v>5.5</v>
      </c>
      <c r="C13" s="31">
        <f>B8/B13</f>
        <v>10744.213986013985</v>
      </c>
      <c r="D13" s="31">
        <v>0.5</v>
      </c>
      <c r="E13" s="34">
        <f t="shared" si="0"/>
        <v>5372.1069930069925</v>
      </c>
      <c r="F13" s="34">
        <f t="shared" si="1"/>
        <v>5372.1069930069925</v>
      </c>
      <c r="G13" s="31"/>
      <c r="H13" s="31"/>
      <c r="I13" s="31"/>
      <c r="J13" s="24"/>
      <c r="K13" s="25"/>
    </row>
    <row r="14" spans="1:11">
      <c r="A14" s="31"/>
      <c r="B14" s="33">
        <v>7</v>
      </c>
      <c r="C14" s="31">
        <f>B8/B14</f>
        <v>8441.8824175824175</v>
      </c>
      <c r="D14" s="31">
        <v>0.22727272700000001</v>
      </c>
      <c r="E14" s="34">
        <f t="shared" si="0"/>
        <v>1918.6096380573088</v>
      </c>
      <c r="F14" s="34">
        <f t="shared" si="1"/>
        <v>6523.2727795251085</v>
      </c>
      <c r="G14" s="31"/>
      <c r="H14" s="31"/>
      <c r="I14" s="31"/>
      <c r="J14" s="24"/>
      <c r="K14" s="25"/>
    </row>
    <row r="15" spans="1:11">
      <c r="A15" s="31"/>
      <c r="B15" s="35">
        <v>9.99</v>
      </c>
      <c r="C15" s="31">
        <f>B8/B15</f>
        <v>5915.2329252329246</v>
      </c>
      <c r="D15" s="31">
        <v>9.0909090999999997E-2</v>
      </c>
      <c r="E15" s="34">
        <f t="shared" si="0"/>
        <v>537.74844828619609</v>
      </c>
      <c r="F15" s="34">
        <f t="shared" si="1"/>
        <v>5377.4844769467281</v>
      </c>
      <c r="G15" s="31"/>
      <c r="H15" s="31"/>
      <c r="I15" s="31"/>
      <c r="J15" s="24"/>
      <c r="K15" s="25"/>
    </row>
    <row r="16" spans="1:11">
      <c r="A16" s="31"/>
      <c r="B16" s="31"/>
      <c r="C16" s="31"/>
      <c r="D16" s="31"/>
      <c r="E16" s="31"/>
      <c r="F16" s="31"/>
      <c r="G16" s="31"/>
      <c r="H16" s="31"/>
      <c r="I16" s="31"/>
      <c r="J16" s="24"/>
      <c r="K16" s="25"/>
    </row>
    <row r="17" spans="1:11">
      <c r="A17" s="31"/>
      <c r="B17" s="31"/>
      <c r="C17" s="31"/>
      <c r="D17" s="31"/>
      <c r="E17" s="33">
        <v>2</v>
      </c>
      <c r="F17" s="33">
        <v>3</v>
      </c>
      <c r="G17" s="35">
        <v>5.5</v>
      </c>
      <c r="H17" s="33">
        <v>7</v>
      </c>
      <c r="I17" s="35">
        <v>9.99</v>
      </c>
      <c r="J17" s="24"/>
      <c r="K17" s="25"/>
    </row>
    <row r="18" spans="1:11">
      <c r="A18" s="31"/>
      <c r="B18" s="31"/>
      <c r="C18" s="31"/>
      <c r="D18" s="32" t="s">
        <v>75</v>
      </c>
      <c r="E18" s="39">
        <f>E11+F11</f>
        <v>29546.58846153846</v>
      </c>
      <c r="F18" s="39">
        <f>E12+F12</f>
        <v>19697.725641025641</v>
      </c>
      <c r="G18" s="39">
        <f>E13+F13</f>
        <v>10744.213986013985</v>
      </c>
      <c r="H18" s="39">
        <f>E14+F14</f>
        <v>8441.8824175824175</v>
      </c>
      <c r="I18" s="39">
        <f>E15+F15</f>
        <v>5915.2329252329246</v>
      </c>
      <c r="J18" s="24"/>
      <c r="K18" s="25"/>
    </row>
    <row r="19" spans="1:11">
      <c r="A19" s="31"/>
      <c r="B19" s="31"/>
      <c r="C19" s="31"/>
      <c r="D19" s="31"/>
      <c r="E19" s="2"/>
      <c r="F19" s="31"/>
      <c r="G19" s="31"/>
      <c r="H19" s="31"/>
      <c r="I19" s="31"/>
      <c r="J19" s="24"/>
      <c r="K19" s="25"/>
    </row>
    <row r="20" spans="1:11">
      <c r="A20" s="31"/>
      <c r="B20" s="31"/>
      <c r="C20" s="31"/>
      <c r="D20" s="31"/>
      <c r="E20" s="31" t="s">
        <v>76</v>
      </c>
      <c r="F20" s="31"/>
      <c r="G20" s="31"/>
      <c r="H20" s="31"/>
      <c r="I20" s="31"/>
      <c r="J20" s="24"/>
      <c r="K20" s="25"/>
    </row>
    <row r="21" spans="1:11">
      <c r="A21" s="31"/>
      <c r="B21" s="31"/>
      <c r="C21" s="32" t="s">
        <v>77</v>
      </c>
      <c r="D21" s="32" t="s">
        <v>78</v>
      </c>
      <c r="E21" s="36">
        <v>2</v>
      </c>
      <c r="F21" s="36">
        <v>3</v>
      </c>
      <c r="G21" s="37">
        <v>5.5</v>
      </c>
      <c r="H21" s="36">
        <v>7</v>
      </c>
      <c r="I21" s="37">
        <v>9.99</v>
      </c>
      <c r="J21" s="29"/>
      <c r="K21" s="25"/>
    </row>
    <row r="22" spans="1:11">
      <c r="A22" s="32" t="s">
        <v>79</v>
      </c>
      <c r="B22" s="38">
        <v>0.02</v>
      </c>
      <c r="C22" s="37">
        <f>B22*B8</f>
        <v>1181.8635384615384</v>
      </c>
      <c r="D22" s="37">
        <f>B8+C22</f>
        <v>60275.040461538461</v>
      </c>
      <c r="E22" s="34">
        <f>D22/2</f>
        <v>30137.520230769231</v>
      </c>
      <c r="F22" s="34">
        <f>D22/3</f>
        <v>20091.680153846155</v>
      </c>
      <c r="G22" s="34">
        <f>D22/5.5</f>
        <v>10959.098265734267</v>
      </c>
      <c r="H22" s="34">
        <f>D22/7</f>
        <v>8610.7200659340651</v>
      </c>
      <c r="I22" s="34">
        <f>D22/9.99</f>
        <v>6033.5375837375832</v>
      </c>
      <c r="J22" s="24"/>
      <c r="K22" s="25"/>
    </row>
    <row r="23" spans="1:11">
      <c r="A23" s="31"/>
      <c r="B23" s="38">
        <v>0.05</v>
      </c>
      <c r="C23" s="37">
        <f>B23*B8</f>
        <v>2954.6588461538463</v>
      </c>
      <c r="D23" s="37">
        <f>B8+C23</f>
        <v>62047.835769230769</v>
      </c>
      <c r="E23" s="34">
        <f t="shared" ref="E23:E25" si="2">D23/2</f>
        <v>31023.917884615385</v>
      </c>
      <c r="F23" s="34">
        <f t="shared" ref="F23:F25" si="3">D23/3</f>
        <v>20682.611923076922</v>
      </c>
      <c r="G23" s="34">
        <f t="shared" ref="G23:G24" si="4">D23/5.5</f>
        <v>11281.424685314685</v>
      </c>
      <c r="H23" s="34">
        <f t="shared" ref="H23:H25" si="5">D23/7</f>
        <v>8863.9765384615384</v>
      </c>
      <c r="I23" s="34">
        <f t="shared" ref="I23:I25" si="6">D23/9.99</f>
        <v>6210.9945714945716</v>
      </c>
      <c r="J23" s="24"/>
      <c r="K23" s="25"/>
    </row>
    <row r="24" spans="1:11">
      <c r="A24" s="31"/>
      <c r="B24" s="38">
        <v>0.1</v>
      </c>
      <c r="C24" s="37">
        <f>B24*B8</f>
        <v>5909.3176923076926</v>
      </c>
      <c r="D24" s="37">
        <f>B8+C24</f>
        <v>65002.49461538461</v>
      </c>
      <c r="E24" s="34">
        <f t="shared" si="2"/>
        <v>32501.247307692305</v>
      </c>
      <c r="F24" s="34">
        <f t="shared" si="3"/>
        <v>21667.498205128202</v>
      </c>
      <c r="G24" s="34">
        <f t="shared" si="4"/>
        <v>11818.635384615383</v>
      </c>
      <c r="H24" s="34">
        <f t="shared" si="5"/>
        <v>9286.0706593406594</v>
      </c>
      <c r="I24" s="34">
        <f t="shared" si="6"/>
        <v>6506.7562177562168</v>
      </c>
      <c r="J24" s="24"/>
      <c r="K24" s="25"/>
    </row>
    <row r="25" spans="1:11">
      <c r="A25" s="31"/>
      <c r="B25" s="38">
        <v>0.2</v>
      </c>
      <c r="C25" s="37">
        <f>B25*B8</f>
        <v>11818.635384615385</v>
      </c>
      <c r="D25" s="37">
        <f>B8+C25</f>
        <v>70911.812307692308</v>
      </c>
      <c r="E25" s="34">
        <f t="shared" si="2"/>
        <v>35455.906153846154</v>
      </c>
      <c r="F25" s="34">
        <f t="shared" si="3"/>
        <v>23637.27076923077</v>
      </c>
      <c r="G25" s="34">
        <f>D25/5.5</f>
        <v>12893.056783216784</v>
      </c>
      <c r="H25" s="34">
        <f t="shared" si="5"/>
        <v>10130.258901098901</v>
      </c>
      <c r="I25" s="34">
        <f t="shared" si="6"/>
        <v>7098.2795102795099</v>
      </c>
      <c r="J25" s="24"/>
      <c r="K25" s="25"/>
    </row>
    <row r="26" spans="1:11">
      <c r="A26" s="31"/>
      <c r="B26" s="31"/>
      <c r="C26" s="37"/>
      <c r="D26" s="31"/>
      <c r="E26" s="31"/>
      <c r="F26" s="31"/>
      <c r="G26" s="36"/>
      <c r="H26" s="31"/>
      <c r="I26" s="31"/>
      <c r="J26" s="24"/>
      <c r="K26" s="25"/>
    </row>
    <row r="27" spans="1:11">
      <c r="A27" s="31"/>
      <c r="B27" s="31"/>
      <c r="C27" s="32"/>
      <c r="D27" s="31"/>
      <c r="E27" s="32" t="s">
        <v>80</v>
      </c>
      <c r="F27" s="31"/>
      <c r="G27" s="31"/>
      <c r="H27" s="31"/>
      <c r="I27" s="31"/>
      <c r="J27" s="24"/>
      <c r="K27" s="25"/>
    </row>
    <row r="28" spans="1:11">
      <c r="A28" s="32"/>
      <c r="B28" s="33"/>
      <c r="C28" s="31"/>
      <c r="D28" s="31"/>
      <c r="E28" s="33">
        <v>2</v>
      </c>
      <c r="F28" s="33">
        <v>3</v>
      </c>
      <c r="G28" s="35">
        <v>5.5</v>
      </c>
      <c r="H28" s="33">
        <v>7</v>
      </c>
      <c r="I28" s="35">
        <v>9.99</v>
      </c>
      <c r="J28" s="24"/>
      <c r="K28" s="25"/>
    </row>
    <row r="29" spans="1:11">
      <c r="A29" s="31"/>
      <c r="B29" s="33"/>
      <c r="C29" s="31"/>
      <c r="D29" s="31"/>
      <c r="E29" s="39">
        <f>E22+(E22-(E22*D11))</f>
        <v>30137.520230769231</v>
      </c>
      <c r="F29" s="39">
        <f>F22+(F22-(F22*D12))</f>
        <v>25571.229292192838</v>
      </c>
      <c r="G29" s="39">
        <f>G22+(G22-(G22*D13))</f>
        <v>16438.647398601399</v>
      </c>
      <c r="H29" s="39">
        <f>H22+(H22-(H22*D14))</f>
        <v>15264.458301049675</v>
      </c>
      <c r="I29" s="39">
        <f>I22+(I22-(I22*D15))</f>
        <v>11518.571750223247</v>
      </c>
      <c r="J29" s="24"/>
      <c r="K29" s="25"/>
    </row>
    <row r="30" spans="1:11">
      <c r="A30" s="31"/>
      <c r="B30" s="35"/>
      <c r="C30" s="31"/>
      <c r="D30" s="31"/>
      <c r="E30" s="39">
        <f>E23+(E23-(E23*D11))</f>
        <v>31023.917884615385</v>
      </c>
      <c r="F30" s="39">
        <f>F23+(F23-(F23*D12))</f>
        <v>26323.324271374979</v>
      </c>
      <c r="G30" s="39">
        <f>G23+(G23-(G23*D13))</f>
        <v>16922.137027972029</v>
      </c>
      <c r="H30" s="39">
        <f>H23+(H23-(H23*D14))</f>
        <v>15713.412956962902</v>
      </c>
      <c r="I30" s="39">
        <f>I23+(I23-(I23*D15))</f>
        <v>11857.353272288638</v>
      </c>
      <c r="J30" s="24"/>
      <c r="K30" s="25"/>
    </row>
    <row r="31" spans="1:11">
      <c r="A31" s="31"/>
      <c r="B31" s="33"/>
      <c r="C31" s="31"/>
      <c r="D31" s="31"/>
      <c r="E31" s="39">
        <f>E24+(E24-(E24*D11))</f>
        <v>32501.247307692305</v>
      </c>
      <c r="F31" s="39">
        <f>F24+(F24-(F24*D12))</f>
        <v>27576.81590334521</v>
      </c>
      <c r="G31" s="39">
        <f>G24+(G24-(G24*D13))</f>
        <v>17727.953076923077</v>
      </c>
      <c r="H31" s="39">
        <f>H24+(H24-(H24*D14))</f>
        <v>16461.670716818277</v>
      </c>
      <c r="I31" s="39">
        <f>I24+(I24-(I24*D15))</f>
        <v>12421.989142397619</v>
      </c>
      <c r="J31" s="24"/>
      <c r="K31" s="25"/>
    </row>
    <row r="32" spans="1:11">
      <c r="A32" s="31"/>
      <c r="B32" s="33"/>
      <c r="C32" s="31"/>
      <c r="D32" s="31"/>
      <c r="E32" s="39">
        <f>E25+(E25-(E25*D11))</f>
        <v>35455.906153846154</v>
      </c>
      <c r="F32" s="39">
        <f>F25+(F25-(F25*D12))</f>
        <v>30083.799167285692</v>
      </c>
      <c r="G32" s="39">
        <f>G25+(G25-(G25*D13))</f>
        <v>19339.585174825173</v>
      </c>
      <c r="H32" s="39">
        <f>H25+(H25-(H25*D14))</f>
        <v>17958.186236529033</v>
      </c>
      <c r="I32" s="39">
        <f>I25+(I25-(I25*D15))</f>
        <v>13551.260882615585</v>
      </c>
      <c r="J32" s="24"/>
      <c r="K32" s="25"/>
    </row>
    <row r="33" spans="1:1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5"/>
    </row>
    <row r="34" spans="1:11">
      <c r="A34" s="24" t="s">
        <v>81</v>
      </c>
      <c r="B34" s="30">
        <v>1000000</v>
      </c>
      <c r="C34" s="24"/>
      <c r="D34" s="24"/>
      <c r="E34" s="24"/>
      <c r="F34" s="24"/>
      <c r="G34" s="24"/>
      <c r="H34" s="24"/>
      <c r="I34" s="24"/>
      <c r="J34" s="24"/>
      <c r="K34" s="25"/>
    </row>
    <row r="35" spans="1:11">
      <c r="A35" s="24" t="s">
        <v>82</v>
      </c>
      <c r="B35" s="30">
        <v>50000</v>
      </c>
      <c r="C35" s="24"/>
      <c r="D35" s="24"/>
      <c r="E35" s="24"/>
      <c r="F35" s="24"/>
      <c r="G35" s="24"/>
      <c r="H35" s="24"/>
      <c r="I35" s="24"/>
      <c r="J35" s="24"/>
      <c r="K35" s="25"/>
    </row>
    <row r="36" spans="1:11" ht="16" thickBo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5"/>
    </row>
    <row r="37" spans="1:11">
      <c r="A37" s="42"/>
      <c r="B37" s="51">
        <v>2015</v>
      </c>
      <c r="C37" s="52"/>
      <c r="D37" s="52"/>
      <c r="E37" s="52"/>
      <c r="F37" s="52">
        <v>2016</v>
      </c>
      <c r="G37" s="52"/>
      <c r="H37" s="52"/>
      <c r="I37" s="53"/>
    </row>
    <row r="38" spans="1:11" ht="16" thickBot="1">
      <c r="A38" s="42"/>
      <c r="B38" s="43" t="s">
        <v>86</v>
      </c>
      <c r="C38" s="44" t="s">
        <v>87</v>
      </c>
      <c r="D38" s="45" t="s">
        <v>88</v>
      </c>
      <c r="E38" s="45" t="s">
        <v>89</v>
      </c>
      <c r="F38" s="45" t="s">
        <v>86</v>
      </c>
      <c r="G38" s="45" t="s">
        <v>87</v>
      </c>
      <c r="H38" s="45" t="s">
        <v>88</v>
      </c>
      <c r="I38" s="46" t="s">
        <v>89</v>
      </c>
    </row>
    <row r="39" spans="1:11">
      <c r="A39" s="2" t="s">
        <v>90</v>
      </c>
      <c r="B39" s="3">
        <v>5125</v>
      </c>
      <c r="C39" s="47">
        <v>5125</v>
      </c>
      <c r="D39" s="3">
        <v>5125</v>
      </c>
      <c r="E39" s="3">
        <v>5125</v>
      </c>
      <c r="F39" s="3">
        <f>5125+(5125*15%)</f>
        <v>5893.75</v>
      </c>
      <c r="G39" s="3">
        <f t="shared" ref="G39:H39" si="7">5125+(5125*15%)</f>
        <v>5893.75</v>
      </c>
      <c r="H39" s="3">
        <f t="shared" si="7"/>
        <v>5893.75</v>
      </c>
      <c r="I39" s="3">
        <f>5125+(5125*15%)</f>
        <v>5893.75</v>
      </c>
    </row>
    <row r="40" spans="1:11">
      <c r="A40" s="2" t="s">
        <v>77</v>
      </c>
      <c r="B40" s="10">
        <f>B39*5.5</f>
        <v>28187.5</v>
      </c>
      <c r="C40" s="48">
        <f t="shared" ref="C40:I40" si="8">C39*5.5</f>
        <v>28187.5</v>
      </c>
      <c r="D40" s="10">
        <f t="shared" si="8"/>
        <v>28187.5</v>
      </c>
      <c r="E40" s="10">
        <f t="shared" si="8"/>
        <v>28187.5</v>
      </c>
      <c r="F40" s="10">
        <f t="shared" si="8"/>
        <v>32415.625</v>
      </c>
      <c r="G40" s="10">
        <f t="shared" si="8"/>
        <v>32415.625</v>
      </c>
      <c r="H40" s="10">
        <f t="shared" si="8"/>
        <v>32415.625</v>
      </c>
      <c r="I40" s="10">
        <f t="shared" si="8"/>
        <v>32415.625</v>
      </c>
    </row>
    <row r="41" spans="1:11">
      <c r="A41" s="2" t="s">
        <v>91</v>
      </c>
      <c r="B41" s="10"/>
      <c r="C41" s="49">
        <f>SUM(B40:C40)</f>
        <v>56375</v>
      </c>
      <c r="D41" s="41">
        <f>SUM(B40:D40)</f>
        <v>84562.5</v>
      </c>
      <c r="E41" s="41">
        <f>SUM(B40:E40)</f>
        <v>112750</v>
      </c>
      <c r="F41" s="10"/>
      <c r="G41" s="10"/>
      <c r="H41" s="10"/>
      <c r="I41" s="41">
        <f>SUM(F40:I40)</f>
        <v>129662.5</v>
      </c>
    </row>
    <row r="42" spans="1:11">
      <c r="A42" s="2" t="s">
        <v>93</v>
      </c>
      <c r="B42" s="10">
        <f>45000+(45000*(16.86/100)*(26/52))+(6*632.25)</f>
        <v>52587</v>
      </c>
      <c r="C42" s="48">
        <f>B42+(4*632.25)</f>
        <v>55116</v>
      </c>
      <c r="D42" s="10">
        <f t="shared" ref="D42:E42" si="9">C42+(4*632.25)</f>
        <v>57645</v>
      </c>
      <c r="E42" s="10">
        <f t="shared" si="9"/>
        <v>60174</v>
      </c>
      <c r="F42" s="2"/>
      <c r="G42" s="2"/>
      <c r="H42" s="2"/>
      <c r="I42" s="2"/>
    </row>
    <row r="43" spans="1:11">
      <c r="A43" s="2" t="s">
        <v>92</v>
      </c>
      <c r="B43" s="2"/>
      <c r="C43" s="10">
        <f>C41-C42</f>
        <v>1259</v>
      </c>
      <c r="D43" s="10">
        <f>C43+D40</f>
        <v>29446.5</v>
      </c>
      <c r="E43" s="10">
        <f>D43+E40</f>
        <v>57634</v>
      </c>
      <c r="F43" s="2"/>
      <c r="G43" s="2"/>
      <c r="H43" s="2"/>
      <c r="I43" s="2"/>
    </row>
    <row r="44" spans="1:11">
      <c r="A44" s="50"/>
    </row>
  </sheetData>
  <mergeCells count="2">
    <mergeCell ref="B37:E37"/>
    <mergeCell ref="F37:I3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 Sheet</vt:lpstr>
      <vt:lpstr>Cashflow Forecast</vt:lpstr>
      <vt:lpstr>Product Pricing Methodology</vt:lpstr>
    </vt:vector>
  </TitlesOfParts>
  <Company>piss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Beedell</dc:creator>
  <cp:lastModifiedBy>Prakruti Sinha</cp:lastModifiedBy>
  <dcterms:created xsi:type="dcterms:W3CDTF">2014-05-13T15:10:46Z</dcterms:created>
  <dcterms:modified xsi:type="dcterms:W3CDTF">2014-06-10T16:05:45Z</dcterms:modified>
</cp:coreProperties>
</file>