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john boucha\Documents\excel\india\"/>
    </mc:Choice>
  </mc:AlternateContent>
  <xr:revisionPtr revIDLastSave="0" documentId="13_ncr:1_{8B9EB324-421F-4439-8529-BA767EE92985}" xr6:coauthVersionLast="47" xr6:coauthVersionMax="47" xr10:uidLastSave="{00000000-0000-0000-0000-000000000000}"/>
  <bookViews>
    <workbookView xWindow="1200" yWindow="2172" windowWidth="26772" windowHeight="13320" tabRatio="665" activeTab="1" xr2:uid="{26D4546B-D2A1-4444-8EAF-A6228F96F0C1}"/>
  </bookViews>
  <sheets>
    <sheet name="All Staff" sheetId="3" r:id="rId1"/>
    <sheet name="Report" sheetId="10" r:id="rId2"/>
    <sheet name="Sheet9" sheetId="11" r:id="rId3"/>
    <sheet name="Headcount" sheetId="9" r:id="rId4"/>
    <sheet name="Dept Finder" sheetId="4" r:id="rId5"/>
    <sheet name="Male vs. Female" sheetId="5" r:id="rId6"/>
    <sheet name="Salary Spread" sheetId="6" r:id="rId7"/>
    <sheet name="Salary vs. Rating" sheetId="7" r:id="rId8"/>
    <sheet name="Rating" sheetId="8" r:id="rId9"/>
    <sheet name="New Zealand" sheetId="1" r:id="rId10"/>
    <sheet name="India" sheetId="2" r:id="rId11"/>
  </sheets>
  <definedNames>
    <definedName name="_xlnm._FilterDatabase" localSheetId="10" hidden="1">India!$B$2:$H$114</definedName>
    <definedName name="_xlnm._FilterDatabase" localSheetId="9" hidden="1">'New Zealand'!$C$5:$I$105</definedName>
    <definedName name="_xlchart.v1.0" hidden="1">'All Staff'!$G$1</definedName>
    <definedName name="_xlchart.v1.1" hidden="1">'All Staff'!$G$2:$G$184</definedName>
    <definedName name="_xlchart.v1.2" hidden="1">'All Staff'!$G$1</definedName>
    <definedName name="_xlchart.v1.3" hidden="1">'All Staff'!$G$2:$G$184</definedName>
    <definedName name="_xlchart.v1.4" hidden="1">'All Staff'!$G$1</definedName>
    <definedName name="_xlchart.v1.5" hidden="1">'All Staff'!$G$2:$G$184</definedName>
    <definedName name="_xlcn.WorksheetConnection_CleanAnalyzeandPresentData.xlsxStaff1" hidden="1">Staff[]</definedName>
    <definedName name="ExternalData_1" localSheetId="0" hidden="1">'All Staff'!$A$1:$H$184</definedName>
    <definedName name="Slicer_Country">#N/A</definedName>
  </definedNames>
  <calcPr calcId="191029"/>
  <pivotCaches>
    <pivotCache cacheId="118" r:id="rId12"/>
    <pivotCache cacheId="122" r:id="rId13"/>
    <pivotCache cacheId="194" r:id="rId14"/>
    <pivotCache cacheId="218" r:id="rId15"/>
    <pivotCache cacheId="221" r:id="rId16"/>
  </pivotCaches>
  <extLst>
    <ext xmlns:x14="http://schemas.microsoft.com/office/spreadsheetml/2009/9/main" uri="{876F7934-8845-4945-9796-88D515C7AA90}">
      <x14:pivotCaches>
        <pivotCache cacheId="121"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Clean, Analyze, and Present Data.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 i="10" l="1"/>
  <c r="J4" i="10"/>
  <c r="L4" i="10" s="1"/>
  <c r="G4" i="10"/>
  <c r="C4" i="10"/>
  <c r="E4" i="10" s="1"/>
  <c r="S4" i="9"/>
  <c r="S5" i="9"/>
  <c r="S6" i="9"/>
  <c r="S7" i="9"/>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 i="9"/>
  <c r="R4" i="9"/>
  <c r="R5" i="9"/>
  <c r="R6" i="9"/>
  <c r="R7" i="9"/>
  <c r="R8" i="9"/>
  <c r="R9" i="9"/>
  <c r="R10" i="9"/>
  <c r="R11" i="9"/>
  <c r="R12" i="9"/>
  <c r="R13" i="9"/>
  <c r="R14" i="9"/>
  <c r="R15" i="9"/>
  <c r="R16" i="9"/>
  <c r="R17" i="9"/>
  <c r="R18" i="9"/>
  <c r="R19" i="9"/>
  <c r="R20" i="9"/>
  <c r="R21" i="9"/>
  <c r="R22" i="9"/>
  <c r="R23" i="9"/>
  <c r="R24" i="9"/>
  <c r="R25" i="9"/>
  <c r="R26" i="9"/>
  <c r="R27" i="9"/>
  <c r="R28" i="9"/>
  <c r="R29" i="9"/>
  <c r="R30" i="9"/>
  <c r="R31" i="9"/>
  <c r="R32" i="9"/>
  <c r="R33" i="9"/>
  <c r="R34" i="9"/>
  <c r="R35" i="9"/>
  <c r="R36" i="9"/>
  <c r="R37" i="9"/>
  <c r="R38" i="9"/>
  <c r="R3" i="9"/>
  <c r="Q3" i="9" a="1"/>
  <c r="Q3" i="9" s="1"/>
  <c r="P3" i="9" a="1"/>
  <c r="P3" i="9" s="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M24" i="3" a="1"/>
  <c r="M24" i="3" s="1"/>
  <c r="C6" i="4"/>
  <c r="N7" i="3"/>
  <c r="I2" i="3"/>
  <c r="J2" i="3" s="1"/>
  <c r="I3" i="3"/>
  <c r="J3" i="3" s="1"/>
  <c r="I4" i="3"/>
  <c r="J4" i="3" s="1"/>
  <c r="I5" i="3"/>
  <c r="J5" i="3" s="1"/>
  <c r="I6" i="3"/>
  <c r="J6" i="3" s="1"/>
  <c r="I7" i="3"/>
  <c r="J7" i="3" s="1"/>
  <c r="I8" i="3"/>
  <c r="J8" i="3" s="1"/>
  <c r="I9" i="3"/>
  <c r="J9" i="3" s="1"/>
  <c r="I10" i="3"/>
  <c r="J10" i="3" s="1"/>
  <c r="I11" i="3"/>
  <c r="J11" i="3" s="1"/>
  <c r="I12" i="3"/>
  <c r="J12" i="3" s="1"/>
  <c r="I13" i="3"/>
  <c r="J13" i="3" s="1"/>
  <c r="I14" i="3"/>
  <c r="J14" i="3" s="1"/>
  <c r="I15" i="3"/>
  <c r="J15" i="3" s="1"/>
  <c r="I16" i="3"/>
  <c r="J16" i="3" s="1"/>
  <c r="I17" i="3"/>
  <c r="J17" i="3" s="1"/>
  <c r="I18" i="3"/>
  <c r="J18" i="3" s="1"/>
  <c r="I19" i="3"/>
  <c r="J19" i="3" s="1"/>
  <c r="I20" i="3"/>
  <c r="J20" i="3" s="1"/>
  <c r="I21" i="3"/>
  <c r="J21" i="3" s="1"/>
  <c r="I22" i="3"/>
  <c r="J22" i="3" s="1"/>
  <c r="I23" i="3"/>
  <c r="J23" i="3" s="1"/>
  <c r="I24" i="3"/>
  <c r="J24" i="3" s="1"/>
  <c r="I25" i="3"/>
  <c r="J25" i="3" s="1"/>
  <c r="I26" i="3"/>
  <c r="J26" i="3" s="1"/>
  <c r="I27" i="3"/>
  <c r="J27" i="3" s="1"/>
  <c r="I28" i="3"/>
  <c r="J28" i="3" s="1"/>
  <c r="I29" i="3"/>
  <c r="J29" i="3" s="1"/>
  <c r="I30" i="3"/>
  <c r="J30" i="3" s="1"/>
  <c r="I31" i="3"/>
  <c r="J31" i="3" s="1"/>
  <c r="I32" i="3"/>
  <c r="J32" i="3" s="1"/>
  <c r="I33" i="3"/>
  <c r="J33" i="3" s="1"/>
  <c r="I34" i="3"/>
  <c r="J34" i="3" s="1"/>
  <c r="I35" i="3"/>
  <c r="J35" i="3" s="1"/>
  <c r="I36" i="3"/>
  <c r="J36" i="3" s="1"/>
  <c r="I37" i="3"/>
  <c r="J37" i="3" s="1"/>
  <c r="I38" i="3"/>
  <c r="J38" i="3" s="1"/>
  <c r="I39" i="3"/>
  <c r="J39" i="3" s="1"/>
  <c r="I40" i="3"/>
  <c r="J40" i="3" s="1"/>
  <c r="I41" i="3"/>
  <c r="J41" i="3" s="1"/>
  <c r="I42" i="3"/>
  <c r="J42" i="3" s="1"/>
  <c r="I43" i="3"/>
  <c r="J43" i="3" s="1"/>
  <c r="I44" i="3"/>
  <c r="J44" i="3" s="1"/>
  <c r="I45" i="3"/>
  <c r="J45" i="3" s="1"/>
  <c r="I46" i="3"/>
  <c r="J46" i="3" s="1"/>
  <c r="I47" i="3"/>
  <c r="J47" i="3" s="1"/>
  <c r="I48" i="3"/>
  <c r="J48" i="3" s="1"/>
  <c r="I49" i="3"/>
  <c r="J49" i="3" s="1"/>
  <c r="I50" i="3"/>
  <c r="J50" i="3" s="1"/>
  <c r="I51" i="3"/>
  <c r="J51" i="3" s="1"/>
  <c r="I52" i="3"/>
  <c r="J52" i="3" s="1"/>
  <c r="I53" i="3"/>
  <c r="J53" i="3" s="1"/>
  <c r="I54" i="3"/>
  <c r="J54" i="3" s="1"/>
  <c r="I55" i="3"/>
  <c r="J55" i="3" s="1"/>
  <c r="I56" i="3"/>
  <c r="J56" i="3" s="1"/>
  <c r="I57" i="3"/>
  <c r="J57" i="3" s="1"/>
  <c r="I58" i="3"/>
  <c r="J58" i="3" s="1"/>
  <c r="I59" i="3"/>
  <c r="J59" i="3" s="1"/>
  <c r="I60" i="3"/>
  <c r="J60" i="3" s="1"/>
  <c r="I61" i="3"/>
  <c r="J61" i="3" s="1"/>
  <c r="I62" i="3"/>
  <c r="J62" i="3" s="1"/>
  <c r="I63" i="3"/>
  <c r="J63" i="3" s="1"/>
  <c r="I64" i="3"/>
  <c r="J64" i="3" s="1"/>
  <c r="I65" i="3"/>
  <c r="J65" i="3" s="1"/>
  <c r="I66" i="3"/>
  <c r="J66" i="3" s="1"/>
  <c r="I67" i="3"/>
  <c r="J67" i="3" s="1"/>
  <c r="I68" i="3"/>
  <c r="J68" i="3" s="1"/>
  <c r="I69" i="3"/>
  <c r="J69" i="3" s="1"/>
  <c r="I70" i="3"/>
  <c r="J70" i="3" s="1"/>
  <c r="I71" i="3"/>
  <c r="J71" i="3" s="1"/>
  <c r="I72" i="3"/>
  <c r="J72" i="3" s="1"/>
  <c r="I73" i="3"/>
  <c r="J73" i="3" s="1"/>
  <c r="I74" i="3"/>
  <c r="J74" i="3" s="1"/>
  <c r="I75" i="3"/>
  <c r="J75" i="3" s="1"/>
  <c r="I76" i="3"/>
  <c r="J76" i="3" s="1"/>
  <c r="I77" i="3"/>
  <c r="J77" i="3" s="1"/>
  <c r="I78" i="3"/>
  <c r="J78" i="3" s="1"/>
  <c r="I79" i="3"/>
  <c r="J79" i="3" s="1"/>
  <c r="I80" i="3"/>
  <c r="J80" i="3" s="1"/>
  <c r="I81" i="3"/>
  <c r="J81" i="3" s="1"/>
  <c r="I82" i="3"/>
  <c r="J82" i="3" s="1"/>
  <c r="I83" i="3"/>
  <c r="J83" i="3" s="1"/>
  <c r="I84" i="3"/>
  <c r="J84" i="3" s="1"/>
  <c r="I85" i="3"/>
  <c r="J85" i="3" s="1"/>
  <c r="I86" i="3"/>
  <c r="J86" i="3" s="1"/>
  <c r="I87" i="3"/>
  <c r="J87" i="3" s="1"/>
  <c r="I88" i="3"/>
  <c r="J88" i="3" s="1"/>
  <c r="I89" i="3"/>
  <c r="J89" i="3" s="1"/>
  <c r="I90" i="3"/>
  <c r="J90" i="3" s="1"/>
  <c r="I91" i="3"/>
  <c r="J91" i="3" s="1"/>
  <c r="I92" i="3"/>
  <c r="J92" i="3" s="1"/>
  <c r="I93" i="3"/>
  <c r="J93" i="3" s="1"/>
  <c r="I94" i="3"/>
  <c r="J94" i="3" s="1"/>
  <c r="I95" i="3"/>
  <c r="J95" i="3" s="1"/>
  <c r="I96" i="3"/>
  <c r="J96" i="3" s="1"/>
  <c r="I97" i="3"/>
  <c r="J97" i="3" s="1"/>
  <c r="I98" i="3"/>
  <c r="J98" i="3" s="1"/>
  <c r="I99" i="3"/>
  <c r="J99" i="3" s="1"/>
  <c r="I100" i="3"/>
  <c r="J100" i="3" s="1"/>
  <c r="I101" i="3"/>
  <c r="J101" i="3" s="1"/>
  <c r="I102" i="3"/>
  <c r="J102" i="3" s="1"/>
  <c r="I103" i="3"/>
  <c r="J103" i="3" s="1"/>
  <c r="I104" i="3"/>
  <c r="J104" i="3" s="1"/>
  <c r="I105" i="3"/>
  <c r="J105" i="3" s="1"/>
  <c r="I106" i="3"/>
  <c r="J106" i="3" s="1"/>
  <c r="I107" i="3"/>
  <c r="J107" i="3" s="1"/>
  <c r="I108" i="3"/>
  <c r="J108" i="3" s="1"/>
  <c r="I109" i="3"/>
  <c r="J109" i="3" s="1"/>
  <c r="I110" i="3"/>
  <c r="J110" i="3" s="1"/>
  <c r="I111" i="3"/>
  <c r="J111" i="3" s="1"/>
  <c r="I112" i="3"/>
  <c r="J112" i="3" s="1"/>
  <c r="I113" i="3"/>
  <c r="J113" i="3" s="1"/>
  <c r="I114" i="3"/>
  <c r="J114" i="3" s="1"/>
  <c r="I115" i="3"/>
  <c r="J115" i="3" s="1"/>
  <c r="I116" i="3"/>
  <c r="J116" i="3" s="1"/>
  <c r="I117" i="3"/>
  <c r="J117" i="3" s="1"/>
  <c r="I118" i="3"/>
  <c r="J118" i="3" s="1"/>
  <c r="I119" i="3"/>
  <c r="J119" i="3" s="1"/>
  <c r="I120" i="3"/>
  <c r="J120" i="3" s="1"/>
  <c r="I121" i="3"/>
  <c r="J121" i="3" s="1"/>
  <c r="I122" i="3"/>
  <c r="J122" i="3" s="1"/>
  <c r="I123" i="3"/>
  <c r="J123" i="3" s="1"/>
  <c r="I124" i="3"/>
  <c r="J124" i="3" s="1"/>
  <c r="I125" i="3"/>
  <c r="J125" i="3" s="1"/>
  <c r="I126" i="3"/>
  <c r="J126" i="3" s="1"/>
  <c r="I127" i="3"/>
  <c r="J127" i="3" s="1"/>
  <c r="I128" i="3"/>
  <c r="J128" i="3" s="1"/>
  <c r="I129" i="3"/>
  <c r="J129" i="3" s="1"/>
  <c r="I130" i="3"/>
  <c r="J130" i="3" s="1"/>
  <c r="I131" i="3"/>
  <c r="J131" i="3" s="1"/>
  <c r="I132" i="3"/>
  <c r="J132" i="3" s="1"/>
  <c r="I133" i="3"/>
  <c r="J133" i="3" s="1"/>
  <c r="I134" i="3"/>
  <c r="J134" i="3" s="1"/>
  <c r="I135" i="3"/>
  <c r="J135" i="3" s="1"/>
  <c r="I136" i="3"/>
  <c r="J136" i="3" s="1"/>
  <c r="I137" i="3"/>
  <c r="J137" i="3" s="1"/>
  <c r="I138" i="3"/>
  <c r="J138" i="3" s="1"/>
  <c r="I139" i="3"/>
  <c r="J139" i="3" s="1"/>
  <c r="I140" i="3"/>
  <c r="J140" i="3" s="1"/>
  <c r="I141" i="3"/>
  <c r="J141" i="3" s="1"/>
  <c r="I142" i="3"/>
  <c r="J142" i="3" s="1"/>
  <c r="I143" i="3"/>
  <c r="J143" i="3" s="1"/>
  <c r="I144" i="3"/>
  <c r="J144" i="3" s="1"/>
  <c r="I145" i="3"/>
  <c r="J145" i="3" s="1"/>
  <c r="I146" i="3"/>
  <c r="J146" i="3" s="1"/>
  <c r="I147" i="3"/>
  <c r="J147" i="3" s="1"/>
  <c r="I148" i="3"/>
  <c r="J148" i="3" s="1"/>
  <c r="I149" i="3"/>
  <c r="J149" i="3" s="1"/>
  <c r="I150" i="3"/>
  <c r="J150" i="3" s="1"/>
  <c r="I151" i="3"/>
  <c r="J151" i="3" s="1"/>
  <c r="I152" i="3"/>
  <c r="J152" i="3" s="1"/>
  <c r="I153" i="3"/>
  <c r="J153" i="3" s="1"/>
  <c r="I154" i="3"/>
  <c r="J154" i="3" s="1"/>
  <c r="I155" i="3"/>
  <c r="J155" i="3" s="1"/>
  <c r="I156" i="3"/>
  <c r="J156" i="3" s="1"/>
  <c r="I157" i="3"/>
  <c r="J157" i="3" s="1"/>
  <c r="I158" i="3"/>
  <c r="J158" i="3" s="1"/>
  <c r="I159" i="3"/>
  <c r="J159" i="3" s="1"/>
  <c r="I160" i="3"/>
  <c r="J160" i="3" s="1"/>
  <c r="I161" i="3"/>
  <c r="J161" i="3" s="1"/>
  <c r="I162" i="3"/>
  <c r="J162" i="3" s="1"/>
  <c r="I163" i="3"/>
  <c r="J163" i="3" s="1"/>
  <c r="I164" i="3"/>
  <c r="J164" i="3" s="1"/>
  <c r="I165" i="3"/>
  <c r="J165" i="3" s="1"/>
  <c r="I166" i="3"/>
  <c r="J166" i="3" s="1"/>
  <c r="I167" i="3"/>
  <c r="J167" i="3" s="1"/>
  <c r="I168" i="3"/>
  <c r="J168" i="3" s="1"/>
  <c r="I169" i="3"/>
  <c r="J169" i="3" s="1"/>
  <c r="I170" i="3"/>
  <c r="J170" i="3" s="1"/>
  <c r="I171" i="3"/>
  <c r="J171" i="3" s="1"/>
  <c r="I172" i="3"/>
  <c r="J172" i="3" s="1"/>
  <c r="I173" i="3"/>
  <c r="J173" i="3" s="1"/>
  <c r="I174" i="3"/>
  <c r="J174" i="3" s="1"/>
  <c r="I175" i="3"/>
  <c r="J175" i="3" s="1"/>
  <c r="I176" i="3"/>
  <c r="J176" i="3" s="1"/>
  <c r="I177" i="3"/>
  <c r="J177" i="3" s="1"/>
  <c r="I178" i="3"/>
  <c r="J178" i="3" s="1"/>
  <c r="I179" i="3"/>
  <c r="J179" i="3" s="1"/>
  <c r="I180" i="3"/>
  <c r="J180" i="3" s="1"/>
  <c r="I181" i="3"/>
  <c r="J181" i="3" s="1"/>
  <c r="I182" i="3"/>
  <c r="J182" i="3" s="1"/>
  <c r="I183" i="3"/>
  <c r="J183" i="3" s="1"/>
  <c r="I184" i="3"/>
  <c r="J184" i="3" s="1"/>
  <c r="N4" i="3"/>
  <c r="N3" i="3"/>
  <c r="N2" i="3"/>
  <c r="N9" i="3" s="1"/>
  <c r="F106" i="1"/>
  <c r="H106" i="1"/>
  <c r="I106" i="1"/>
  <c r="N6" i="3" l="1"/>
  <c r="B8" i="4" a="1"/>
  <c r="B8" i="4" s="1"/>
  <c r="N14" i="3" a="1"/>
  <c r="N14" i="3" s="1"/>
  <c r="N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9A4EA3-63EE-40CE-AE6E-1E53A06CFE4E}"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C564C56-22CF-4FB8-A0B2-8FB7787A3EED}"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8ADB8591-1AAB-491C-8467-EF442437AD0F}"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76B374B9-8636-4945-B9DC-5B54101D57E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823BFC35-C633-43D0-814B-50AE4CDEEB0E}" name="WorksheetConnection_Clean, Analyze, and Present Data.xlsx!Staff" type="102" refreshedVersion="8" minRefreshableVersion="5">
    <extLst>
      <ext xmlns:x15="http://schemas.microsoft.com/office/spreadsheetml/2010/11/main" uri="{DE250136-89BD-433C-8126-D09CA5730AF9}">
        <x15:connection id="Staff" autoDelete="1">
          <x15:rangePr sourceName="_xlcn.WorksheetConnection_CleanAnalyzeandPresentData.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<sst xmlns="http://schemas.openxmlformats.org/spreadsheetml/2006/main" count="1896" uniqueCount="258">
  <si>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</si>
  <si>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</si>
  <si>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</si>
  <si>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</si>
  <si>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</si>
  <si>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</si>
  <si>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</si>
  <si>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</si>
  <si>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</si>
  <si>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</si>
  <si>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</si>
  <si>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</si>
  <si>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</si>
  <si>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</si>
  <si>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</si>
  <si>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</si>
  <si>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</si>
  <si>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</si>
  <si>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</si>
  <si>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</si>
  <si>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</si>
  <si>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</si>
  <si>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</si>
  <si>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</si>
  <si>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</si>
  <si>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</si>
  <si>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</si>
  <si>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</si>
  <si>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</si>
  <si>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</si>
  <si>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</si>
  <si>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</si>
  <si>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</si>
  <si>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</si>
  <si>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</si>
  <si>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</si>
  <si>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</si>
  <si>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</si>
  <si>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</si>
  <si>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</si>
  <si>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</si>
  <si>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</si>
  <si>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</si>
  <si>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</si>
  <si>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</si>
  <si>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</si>
  <si>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</si>
  <si>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</si>
  <si>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</si>
  <si>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</si>
  <si>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</si>
  <si>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</si>
  <si>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</si>
  <si>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</si>
  <si>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</si>
  <si>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</si>
  <si>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</si>
  <si>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</si>
  <si>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</si>
  <si>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</si>
  <si>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</si>
  <si>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</si>
  <si>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</si>
  <si>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</si>
  <si>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</si>
  <si>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</si>
  <si>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</si>
  <si>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</si>
  <si>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</si>
  <si>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</si>
  <si>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</si>
  <si>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</si>
  <si>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</si>
  <si>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</si>
  <si>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</si>
  <si>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</si>
  <si>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</si>
  <si>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</si>
  <si>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</si>
  <si>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</si>
  <si>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</si>
  <si>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</si>
  <si>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</si>
  <si>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</si>
  <si>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</si>
  <si>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</si>
  <si>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</si>
  <si>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</si>
  <si>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</si>
  <si>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</si>
  <si>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</si>
  <si>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</si>
  <si>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</si>
  <si>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</si>
  <si>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</si>
  <si>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</si>
  <si>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</si>
  <si>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</si>
  <si>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</si>
  <si>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</si>
  <si>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</si>
  <si>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</si>
  <si>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</si>
  <si>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</si>
  <si>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</si>
  <si>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</si>
  <si>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</si>
  <si>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</si>
  <si>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</si>
  <si>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</si>
  <si>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</si>
  <si>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</si>
  <si>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</si>
  <si>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</si>
  <si>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</si>
  <si>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</si>
  <si>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</si>
  <si>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</si>
  <si>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</si>
  <si>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</si>
  <si>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</si>
  <si>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</si>
  <si>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</si>
  <si>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</si>
  <si>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</si>
  <si>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</si>
  <si>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</si>
  <si>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</si>
  <si>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</si>
  <si>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</si>
  <si>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</si>
  <si>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</si>
  <si>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</si>
  <si>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</si>
  <si>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</si>
  <si>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</si>
  <si>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</si>
  <si>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</si>
  <si>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</si>
  <si>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</si>
  <si>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</si>
  <si>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</si>
  <si>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</si>
  <si>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</si>
  <si>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</si>
  <si>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</si>
  <si>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</si>
  <si>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</si>
  <si>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</si>
  <si>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</si>
  <si>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</si>
  <si>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</si>
  <si>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</si>
  <si>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</si>
  <si>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</si>
  <si>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</si>
  <si>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</si>
  <si>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</si>
  <si>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</si>
  <si>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</si>
  <si>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</si>
  <si>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</si>
  <si>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</si>
  <si>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</si>
  <si>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</si>
  <si>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</si>
  <si>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</si>
  <si>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</si>
  <si>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</si>
  <si>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</si>
  <si>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</si>
  <si>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</si>
  <si>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</si>
  <si>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</si>
  <si>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</si>
  <si>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</si>
  <si>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</si>
  <si>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</si>
  <si>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</si>
  <si>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</si>
  <si>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</si>
  <si>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</si>
  <si>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</si>
  <si>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</si>
  <si>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</si>
  <si>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</si>
  <si>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</si>
  <si>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</si>
  <si>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</si>
  <si>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</si>
  <si>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</si>
  <si>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</si>
  <si>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</si>
  <si>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</si>
  <si>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</si>
  <si>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</si>
  <si>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</si>
  <si>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</si>
  <si>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</si>
  <si>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</si>
  <si>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</si>
  <si>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</si>
  <si>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</si>
  <si>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</si>
  <si>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</si>
  <si>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</si>
  <si>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</si>
  <si>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</si>
  <si>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</si>
  <si>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</si>
  <si>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</si>
  <si>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</si>
  <si>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</si>
  <si>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</si>
  <si>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</si>
  <si>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of &gt;$90,000</t>
  </si>
  <si>
    <t>Basic Summary Statistics</t>
  </si>
  <si>
    <t>Date of Join</t>
  </si>
  <si>
    <t>Staff Query</t>
  </si>
  <si>
    <t>Department Name</t>
  </si>
  <si>
    <t>Number of employees</t>
  </si>
  <si>
    <t>Department List</t>
  </si>
  <si>
    <t>Department Staff Finder</t>
  </si>
  <si>
    <t>Row Labels</t>
  </si>
  <si>
    <t>Grand Total</t>
  </si>
  <si>
    <t>Column Labels</t>
  </si>
  <si>
    <t>Count of Name</t>
  </si>
  <si>
    <t>Average of Age</t>
  </si>
  <si>
    <t>Values</t>
  </si>
  <si>
    <t>Average of Salary</t>
  </si>
  <si>
    <t>Average of Tenure</t>
  </si>
  <si>
    <t>Male vs. Female Information</t>
  </si>
  <si>
    <t>Bonus</t>
  </si>
  <si>
    <t>Rating as #</t>
  </si>
  <si>
    <t>2020</t>
  </si>
  <si>
    <t>May</t>
  </si>
  <si>
    <t>Jun</t>
  </si>
  <si>
    <t>Jul</t>
  </si>
  <si>
    <t>Aug</t>
  </si>
  <si>
    <t>Sep</t>
  </si>
  <si>
    <t>Oct</t>
  </si>
  <si>
    <t>Nov</t>
  </si>
  <si>
    <t>Dec</t>
  </si>
  <si>
    <t>2021</t>
  </si>
  <si>
    <t>Jan</t>
  </si>
  <si>
    <t>Feb</t>
  </si>
  <si>
    <t>Mar</t>
  </si>
  <si>
    <t>Apr</t>
  </si>
  <si>
    <t>2022</t>
  </si>
  <si>
    <t>2023</t>
  </si>
  <si>
    <t>Month</t>
  </si>
  <si>
    <t>Headcount</t>
  </si>
  <si>
    <t>Running Total</t>
  </si>
  <si>
    <t>Headcount by Department</t>
  </si>
  <si>
    <t>New Zealand</t>
  </si>
  <si>
    <t>India</t>
  </si>
  <si>
    <t>Avg. Salary</t>
  </si>
  <si>
    <t>Female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</si>
</sst>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6" formatCode="&quot;$&quot;#,##0_);[Red]\(&quot;$&quot;#,##0\)"/>
    <numFmt numFmtId="44" formatCode="_(&quot;$&quot;* #,##0.00_);_(&quot;$&quot;* \(#,##0.00\);_(&quot;$&quot;* &quot;-&quot;??_);_(@_)"/>
    <numFmt numFmtId="165" formatCode="_(&quot;$&quot;* #,##0_);_(&quot;$&quot;* \(#,##0\);_(&quot;$&quot;* &quot;-&quot;??_);_(@_)"/>
    <numFmt numFmtId="170" formatCode="0.0"/>
    <numFmt numFmtId="174" formatCode="&quot;$&quot;#,##0"/>
  </numFmts>
  <fonts count="16" x14ac:knownFonts="1">
    <font>
      <sz val="11"/>
      <color theme="1"/>
      <name val="Calibri"/>
      <family val="2"/>
      <scheme val="minor"/>
    </font>
    <font>
      <sz val="28"/>
      <color theme="1"/>
      <name val="Segoe UI Light"/>
      <family val="2"/>
    </font>
    <font>
      <sz val="11"/>
      <color theme="1"/>
      <name val="Calibri"/>
      <family val="2"/>
      <scheme val="minor"/>
    </font>
    <font>
      <b/>
      <sz val="11"/>
      <color theme="1"/>
      <name val="Calibri"/>
      <family val="2"/>
      <scheme val="minor"/>
    </font>
    <font>
      <i/>
      <sz val="11"/>
      <color theme="1"/>
      <name val="Calibri"/>
      <family val="2"/>
      <scheme val="minor"/>
    </font>
    <font>
      <sz val="36"/>
      <color theme="0"/>
      <name val="Segoe UI Black"/>
      <family val="2"/>
    </font>
    <font>
      <sz val="16"/>
      <color theme="0"/>
      <name val="Segoe UI Black"/>
      <family val="2"/>
    </font>
    <font>
      <b/>
      <sz val="36"/>
      <color theme="0"/>
      <name val="Segoe UI Black"/>
      <family val="2"/>
    </font>
    <font>
      <b/>
      <sz val="36"/>
      <color theme="1"/>
      <name val="Segoe UI Black"/>
      <family val="2"/>
    </font>
    <font>
      <sz val="36"/>
      <color theme="1"/>
      <name val="Segoe UI Black"/>
      <family val="2"/>
    </font>
    <font>
      <b/>
      <sz val="16"/>
      <color theme="1"/>
      <name val="Segoe UI Black"/>
      <family val="2"/>
    </font>
    <font>
      <sz val="11"/>
      <color theme="1"/>
      <name val="Segoe UI Light"/>
      <family val="2"/>
    </font>
    <font>
      <sz val="16"/>
      <color theme="1"/>
      <name val="Segoe UI Light"/>
      <family val="2"/>
    </font>
    <font>
      <sz val="22"/>
      <color theme="1"/>
      <name val="Segoe UI Light"/>
      <family val="2"/>
    </font>
    <font>
      <b/>
      <sz val="12"/>
      <color theme="0"/>
      <name val="Segoe UI Semibold"/>
      <family val="2"/>
    </font>
    <font>
      <b/>
      <sz val="12"/>
      <color theme="1"/>
      <name val="Segoe UI Semibold"/>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bgColor indexed="64"/>
      </patternFill>
    </fill>
  </fills>
  <borders count="1">
    <border>
      <left/>
      <right/>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41">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5" fontId="0" fillId="3" borderId="0" xfId="1" applyNumberFormat="1" applyFont="1" applyFill="1"/>
    <xf numFmtId="165" fontId="0" fillId="0" borderId="0" xfId="1" applyNumberFormat="1" applyFont="1"/>
    <xf numFmtId="0" fontId="0" fillId="0" borderId="0" xfId="0" applyNumberFormat="1"/>
    <xf numFmtId="14" fontId="0" fillId="0" borderId="0" xfId="0" applyNumberFormat="1"/>
    <xf numFmtId="2" fontId="0" fillId="0" borderId="0" xfId="0" applyNumberFormat="1"/>
    <xf numFmtId="170" fontId="0" fillId="0" borderId="0" xfId="0" applyNumberFormat="1"/>
    <xf numFmtId="1" fontId="0" fillId="0" borderId="0" xfId="0" applyNumberFormat="1"/>
    <xf numFmtId="9" fontId="0" fillId="0" borderId="0" xfId="2" applyFont="1"/>
    <xf numFmtId="0" fontId="3" fillId="4" borderId="0" xfId="0" applyFont="1" applyFill="1" applyAlignment="1">
      <alignment horizontal="left"/>
    </xf>
    <xf numFmtId="0" fontId="0" fillId="0" borderId="0" xfId="0" applyAlignment="1">
      <alignment horizontal="left"/>
    </xf>
    <xf numFmtId="15" fontId="0" fillId="0" borderId="0" xfId="0" applyNumberFormat="1" applyAlignment="1">
      <alignment horizontal="left"/>
    </xf>
    <xf numFmtId="2" fontId="0" fillId="0" borderId="0" xfId="0" applyNumberFormat="1" applyAlignment="1">
      <alignment horizontal="left"/>
    </xf>
    <xf numFmtId="0" fontId="3" fillId="4" borderId="0" xfId="0" applyFont="1" applyFill="1" applyAlignment="1"/>
    <xf numFmtId="0" fontId="3" fillId="0" borderId="0" xfId="0" applyFont="1" applyFill="1" applyAlignment="1"/>
    <xf numFmtId="0" fontId="0" fillId="5" borderId="0" xfId="0" applyFill="1"/>
    <xf numFmtId="0" fontId="3" fillId="5" borderId="0" xfId="0" applyFont="1" applyFill="1" applyAlignment="1">
      <alignment horizontal="center"/>
    </xf>
    <xf numFmtId="0" fontId="4" fillId="0" borderId="0" xfId="0" applyFont="1" applyAlignment="1">
      <alignment horizontal="right"/>
    </xf>
    <xf numFmtId="0" fontId="0" fillId="0" borderId="0" xfId="0" pivotButton="1"/>
    <xf numFmtId="174" fontId="0" fillId="0" borderId="0" xfId="0" applyNumberFormat="1"/>
    <xf numFmtId="0" fontId="3" fillId="4" borderId="0" xfId="0" applyFont="1" applyFill="1" applyAlignment="1">
      <alignment horizontal="center"/>
    </xf>
    <xf numFmtId="5" fontId="0" fillId="0" borderId="0" xfId="0" applyNumberFormat="1"/>
    <xf numFmtId="0" fontId="0" fillId="0" borderId="0" xfId="0" applyAlignment="1">
      <alignment horizontal="left" indent="1"/>
    </xf>
    <xf numFmtId="16" fontId="0" fillId="0" borderId="0" xfId="0" applyNumberFormat="1"/>
    <xf numFmtId="0" fontId="0" fillId="0" borderId="0" xfId="0" applyBorder="1"/>
    <xf numFmtId="0" fontId="11" fillId="0" borderId="0" xfId="0" applyFont="1" applyBorder="1"/>
    <xf numFmtId="0" fontId="12" fillId="3" borderId="0" xfId="0" applyFont="1" applyFill="1" applyBorder="1" applyAlignment="1">
      <alignment horizontal="center" vertical="center"/>
    </xf>
    <xf numFmtId="0" fontId="13" fillId="0" borderId="0" xfId="0" applyFont="1" applyAlignment="1">
      <alignment horizontal="center"/>
    </xf>
    <xf numFmtId="0" fontId="13" fillId="0" borderId="0" xfId="0" applyFont="1" applyAlignment="1">
      <alignment horizontal="center" vertical="center"/>
    </xf>
    <xf numFmtId="0" fontId="7" fillId="2" borderId="0" xfId="0" applyFont="1" applyFill="1" applyAlignment="1">
      <alignment horizontal="center"/>
    </xf>
    <xf numFmtId="9" fontId="5" fillId="2" borderId="0" xfId="2" applyFont="1" applyFill="1" applyAlignment="1">
      <alignment horizontal="center"/>
    </xf>
    <xf numFmtId="6" fontId="6" fillId="2" borderId="0" xfId="0" applyNumberFormat="1" applyFont="1" applyFill="1" applyAlignment="1">
      <alignment horizontal="center"/>
    </xf>
    <xf numFmtId="0" fontId="14" fillId="2" borderId="0" xfId="0" applyFont="1" applyFill="1" applyAlignment="1">
      <alignment horizontal="center" vertical="top"/>
    </xf>
    <xf numFmtId="0" fontId="15" fillId="6" borderId="0" xfId="0" applyFont="1" applyFill="1" applyAlignment="1">
      <alignment horizontal="center" vertical="top"/>
    </xf>
    <xf numFmtId="6" fontId="10" fillId="6" borderId="0" xfId="0" applyNumberFormat="1" applyFont="1" applyFill="1" applyAlignment="1">
      <alignment horizontal="center"/>
    </xf>
    <xf numFmtId="9" fontId="9" fillId="6" borderId="0" xfId="2" applyFont="1" applyFill="1" applyAlignment="1">
      <alignment horizontal="center"/>
    </xf>
    <xf numFmtId="0" fontId="8" fillId="6" borderId="0" xfId="0" applyFont="1" applyFill="1" applyAlignment="1">
      <alignment horizontal="center"/>
    </xf>
  </cellXfs>
  <cellStyles count="3">
    <cellStyle name="Currency" xfId="1" builtinId="4"/>
    <cellStyle name="Normal" xfId="0" builtinId="0"/>
    <cellStyle name="Percent" xfId="2" builtinId="5"/>
  </cellStyles>
  <dxfs count="14">
    <dxf>
      <font>
        <color rgb="FF9C0006"/>
      </font>
      <fill>
        <patternFill>
          <bgColor rgb="FFFFC7CE"/>
        </patternFill>
      </fill>
    </dxf>
    <dxf>
      <numFmt numFmtId="0" formatCode="General"/>
    </dxf>
    <dxf>
      <numFmt numFmtId="9" formatCode="&quot;$&quot;#,##0_);\(&quot;$&quot;#,##0\)"/>
    </dxf>
    <dxf>
      <numFmt numFmtId="165" formatCode="_(&quot;$&quot;* #,##0_);_(&quot;$&quot;* \(#,##0\);_(&quot;$&quot;* &quot;-&quot;??_);_(@_)"/>
    </dxf>
    <dxf>
      <numFmt numFmtId="165" formatCode="_(&quot;$&quot;* #,##0_);_(&quot;$&quot;* \(#,##0\);_(&quot;$&quot;* &quot;-&quot;??_);_(@_)"/>
    </dxf>
    <dxf>
      <numFmt numFmtId="2" formatCode="0.00"/>
    </dxf>
    <dxf>
      <numFmt numFmtId="165" formatCode="_(&quot;$&quot;* #,##0_);_(&quot;$&quot;* \(#,##0\);_(&quot;$&quot;* &quot;-&quot;??_);_(@_)"/>
    </dxf>
    <dxf>
      <numFmt numFmtId="0" formatCode="General"/>
    </dxf>
    <dxf>
      <numFmt numFmtId="19" formatCode="m/d/yyyy"/>
    </dxf>
    <dxf>
      <numFmt numFmtId="0" formatCode="General"/>
    </dxf>
    <dxf>
      <numFmt numFmtId="0" formatCode="General"/>
    </dxf>
    <dxf>
      <numFmt numFmtId="165" formatCode="_(&quot;$&quot;* #,##0_);_(&quot;$&quot;* \(#,##0\);_(&quot;$&quot;* &quot;-&quot;??_);_(@_)"/>
    </dxf>
    <dxf>
      <numFmt numFmtId="165" formatCode="_(&quot;$&quot;* #,##0_);_(&quot;$&quot;* \(#,##0\);_(&quot;$&quot;* &quot;-&quot;??_);_(@_)"/>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 Analyze, and Present Data.xlsx]Sheet9!PivotTable5</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Sheet9!$C$3</c:f>
              <c:strCache>
                <c:ptCount val="1"/>
                <c:pt idx="0">
                  <c:v>Total</c:v>
                </c:pt>
              </c:strCache>
            </c:strRef>
          </c:tx>
          <c:spPr>
            <a:solidFill>
              <a:schemeClr val="accent2"/>
            </a:solidFill>
            <a:ln>
              <a:noFill/>
            </a:ln>
            <a:effectLst/>
          </c:spPr>
          <c:invertIfNegative val="0"/>
          <c:cat>
            <c:strRef>
              <c:f>Sheet9!$B$4:$B$9</c:f>
              <c:strCache>
                <c:ptCount val="5"/>
                <c:pt idx="0">
                  <c:v>Procurement</c:v>
                </c:pt>
                <c:pt idx="1">
                  <c:v>Website</c:v>
                </c:pt>
                <c:pt idx="2">
                  <c:v>Finance</c:v>
                </c:pt>
                <c:pt idx="3">
                  <c:v>Sales</c:v>
                </c:pt>
                <c:pt idx="4">
                  <c:v>HR</c:v>
                </c:pt>
              </c:strCache>
            </c:strRef>
          </c:cat>
          <c:val>
            <c:numRef>
              <c:f>Sheet9!$C$4:$C$9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524F-40DA-9BD2-D62CA727223F}"/>
            </c:ext>
          </c:extLst>
        </c:ser>
        <c:dLbls>
          <c:showLegendKey val="0"/>
          <c:showVal val="0"/>
          <c:showCatName val="0"/>
          <c:showSerName val="0"/>
          <c:showPercent val="0"/>
          <c:showBubbleSize val="0"/>
        </c:dLbls>
        <c:gapWidth val="25"/>
        <c:axId val="532345615"/>
        <c:axId val="497603103"/>
      </c:barChart>
      <c:catAx>
        <c:axId val="5323456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603103"/>
        <c:crosses val="autoZero"/>
        <c:auto val="1"/>
        <c:lblAlgn val="ctr"/>
        <c:lblOffset val="100"/>
        <c:noMultiLvlLbl val="0"/>
      </c:catAx>
      <c:valAx>
        <c:axId val="49760310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345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 Analyze, and Present Data.xlsx]Sheet9!PivotTable6</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Sheet9!$F$3</c:f>
              <c:strCache>
                <c:ptCount val="1"/>
                <c:pt idx="0">
                  <c:v>Total</c:v>
                </c:pt>
              </c:strCache>
            </c:strRef>
          </c:tx>
          <c:spPr>
            <a:solidFill>
              <a:schemeClr val="accent1"/>
            </a:solidFill>
            <a:ln>
              <a:noFill/>
            </a:ln>
            <a:effectLst/>
          </c:spPr>
          <c:invertIfNegative val="0"/>
          <c:cat>
            <c:strRef>
              <c:f>Sheet9!$E$4:$E$9</c:f>
              <c:strCache>
                <c:ptCount val="5"/>
                <c:pt idx="0">
                  <c:v>Website</c:v>
                </c:pt>
                <c:pt idx="1">
                  <c:v>Procurement</c:v>
                </c:pt>
                <c:pt idx="2">
                  <c:v>Finance</c:v>
                </c:pt>
                <c:pt idx="3">
                  <c:v>Sales</c:v>
                </c:pt>
                <c:pt idx="4">
                  <c:v>HR</c:v>
                </c:pt>
              </c:strCache>
            </c:strRef>
          </c:cat>
          <c:val>
            <c:numRef>
              <c:f>Sheet9!$F$4:$F$9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A120-432E-9C4F-7D9B0CA58C55}"/>
            </c:ext>
          </c:extLst>
        </c:ser>
        <c:dLbls>
          <c:showLegendKey val="0"/>
          <c:showVal val="0"/>
          <c:showCatName val="0"/>
          <c:showSerName val="0"/>
          <c:showPercent val="0"/>
          <c:showBubbleSize val="0"/>
        </c:dLbls>
        <c:gapWidth val="25"/>
        <c:axId val="367269615"/>
        <c:axId val="381480239"/>
      </c:barChart>
      <c:catAx>
        <c:axId val="3672696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480239"/>
        <c:crosses val="autoZero"/>
        <c:auto val="1"/>
        <c:lblAlgn val="ctr"/>
        <c:lblOffset val="100"/>
        <c:noMultiLvlLbl val="0"/>
      </c:catAx>
      <c:valAx>
        <c:axId val="38148023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269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Headcount by</a:t>
            </a:r>
            <a:r>
              <a:rPr lang="en-US" baseline="0"/>
              <a:t>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Headcount!$S$2</c:f>
              <c:strCache>
                <c:ptCount val="1"/>
                <c:pt idx="0">
                  <c:v>Running Total</c:v>
                </c:pt>
              </c:strCache>
            </c:strRef>
          </c:tx>
          <c:spPr>
            <a:ln w="28575" cap="rnd">
              <a:solidFill>
                <a:schemeClr val="accent1"/>
              </a:solidFill>
              <a:round/>
            </a:ln>
            <a:effectLst/>
          </c:spPr>
          <c:marker>
            <c:symbol val="none"/>
          </c:marker>
          <c:cat>
            <c:numRef>
              <c:f>Headcount!$Q$3:$Q$38</c:f>
              <c:numCache>
                <c:formatCode>d\-mmm</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Headcount!$S$3:$S$38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6EE4-4647-95F7-50A2FB9D0283}"/>
            </c:ext>
          </c:extLst>
        </c:ser>
        <c:dLbls>
          <c:showLegendKey val="0"/>
          <c:showVal val="0"/>
          <c:showCatName val="0"/>
          <c:showSerName val="0"/>
          <c:showPercent val="0"/>
          <c:showBubbleSize val="0"/>
        </c:dLbls>
        <c:smooth val="0"/>
        <c:axId val="367303951"/>
        <c:axId val="415185615"/>
      </c:lineChart>
      <c:dateAx>
        <c:axId val="367303951"/>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185615"/>
        <c:crosses val="autoZero"/>
        <c:auto val="1"/>
        <c:lblOffset val="100"/>
        <c:baseTimeUnit val="months"/>
      </c:dateAx>
      <c:valAx>
        <c:axId val="415185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of Staff</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303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as #</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112650</c:v>
                </c:pt>
                <c:pt idx="1">
                  <c:v>43840</c:v>
                </c:pt>
                <c:pt idx="2">
                  <c:v>103550</c:v>
                </c:pt>
                <c:pt idx="3">
                  <c:v>45510</c:v>
                </c:pt>
                <c:pt idx="4">
                  <c:v>115440</c:v>
                </c:pt>
                <c:pt idx="5">
                  <c:v>56870</c:v>
                </c:pt>
                <c:pt idx="6">
                  <c:v>92700</c:v>
                </c:pt>
                <c:pt idx="7">
                  <c:v>91310</c:v>
                </c:pt>
                <c:pt idx="8">
                  <c:v>74550</c:v>
                </c:pt>
                <c:pt idx="9">
                  <c:v>109190</c:v>
                </c:pt>
                <c:pt idx="10">
                  <c:v>104410</c:v>
                </c:pt>
                <c:pt idx="11">
                  <c:v>96800</c:v>
                </c:pt>
                <c:pt idx="12">
                  <c:v>48170</c:v>
                </c:pt>
                <c:pt idx="13">
                  <c:v>37920</c:v>
                </c:pt>
                <c:pt idx="14">
                  <c:v>112650</c:v>
                </c:pt>
                <c:pt idx="15">
                  <c:v>49630</c:v>
                </c:pt>
                <c:pt idx="16">
                  <c:v>118840</c:v>
                </c:pt>
                <c:pt idx="17">
                  <c:v>69710</c:v>
                </c:pt>
                <c:pt idx="18">
                  <c:v>79570</c:v>
                </c:pt>
                <c:pt idx="19">
                  <c:v>76900</c:v>
                </c:pt>
                <c:pt idx="20">
                  <c:v>54970</c:v>
                </c:pt>
                <c:pt idx="21">
                  <c:v>88050</c:v>
                </c:pt>
                <c:pt idx="22">
                  <c:v>36040</c:v>
                </c:pt>
                <c:pt idx="23">
                  <c:v>75000</c:v>
                </c:pt>
                <c:pt idx="24">
                  <c:v>40400</c:v>
                </c:pt>
                <c:pt idx="25">
                  <c:v>100420</c:v>
                </c:pt>
                <c:pt idx="26">
                  <c:v>58100</c:v>
                </c:pt>
                <c:pt idx="27">
                  <c:v>114870</c:v>
                </c:pt>
                <c:pt idx="28">
                  <c:v>41570</c:v>
                </c:pt>
                <c:pt idx="29">
                  <c:v>112570</c:v>
                </c:pt>
                <c:pt idx="30">
                  <c:v>47360</c:v>
                </c:pt>
                <c:pt idx="31">
                  <c:v>65920</c:v>
                </c:pt>
                <c:pt idx="32">
                  <c:v>99970</c:v>
                </c:pt>
                <c:pt idx="33">
                  <c:v>80700</c:v>
                </c:pt>
                <c:pt idx="34">
                  <c:v>52610</c:v>
                </c:pt>
                <c:pt idx="35">
                  <c:v>112110</c:v>
                </c:pt>
                <c:pt idx="36">
                  <c:v>119110</c:v>
                </c:pt>
                <c:pt idx="37">
                  <c:v>112780</c:v>
                </c:pt>
                <c:pt idx="38">
                  <c:v>114890</c:v>
                </c:pt>
                <c:pt idx="39">
                  <c:v>48980</c:v>
                </c:pt>
                <c:pt idx="40">
                  <c:v>75880</c:v>
                </c:pt>
                <c:pt idx="41">
                  <c:v>53240</c:v>
                </c:pt>
                <c:pt idx="42">
                  <c:v>85000</c:v>
                </c:pt>
                <c:pt idx="43">
                  <c:v>33920</c:v>
                </c:pt>
                <c:pt idx="44">
                  <c:v>75280</c:v>
                </c:pt>
                <c:pt idx="45">
                  <c:v>58940</c:v>
                </c:pt>
                <c:pt idx="46">
                  <c:v>104770</c:v>
                </c:pt>
                <c:pt idx="47">
                  <c:v>57090</c:v>
                </c:pt>
                <c:pt idx="48">
                  <c:v>91650</c:v>
                </c:pt>
                <c:pt idx="49">
                  <c:v>70270</c:v>
                </c:pt>
                <c:pt idx="50">
                  <c:v>75970</c:v>
                </c:pt>
                <c:pt idx="51">
                  <c:v>90700</c:v>
                </c:pt>
                <c:pt idx="52">
                  <c:v>60570</c:v>
                </c:pt>
                <c:pt idx="53">
                  <c:v>115920</c:v>
                </c:pt>
                <c:pt idx="54">
                  <c:v>65360</c:v>
                </c:pt>
                <c:pt idx="55">
                  <c:v>64000</c:v>
                </c:pt>
                <c:pt idx="56">
                  <c:v>92450</c:v>
                </c:pt>
                <c:pt idx="57">
                  <c:v>48950</c:v>
                </c:pt>
                <c:pt idx="58">
                  <c:v>83750</c:v>
                </c:pt>
                <c:pt idx="59">
                  <c:v>87620</c:v>
                </c:pt>
                <c:pt idx="60">
                  <c:v>68900</c:v>
                </c:pt>
                <c:pt idx="61">
                  <c:v>53540</c:v>
                </c:pt>
                <c:pt idx="62">
                  <c:v>43510</c:v>
                </c:pt>
                <c:pt idx="63">
                  <c:v>109160</c:v>
                </c:pt>
                <c:pt idx="64">
                  <c:v>99750</c:v>
                </c:pt>
                <c:pt idx="65">
                  <c:v>41980</c:v>
                </c:pt>
                <c:pt idx="66">
                  <c:v>71380</c:v>
                </c:pt>
                <c:pt idx="67">
                  <c:v>113280</c:v>
                </c:pt>
                <c:pt idx="68">
                  <c:v>86570</c:v>
                </c:pt>
                <c:pt idx="69">
                  <c:v>53540</c:v>
                </c:pt>
                <c:pt idx="70">
                  <c:v>69070</c:v>
                </c:pt>
                <c:pt idx="71">
                  <c:v>67910</c:v>
                </c:pt>
                <c:pt idx="72">
                  <c:v>69120</c:v>
                </c:pt>
                <c:pt idx="73">
                  <c:v>60130</c:v>
                </c:pt>
                <c:pt idx="74">
                  <c:v>106460</c:v>
                </c:pt>
                <c:pt idx="75">
                  <c:v>118100</c:v>
                </c:pt>
                <c:pt idx="76">
                  <c:v>78390</c:v>
                </c:pt>
                <c:pt idx="77">
                  <c:v>114180</c:v>
                </c:pt>
                <c:pt idx="78">
                  <c:v>104120</c:v>
                </c:pt>
                <c:pt idx="79">
                  <c:v>67950</c:v>
                </c:pt>
                <c:pt idx="80">
                  <c:v>34980</c:v>
                </c:pt>
                <c:pt idx="81">
                  <c:v>62780</c:v>
                </c:pt>
                <c:pt idx="82">
                  <c:v>107700</c:v>
                </c:pt>
                <c:pt idx="83">
                  <c:v>65700</c:v>
                </c:pt>
                <c:pt idx="84">
                  <c:v>75480</c:v>
                </c:pt>
                <c:pt idx="85">
                  <c:v>53870</c:v>
                </c:pt>
                <c:pt idx="86">
                  <c:v>78540</c:v>
                </c:pt>
                <c:pt idx="87">
                  <c:v>58960</c:v>
                </c:pt>
                <c:pt idx="88">
                  <c:v>70610</c:v>
                </c:pt>
                <c:pt idx="89">
                  <c:v>59430</c:v>
                </c:pt>
                <c:pt idx="90">
                  <c:v>48530</c:v>
                </c:pt>
                <c:pt idx="91">
                  <c:v>96140</c:v>
                </c:pt>
                <c:pt idx="92">
                  <c:v>112780</c:v>
                </c:pt>
                <c:pt idx="93">
                  <c:v>70610</c:v>
                </c:pt>
                <c:pt idx="94">
                  <c:v>53240</c:v>
                </c:pt>
                <c:pt idx="95">
                  <c:v>115440</c:v>
                </c:pt>
                <c:pt idx="96">
                  <c:v>53540</c:v>
                </c:pt>
                <c:pt idx="97">
                  <c:v>112570</c:v>
                </c:pt>
                <c:pt idx="98">
                  <c:v>48530</c:v>
                </c:pt>
                <c:pt idx="99">
                  <c:v>62780</c:v>
                </c:pt>
                <c:pt idx="100">
                  <c:v>53870</c:v>
                </c:pt>
                <c:pt idx="101">
                  <c:v>119110</c:v>
                </c:pt>
                <c:pt idx="102">
                  <c:v>112110</c:v>
                </c:pt>
                <c:pt idx="103">
                  <c:v>65700</c:v>
                </c:pt>
                <c:pt idx="104">
                  <c:v>69070</c:v>
                </c:pt>
                <c:pt idx="105">
                  <c:v>107700</c:v>
                </c:pt>
                <c:pt idx="106">
                  <c:v>43840</c:v>
                </c:pt>
                <c:pt idx="107">
                  <c:v>99750</c:v>
                </c:pt>
                <c:pt idx="108">
                  <c:v>37920</c:v>
                </c:pt>
                <c:pt idx="109">
                  <c:v>57090</c:v>
                </c:pt>
                <c:pt idx="110">
                  <c:v>41980</c:v>
                </c:pt>
                <c:pt idx="111">
                  <c:v>75880</c:v>
                </c:pt>
                <c:pt idx="112">
                  <c:v>58940</c:v>
                </c:pt>
                <c:pt idx="113">
                  <c:v>67910</c:v>
                </c:pt>
                <c:pt idx="114">
                  <c:v>58100</c:v>
                </c:pt>
                <c:pt idx="115">
                  <c:v>48980</c:v>
                </c:pt>
                <c:pt idx="116">
                  <c:v>64000</c:v>
                </c:pt>
                <c:pt idx="117">
                  <c:v>75000</c:v>
                </c:pt>
                <c:pt idx="118">
                  <c:v>87620</c:v>
                </c:pt>
                <c:pt idx="119">
                  <c:v>34980</c:v>
                </c:pt>
                <c:pt idx="120">
                  <c:v>75970</c:v>
                </c:pt>
                <c:pt idx="121">
                  <c:v>60130</c:v>
                </c:pt>
                <c:pt idx="122">
                  <c:v>75480</c:v>
                </c:pt>
                <c:pt idx="123">
                  <c:v>115920</c:v>
                </c:pt>
                <c:pt idx="124">
                  <c:v>78540</c:v>
                </c:pt>
                <c:pt idx="125">
                  <c:v>109190</c:v>
                </c:pt>
                <c:pt idx="126">
                  <c:v>49630</c:v>
                </c:pt>
                <c:pt idx="127">
                  <c:v>99970</c:v>
                </c:pt>
                <c:pt idx="128">
                  <c:v>96140</c:v>
                </c:pt>
                <c:pt idx="129">
                  <c:v>103550</c:v>
                </c:pt>
                <c:pt idx="130">
                  <c:v>48950</c:v>
                </c:pt>
                <c:pt idx="131">
                  <c:v>52610</c:v>
                </c:pt>
                <c:pt idx="132">
                  <c:v>78390</c:v>
                </c:pt>
                <c:pt idx="133">
                  <c:v>86570</c:v>
                </c:pt>
                <c:pt idx="134">
                  <c:v>83750</c:v>
                </c:pt>
                <c:pt idx="135">
                  <c:v>92450</c:v>
                </c:pt>
                <c:pt idx="136">
                  <c:v>112650</c:v>
                </c:pt>
                <c:pt idx="137">
                  <c:v>79570</c:v>
                </c:pt>
                <c:pt idx="138">
                  <c:v>68900</c:v>
                </c:pt>
                <c:pt idx="139">
                  <c:v>80700</c:v>
                </c:pt>
                <c:pt idx="140">
                  <c:v>58960</c:v>
                </c:pt>
                <c:pt idx="141">
                  <c:v>118840</c:v>
                </c:pt>
                <c:pt idx="142">
                  <c:v>48170</c:v>
                </c:pt>
                <c:pt idx="143">
                  <c:v>45510</c:v>
                </c:pt>
                <c:pt idx="144">
                  <c:v>114890</c:v>
                </c:pt>
                <c:pt idx="145">
                  <c:v>69710</c:v>
                </c:pt>
                <c:pt idx="146">
                  <c:v>71380</c:v>
                </c:pt>
                <c:pt idx="147">
                  <c:v>109160</c:v>
                </c:pt>
                <c:pt idx="148">
                  <c:v>113280</c:v>
                </c:pt>
                <c:pt idx="149">
                  <c:v>69120</c:v>
                </c:pt>
                <c:pt idx="150">
                  <c:v>118100</c:v>
                </c:pt>
                <c:pt idx="151">
                  <c:v>76900</c:v>
                </c:pt>
                <c:pt idx="152">
                  <c:v>114870</c:v>
                </c:pt>
                <c:pt idx="153">
                  <c:v>91310</c:v>
                </c:pt>
                <c:pt idx="154">
                  <c:v>104770</c:v>
                </c:pt>
                <c:pt idx="155">
                  <c:v>54970</c:v>
                </c:pt>
                <c:pt idx="156">
                  <c:v>90700</c:v>
                </c:pt>
                <c:pt idx="157">
                  <c:v>56870</c:v>
                </c:pt>
                <c:pt idx="158">
                  <c:v>92700</c:v>
                </c:pt>
                <c:pt idx="159">
                  <c:v>65920</c:v>
                </c:pt>
                <c:pt idx="160">
                  <c:v>47360</c:v>
                </c:pt>
                <c:pt idx="161">
                  <c:v>60570</c:v>
                </c:pt>
                <c:pt idx="162">
                  <c:v>104120</c:v>
                </c:pt>
                <c:pt idx="163">
                  <c:v>88050</c:v>
                </c:pt>
                <c:pt idx="164">
                  <c:v>100420</c:v>
                </c:pt>
                <c:pt idx="165">
                  <c:v>114180</c:v>
                </c:pt>
                <c:pt idx="166">
                  <c:v>33920</c:v>
                </c:pt>
                <c:pt idx="167">
                  <c:v>106460</c:v>
                </c:pt>
                <c:pt idx="168">
                  <c:v>40400</c:v>
                </c:pt>
                <c:pt idx="169">
                  <c:v>91650</c:v>
                </c:pt>
                <c:pt idx="170">
                  <c:v>36040</c:v>
                </c:pt>
                <c:pt idx="171">
                  <c:v>104410</c:v>
                </c:pt>
                <c:pt idx="172">
                  <c:v>96800</c:v>
                </c:pt>
                <c:pt idx="173">
                  <c:v>85000</c:v>
                </c:pt>
                <c:pt idx="174">
                  <c:v>43510</c:v>
                </c:pt>
                <c:pt idx="175">
                  <c:v>59430</c:v>
                </c:pt>
                <c:pt idx="176">
                  <c:v>65360</c:v>
                </c:pt>
                <c:pt idx="177">
                  <c:v>41570</c:v>
                </c:pt>
                <c:pt idx="178">
                  <c:v>75280</c:v>
                </c:pt>
                <c:pt idx="179">
                  <c:v>74550</c:v>
                </c:pt>
                <c:pt idx="180">
                  <c:v>67950</c:v>
                </c:pt>
                <c:pt idx="181">
                  <c:v>70270</c:v>
                </c:pt>
                <c:pt idx="182">
                  <c:v>53540</c:v>
                </c:pt>
              </c:numCache>
            </c:numRef>
          </c:xVal>
          <c:yVal>
            <c:numRef>
              <c:f>'All Staff'!$K$2:$K$184</c:f>
              <c:numCache>
                <c:formatCode>General</c:formatCode>
                <c:ptCount val="183"/>
                <c:pt idx="0">
                  <c:v>3</c:v>
                </c:pt>
                <c:pt idx="1">
                  <c:v>4</c:v>
                </c:pt>
                <c:pt idx="2">
                  <c:v>3</c:v>
                </c:pt>
                <c:pt idx="3">
                  <c:v>3</c:v>
                </c:pt>
                <c:pt idx="4">
                  <c:v>2</c:v>
                </c:pt>
                <c:pt idx="5">
                  <c:v>4</c:v>
                </c:pt>
                <c:pt idx="6">
                  <c:v>3</c:v>
                </c:pt>
                <c:pt idx="7">
                  <c:v>3</c:v>
                </c:pt>
                <c:pt idx="8">
                  <c:v>3</c:v>
                </c:pt>
                <c:pt idx="9">
                  <c:v>4</c:v>
                </c:pt>
                <c:pt idx="10">
                  <c:v>3</c:v>
                </c:pt>
                <c:pt idx="11">
                  <c:v>3</c:v>
                </c:pt>
                <c:pt idx="12">
                  <c:v>4</c:v>
                </c:pt>
                <c:pt idx="13">
                  <c:v>3</c:v>
                </c:pt>
                <c:pt idx="14">
                  <c:v>3</c:v>
                </c:pt>
                <c:pt idx="15">
                  <c:v>2</c:v>
                </c:pt>
                <c:pt idx="16">
                  <c:v>3</c:v>
                </c:pt>
                <c:pt idx="17">
                  <c:v>3</c:v>
                </c:pt>
                <c:pt idx="18">
                  <c:v>3</c:v>
                </c:pt>
                <c:pt idx="19">
                  <c:v>4</c:v>
                </c:pt>
                <c:pt idx="20">
                  <c:v>3</c:v>
                </c:pt>
                <c:pt idx="21">
                  <c:v>2</c:v>
                </c:pt>
                <c:pt idx="22">
                  <c:v>3</c:v>
                </c:pt>
                <c:pt idx="23">
                  <c:v>5</c:v>
                </c:pt>
                <c:pt idx="24">
                  <c:v>3</c:v>
                </c:pt>
                <c:pt idx="25">
                  <c:v>3</c:v>
                </c:pt>
                <c:pt idx="26">
                  <c:v>3</c:v>
                </c:pt>
                <c:pt idx="27">
                  <c:v>3</c:v>
                </c:pt>
                <c:pt idx="28">
                  <c:v>3</c:v>
                </c:pt>
                <c:pt idx="29">
                  <c:v>3</c:v>
                </c:pt>
                <c:pt idx="30">
                  <c:v>3</c:v>
                </c:pt>
                <c:pt idx="31">
                  <c:v>3</c:v>
                </c:pt>
                <c:pt idx="32">
                  <c:v>3</c:v>
                </c:pt>
                <c:pt idx="33">
                  <c:v>4</c:v>
                </c:pt>
                <c:pt idx="34">
                  <c:v>2</c:v>
                </c:pt>
                <c:pt idx="35">
                  <c:v>2</c:v>
                </c:pt>
                <c:pt idx="36">
                  <c:v>3</c:v>
                </c:pt>
                <c:pt idx="37">
                  <c:v>4</c:v>
                </c:pt>
                <c:pt idx="38">
                  <c:v>3</c:v>
                </c:pt>
                <c:pt idx="39">
                  <c:v>3</c:v>
                </c:pt>
                <c:pt idx="40">
                  <c:v>3</c:v>
                </c:pt>
                <c:pt idx="41">
                  <c:v>3</c:v>
                </c:pt>
                <c:pt idx="42">
                  <c:v>3</c:v>
                </c:pt>
                <c:pt idx="43">
                  <c:v>3</c:v>
                </c:pt>
                <c:pt idx="44">
                  <c:v>3</c:v>
                </c:pt>
                <c:pt idx="45">
                  <c:v>3</c:v>
                </c:pt>
                <c:pt idx="46">
                  <c:v>3</c:v>
                </c:pt>
                <c:pt idx="47">
                  <c:v>3</c:v>
                </c:pt>
                <c:pt idx="48">
                  <c:v>4</c:v>
                </c:pt>
                <c:pt idx="49">
                  <c:v>2</c:v>
                </c:pt>
                <c:pt idx="50">
                  <c:v>3</c:v>
                </c:pt>
                <c:pt idx="51">
                  <c:v>4</c:v>
                </c:pt>
                <c:pt idx="52">
                  <c:v>3</c:v>
                </c:pt>
                <c:pt idx="53">
                  <c:v>3</c:v>
                </c:pt>
                <c:pt idx="54">
                  <c:v>3</c:v>
                </c:pt>
                <c:pt idx="55">
                  <c:v>3</c:v>
                </c:pt>
                <c:pt idx="56">
                  <c:v>3</c:v>
                </c:pt>
                <c:pt idx="57">
                  <c:v>3</c:v>
                </c:pt>
                <c:pt idx="58">
                  <c:v>3</c:v>
                </c:pt>
                <c:pt idx="59">
                  <c:v>3</c:v>
                </c:pt>
                <c:pt idx="60">
                  <c:v>2</c:v>
                </c:pt>
                <c:pt idx="61">
                  <c:v>3</c:v>
                </c:pt>
                <c:pt idx="62">
                  <c:v>1</c:v>
                </c:pt>
                <c:pt idx="63">
                  <c:v>5</c:v>
                </c:pt>
                <c:pt idx="64">
                  <c:v>3</c:v>
                </c:pt>
                <c:pt idx="65">
                  <c:v>3</c:v>
                </c:pt>
                <c:pt idx="66">
                  <c:v>3</c:v>
                </c:pt>
                <c:pt idx="67">
                  <c:v>1</c:v>
                </c:pt>
                <c:pt idx="68">
                  <c:v>3</c:v>
                </c:pt>
                <c:pt idx="69">
                  <c:v>3</c:v>
                </c:pt>
                <c:pt idx="70">
                  <c:v>3</c:v>
                </c:pt>
                <c:pt idx="71">
                  <c:v>2</c:v>
                </c:pt>
                <c:pt idx="72">
                  <c:v>3</c:v>
                </c:pt>
                <c:pt idx="73">
                  <c:v>3</c:v>
                </c:pt>
                <c:pt idx="74">
                  <c:v>3</c:v>
                </c:pt>
                <c:pt idx="75">
                  <c:v>3</c:v>
                </c:pt>
                <c:pt idx="76">
                  <c:v>3</c:v>
                </c:pt>
                <c:pt idx="77">
                  <c:v>3</c:v>
                </c:pt>
                <c:pt idx="78">
                  <c:v>3</c:v>
                </c:pt>
                <c:pt idx="79">
                  <c:v>3</c:v>
                </c:pt>
                <c:pt idx="80">
                  <c:v>3</c:v>
                </c:pt>
                <c:pt idx="81">
                  <c:v>3</c:v>
                </c:pt>
                <c:pt idx="82">
                  <c:v>3</c:v>
                </c:pt>
                <c:pt idx="83">
                  <c:v>3</c:v>
                </c:pt>
                <c:pt idx="84">
                  <c:v>1</c:v>
                </c:pt>
                <c:pt idx="85">
                  <c:v>3</c:v>
                </c:pt>
                <c:pt idx="86">
                  <c:v>3</c:v>
                </c:pt>
                <c:pt idx="87">
                  <c:v>3</c:v>
                </c:pt>
                <c:pt idx="88">
                  <c:v>3</c:v>
                </c:pt>
                <c:pt idx="89">
                  <c:v>3</c:v>
                </c:pt>
                <c:pt idx="90">
                  <c:v>4</c:v>
                </c:pt>
                <c:pt idx="91">
                  <c:v>3</c:v>
                </c:pt>
                <c:pt idx="92">
                  <c:v>4</c:v>
                </c:pt>
                <c:pt idx="93">
                  <c:v>3</c:v>
                </c:pt>
                <c:pt idx="94">
                  <c:v>3</c:v>
                </c:pt>
                <c:pt idx="95">
                  <c:v>2</c:v>
                </c:pt>
                <c:pt idx="96">
                  <c:v>3</c:v>
                </c:pt>
                <c:pt idx="97">
                  <c:v>3</c:v>
                </c:pt>
                <c:pt idx="98">
                  <c:v>4</c:v>
                </c:pt>
                <c:pt idx="99">
                  <c:v>3</c:v>
                </c:pt>
                <c:pt idx="100">
                  <c:v>3</c:v>
                </c:pt>
                <c:pt idx="101">
                  <c:v>3</c:v>
                </c:pt>
                <c:pt idx="102">
                  <c:v>2</c:v>
                </c:pt>
                <c:pt idx="103">
                  <c:v>3</c:v>
                </c:pt>
                <c:pt idx="104">
                  <c:v>3</c:v>
                </c:pt>
                <c:pt idx="105">
                  <c:v>3</c:v>
                </c:pt>
                <c:pt idx="106">
                  <c:v>4</c:v>
                </c:pt>
                <c:pt idx="107">
                  <c:v>3</c:v>
                </c:pt>
                <c:pt idx="108">
                  <c:v>3</c:v>
                </c:pt>
                <c:pt idx="109">
                  <c:v>3</c:v>
                </c:pt>
                <c:pt idx="110">
                  <c:v>3</c:v>
                </c:pt>
                <c:pt idx="111">
                  <c:v>3</c:v>
                </c:pt>
                <c:pt idx="112">
                  <c:v>3</c:v>
                </c:pt>
                <c:pt idx="113">
                  <c:v>2</c:v>
                </c:pt>
                <c:pt idx="114">
                  <c:v>3</c:v>
                </c:pt>
                <c:pt idx="115">
                  <c:v>3</c:v>
                </c:pt>
                <c:pt idx="116">
                  <c:v>3</c:v>
                </c:pt>
                <c:pt idx="117">
                  <c:v>5</c:v>
                </c:pt>
                <c:pt idx="118">
                  <c:v>3</c:v>
                </c:pt>
                <c:pt idx="119">
                  <c:v>3</c:v>
                </c:pt>
                <c:pt idx="120">
                  <c:v>3</c:v>
                </c:pt>
                <c:pt idx="121">
                  <c:v>3</c:v>
                </c:pt>
                <c:pt idx="122">
                  <c:v>1</c:v>
                </c:pt>
                <c:pt idx="123">
                  <c:v>3</c:v>
                </c:pt>
                <c:pt idx="124">
                  <c:v>3</c:v>
                </c:pt>
                <c:pt idx="125">
                  <c:v>4</c:v>
                </c:pt>
                <c:pt idx="126">
                  <c:v>2</c:v>
                </c:pt>
                <c:pt idx="127">
                  <c:v>3</c:v>
                </c:pt>
                <c:pt idx="128">
                  <c:v>3</c:v>
                </c:pt>
                <c:pt idx="129">
                  <c:v>3</c:v>
                </c:pt>
                <c:pt idx="130">
                  <c:v>3</c:v>
                </c:pt>
                <c:pt idx="131">
                  <c:v>2</c:v>
                </c:pt>
                <c:pt idx="132">
                  <c:v>3</c:v>
                </c:pt>
                <c:pt idx="133">
                  <c:v>3</c:v>
                </c:pt>
                <c:pt idx="134">
                  <c:v>3</c:v>
                </c:pt>
                <c:pt idx="135">
                  <c:v>3</c:v>
                </c:pt>
                <c:pt idx="136">
                  <c:v>3</c:v>
                </c:pt>
                <c:pt idx="137">
                  <c:v>3</c:v>
                </c:pt>
                <c:pt idx="138">
                  <c:v>2</c:v>
                </c:pt>
                <c:pt idx="139">
                  <c:v>4</c:v>
                </c:pt>
                <c:pt idx="140">
                  <c:v>3</c:v>
                </c:pt>
                <c:pt idx="141">
                  <c:v>3</c:v>
                </c:pt>
                <c:pt idx="142">
                  <c:v>4</c:v>
                </c:pt>
                <c:pt idx="143">
                  <c:v>3</c:v>
                </c:pt>
                <c:pt idx="144">
                  <c:v>3</c:v>
                </c:pt>
                <c:pt idx="145">
                  <c:v>3</c:v>
                </c:pt>
                <c:pt idx="146">
                  <c:v>3</c:v>
                </c:pt>
                <c:pt idx="147">
                  <c:v>5</c:v>
                </c:pt>
                <c:pt idx="148">
                  <c:v>1</c:v>
                </c:pt>
                <c:pt idx="149">
                  <c:v>3</c:v>
                </c:pt>
                <c:pt idx="150">
                  <c:v>3</c:v>
                </c:pt>
                <c:pt idx="151">
                  <c:v>4</c:v>
                </c:pt>
                <c:pt idx="152">
                  <c:v>3</c:v>
                </c:pt>
                <c:pt idx="153">
                  <c:v>3</c:v>
                </c:pt>
                <c:pt idx="154">
                  <c:v>3</c:v>
                </c:pt>
                <c:pt idx="155">
                  <c:v>3</c:v>
                </c:pt>
                <c:pt idx="156">
                  <c:v>4</c:v>
                </c:pt>
                <c:pt idx="157">
                  <c:v>4</c:v>
                </c:pt>
                <c:pt idx="158">
                  <c:v>3</c:v>
                </c:pt>
                <c:pt idx="159">
                  <c:v>3</c:v>
                </c:pt>
                <c:pt idx="160">
                  <c:v>3</c:v>
                </c:pt>
                <c:pt idx="161">
                  <c:v>3</c:v>
                </c:pt>
                <c:pt idx="162">
                  <c:v>3</c:v>
                </c:pt>
                <c:pt idx="163">
                  <c:v>2</c:v>
                </c:pt>
                <c:pt idx="164">
                  <c:v>3</c:v>
                </c:pt>
                <c:pt idx="165">
                  <c:v>3</c:v>
                </c:pt>
                <c:pt idx="166">
                  <c:v>3</c:v>
                </c:pt>
                <c:pt idx="167">
                  <c:v>3</c:v>
                </c:pt>
                <c:pt idx="168">
                  <c:v>3</c:v>
                </c:pt>
                <c:pt idx="169">
                  <c:v>4</c:v>
                </c:pt>
                <c:pt idx="170">
                  <c:v>3</c:v>
                </c:pt>
                <c:pt idx="171">
                  <c:v>3</c:v>
                </c:pt>
                <c:pt idx="172">
                  <c:v>3</c:v>
                </c:pt>
                <c:pt idx="173">
                  <c:v>3</c:v>
                </c:pt>
                <c:pt idx="174">
                  <c:v>1</c:v>
                </c:pt>
                <c:pt idx="175">
                  <c:v>3</c:v>
                </c:pt>
                <c:pt idx="176">
                  <c:v>3</c:v>
                </c:pt>
                <c:pt idx="177">
                  <c:v>3</c:v>
                </c:pt>
                <c:pt idx="178">
                  <c:v>3</c:v>
                </c:pt>
                <c:pt idx="179">
                  <c:v>3</c:v>
                </c:pt>
                <c:pt idx="180">
                  <c:v>3</c:v>
                </c:pt>
                <c:pt idx="181">
                  <c:v>2</c:v>
                </c:pt>
                <c:pt idx="182">
                  <c:v>3</c:v>
                </c:pt>
              </c:numCache>
            </c:numRef>
          </c:yVal>
          <c:smooth val="0"/>
          <c:extLst>
            <c:ext xmlns:c16="http://schemas.microsoft.com/office/drawing/2014/chart" uri="{C3380CC4-5D6E-409C-BE32-E72D297353CC}">
              <c16:uniqueId val="{00000000-AABC-4C02-96C8-D563843883D5}"/>
            </c:ext>
          </c:extLst>
        </c:ser>
        <c:dLbls>
          <c:showLegendKey val="0"/>
          <c:showVal val="0"/>
          <c:showCatName val="0"/>
          <c:showSerName val="0"/>
          <c:showPercent val="0"/>
          <c:showBubbleSize val="0"/>
        </c:dLbls>
        <c:axId val="706115296"/>
        <c:axId val="808817504"/>
      </c:scatterChart>
      <c:valAx>
        <c:axId val="706115296"/>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817504"/>
        <c:crosses val="autoZero"/>
        <c:crossBetween val="midCat"/>
      </c:valAx>
      <c:valAx>
        <c:axId val="80881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115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0A5E67E0-42DF-4BA0-A78E-C71DA6AF2281}">
          <cx:tx>
            <cx:txData>
              <cx:f>_xlchart.v1.0</cx:f>
              <cx:v> Salary </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0D1BC965-F2A9-4D71-A869-C58D9D00ED7D}">
          <cx:tx>
            <cx:txData>
              <cx:f>_xlchart.v1.2</cx:f>
              <cx:v> Salary </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0</xdr:colOff>
      <xdr:row>8</xdr:row>
      <xdr:rowOff>0</xdr:rowOff>
    </xdr:from>
    <xdr:to>
      <xdr:col>14</xdr:col>
      <xdr:colOff>0</xdr:colOff>
      <xdr:row>23</xdr:row>
      <xdr:rowOff>7620</xdr:rowOff>
    </xdr:to>
    <xdr:graphicFrame macro="">
      <xdr:nvGraphicFramePr>
        <xdr:cNvPr id="2" name="Chart 1">
          <a:extLst>
            <a:ext uri="{FF2B5EF4-FFF2-40B4-BE49-F238E27FC236}">
              <a16:creationId xmlns:a16="http://schemas.microsoft.com/office/drawing/2014/main" id="{F4D2B274-6925-4662-B935-AE25D3BA28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8</xdr:row>
      <xdr:rowOff>7620</xdr:rowOff>
    </xdr:from>
    <xdr:to>
      <xdr:col>6</xdr:col>
      <xdr:colOff>1051560</xdr:colOff>
      <xdr:row>23</xdr:row>
      <xdr:rowOff>0</xdr:rowOff>
    </xdr:to>
    <xdr:graphicFrame macro="">
      <xdr:nvGraphicFramePr>
        <xdr:cNvPr id="3" name="Chart 2">
          <a:extLst>
            <a:ext uri="{FF2B5EF4-FFF2-40B4-BE49-F238E27FC236}">
              <a16:creationId xmlns:a16="http://schemas.microsoft.com/office/drawing/2014/main" id="{53CDD92C-49F2-415A-89CC-223D132FC2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80010</xdr:colOff>
      <xdr:row>1</xdr:row>
      <xdr:rowOff>156210</xdr:rowOff>
    </xdr:from>
    <xdr:to>
      <xdr:col>13</xdr:col>
      <xdr:colOff>525780</xdr:colOff>
      <xdr:row>21</xdr:row>
      <xdr:rowOff>0</xdr:rowOff>
    </xdr:to>
    <xdr:graphicFrame macro="">
      <xdr:nvGraphicFramePr>
        <xdr:cNvPr id="4" name="Chart 3">
          <a:extLst>
            <a:ext uri="{FF2B5EF4-FFF2-40B4-BE49-F238E27FC236}">
              <a16:creationId xmlns:a16="http://schemas.microsoft.com/office/drawing/2014/main" id="{8FEB575C-2D37-8165-CC62-EA02B152D3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579120</xdr:colOff>
      <xdr:row>2</xdr:row>
      <xdr:rowOff>22861</xdr:rowOff>
    </xdr:from>
    <xdr:to>
      <xdr:col>5</xdr:col>
      <xdr:colOff>845820</xdr:colOff>
      <xdr:row>7</xdr:row>
      <xdr:rowOff>99061</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30CA12E5-2BEC-9C1F-0551-4A73C01C6DE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253740" y="388621"/>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601980</xdr:colOff>
      <xdr:row>2</xdr:row>
      <xdr:rowOff>0</xdr:rowOff>
    </xdr:from>
    <xdr:to>
      <xdr:col>10</xdr:col>
      <xdr:colOff>259080</xdr:colOff>
      <xdr:row>20</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8FB1058-F59E-4E14-BFFC-F1867CC556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1980" y="365760"/>
              <a:ext cx="5753100" cy="34061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0</xdr:colOff>
      <xdr:row>2</xdr:row>
      <xdr:rowOff>0</xdr:rowOff>
    </xdr:from>
    <xdr:to>
      <xdr:col>18</xdr:col>
      <xdr:colOff>38100</xdr:colOff>
      <xdr:row>27</xdr:row>
      <xdr:rowOff>137160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E185F49-D753-4C31-8D53-348FE7A4FC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705600" y="365760"/>
              <a:ext cx="4305300" cy="47091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15240</xdr:rowOff>
    </xdr:from>
    <xdr:to>
      <xdr:col>14</xdr:col>
      <xdr:colOff>601980</xdr:colOff>
      <xdr:row>22</xdr:row>
      <xdr:rowOff>22860</xdr:rowOff>
    </xdr:to>
    <xdr:graphicFrame macro="">
      <xdr:nvGraphicFramePr>
        <xdr:cNvPr id="2" name="Chart 1">
          <a:extLst>
            <a:ext uri="{FF2B5EF4-FFF2-40B4-BE49-F238E27FC236}">
              <a16:creationId xmlns:a16="http://schemas.microsoft.com/office/drawing/2014/main" id="{DC995E61-6928-45EE-A5DE-4BA4204E0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hn Boucha" refreshedDate="45159.770094791667" backgroundQuery="1" createdVersion="8" refreshedVersion="8" minRefreshableVersion="3" recordCount="0" supportSubquery="1" supportAdvancedDrill="1" xr:uid="{01DF73F3-55C9-4A5B-A39A-B74317689CF8}">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hn Boucha" refreshedDate="45159.770098263885" backgroundQuery="1" createdVersion="8" refreshedVersion="8" minRefreshableVersion="3" recordCount="0" supportSubquery="1" supportAdvancedDrill="1" xr:uid="{736CF136-C0EA-467F-A877-8998755015A6}">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hn Boucha" refreshedDate="45159.772209953706" backgroundQuery="1" createdVersion="8" refreshedVersion="8" minRefreshableVersion="3" recordCount="0" supportSubquery="1" supportAdvancedDrill="1" xr:uid="{9B99DAE8-253E-436E-8200-35835B0408E5}">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hn Boucha" refreshedDate="45159.788739004631" backgroundQuery="1" createdVersion="8" refreshedVersion="8" minRefreshableVersion="3" recordCount="0" supportSubquery="1" supportAdvancedDrill="1" xr:uid="{00039F0C-F0E8-45FB-B6FE-71BDA460083C}">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hn Boucha" refreshedDate="45159.788773148146" backgroundQuery="1" createdVersion="8" refreshedVersion="8" minRefreshableVersion="3" recordCount="0" supportSubquery="1" supportAdvancedDrill="1" xr:uid="{644308EB-FE3F-4E47-98AC-29714FBD04FB}">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hn Boucha" refreshedDate="45159.770095370368" backgroundQuery="1" createdVersion="3" refreshedVersion="8" minRefreshableVersion="3" recordCount="0" supportSubquery="1" supportAdvancedDrill="1" xr:uid="{AE68D9DC-5AA8-477C-BB13-3102B3852953}">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82590255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4D8468-8645-4370-A9C1-B00047FC9552}" name="PivotTable6" cacheId="2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3:F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1">
    <chartFormat chart="4"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D774BB-019F-4912-9F7A-40B9CAD5E26C}" name="PivotTable5" cacheId="2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3:C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A46628-BF72-49D6-9F5B-B90391050575}" name="PivotTable4" cacheId="1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B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80DEA2-7402-4914-9D6F-B51EDFAE094C}" name="PivotTable1" cacheId="122"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8"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70"/>
    <dataField name="Average of Salary" fld="3" subtotal="average" baseField="0" baseItem="0" numFmtId="174"/>
    <dataField name="Average of Tenure" fld="4" subtotal="average" baseField="0" baseItem="0" numFmtId="170"/>
  </dataField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 Analyze, and Present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E18A37-303A-40CF-9C1C-CEDC0033EB8E}" name="PivotTable2"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7"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5"/>
  </dataFields>
  <formats count="2">
    <format dxfId="3">
      <pivotArea outline="0" collapsedLevelsAreSubtotals="1" fieldPosition="0">
        <references count="1">
          <reference field="4294967294" count="1" selected="0">
            <x v="1"/>
          </reference>
        </references>
      </pivotArea>
    </format>
    <format dxfId="2">
      <pivotArea outline="0" fieldPosition="0">
        <references count="1">
          <reference field="4294967294" count="1">
            <x v="1"/>
          </reference>
        </references>
      </pivotArea>
    </format>
  </formats>
  <conditionalFormats count="1">
    <conditionalFormat scope="data" priority="1">
      <pivotAreas count="1">
        <pivotArea outline="0" fieldPosition="0">
          <references count="1">
            <reference field="4294967294" count="1" selected="0">
              <x v="1"/>
            </reference>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3349779B-FC77-4E88-BD30-0454A8D36912}"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A04154B-6CD3-4359-8E9F-5C56556BD87A}" sourceName="[Staff].[Country]">
  <pivotTables>
    <pivotTable tabId="5" name="PivotTable1"/>
  </pivotTables>
  <data>
    <olap pivotCacheId="825902559">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422863C-8D56-40ED-B933-5788F4E686C6}" cache="Slicer_Country" caption="Country"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760C0C-2981-4751-A22A-BBD434BE3A97}" name="Staff" displayName="Staff" ref="A1:K184" tableType="queryTable" totalsRowShown="0">
  <autoFilter ref="A1:K184" xr:uid="{F7760C0C-2981-4751-A22A-BBD434BE3A97}"/>
  <tableColumns count="11">
    <tableColumn id="1" xr3:uid="{80AA0612-AC98-44DF-94F3-D5E3551A062C}" uniqueName="1" name="Name" queryTableFieldId="1" dataDxfId="10"/>
    <tableColumn id="2" xr3:uid="{61332360-2D21-4C41-9305-F7586A7378F9}" uniqueName="2" name="Gender" queryTableFieldId="2" dataDxfId="9"/>
    <tableColumn id="3" xr3:uid="{A7291251-B01F-4874-A6EC-DA9CCE05E8E6}" uniqueName="3" name="Age" queryTableFieldId="3"/>
    <tableColumn id="4" xr3:uid="{151BD8A9-6193-4E7B-940D-0439B7187696}" uniqueName="4" name="Rating" queryTableFieldId="4"/>
    <tableColumn id="5" xr3:uid="{6FC52048-29EA-4A2B-B41F-86C9B822328C}" uniqueName="5" name="Date Joined" queryTableFieldId="5" dataDxfId="8"/>
    <tableColumn id="6" xr3:uid="{17C4A2F4-CB5B-403F-A851-4428F5F0D838}" uniqueName="6" name="Department" queryTableFieldId="6" dataDxfId="7"/>
    <tableColumn id="7" xr3:uid="{E88BC964-99CF-47ED-8673-8DC16DB34145}" uniqueName="7" name="Salary" queryTableFieldId="7" dataDxfId="6" dataCellStyle="Currency"/>
    <tableColumn id="8" xr3:uid="{331B817B-D2B6-4FD2-90A0-190F18C8DB74}" uniqueName="8" name="Country" queryTableFieldId="8"/>
    <tableColumn id="9" xr3:uid="{91CCB87C-9BB5-413B-A504-318D58C75BBD}" uniqueName="9" name="Tenure" queryTableFieldId="9" dataDxfId="5">
      <calculatedColumnFormula>(TODAY()-Staff[[#This Row],[Date Joined]])/365</calculatedColumnFormula>
    </tableColumn>
    <tableColumn id="10" xr3:uid="{BE6B8AE0-9308-4C17-A915-9B03250D5EFF}" uniqueName="10" name="Bonus" queryTableFieldId="10" dataDxfId="4" dataCellStyle="Currency">
      <calculatedColumnFormula>ROUNDUP(IF(Staff[[#This Row],[Tenure]]&gt;2,Staff[[#This Row],[Salary]]*0.03,Staff[[#This Row],[Salary]]*0.02),0)</calculatedColumnFormula>
    </tableColumn>
    <tableColumn id="11" xr3:uid="{8066B81E-10D4-4C09-9B15-714C8C25BDF6}" uniqueName="11" name="Rating as #" queryTableFieldId="11" dataDxfId="1">
      <calculatedColumnFormula>_xlfn.XLOOKUP(Staff[[#This Row],[Rating]],Rating!$B$2:$B$6,Rating!$C$2:$C$6)</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2A9787-F9A4-4E6F-9EDA-E2607C4093F6}" name="nz_staff" displayName="nz_staff" ref="C5:I106" totalsRowCount="1">
  <autoFilter ref="C5:I105" xr:uid="{A12A9787-F9A4-4E6F-9EDA-E2607C4093F6}"/>
  <tableColumns count="7">
    <tableColumn id="1" xr3:uid="{39D2063F-ED9B-455C-9FEB-A93D2713C14B}" name="Name" totalsRowLabel="Total"/>
    <tableColumn id="2" xr3:uid="{F837B56E-90D8-472D-BEC4-09042D9C6004}" name="Gender"/>
    <tableColumn id="3" xr3:uid="{51F8C03C-3C6F-44CA-9956-4B37C0C5183A}" name="Department"/>
    <tableColumn id="4" xr3:uid="{10DF2F77-0639-47E2-8827-81B9B385A4A0}" name="Age" totalsRowFunction="average"/>
    <tableColumn id="5" xr3:uid="{57404D5A-5DB0-46C5-97C6-50D444F954B1}" name="Date Joined"/>
    <tableColumn id="6" xr3:uid="{DED29AA8-DC4B-4655-8542-2F6CE699007B}" name="Salary" totalsRowFunction="average" dataDxfId="12" totalsRowDxfId="11" dataCellStyle="Currency" totalsRowCellStyle="Currency"/>
    <tableColumn id="7" xr3:uid="{CCE4FEA8-B90F-475D-BE99-BF6ED06972E3}" name="Rating" totalsRowFunction="cou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F55840-56D4-45F3-B943-EA6BAB34FF4C}" name="india_staff" displayName="india_staff" ref="B2:H114" totalsRowShown="0">
  <autoFilter ref="B2:H114" xr:uid="{85F55840-56D4-45F3-B943-EA6BAB34FF4C}"/>
  <tableColumns count="7">
    <tableColumn id="1" xr3:uid="{356C7566-F2E5-4DAF-8BF5-C2580F5A895E}" name="Name"/>
    <tableColumn id="2" xr3:uid="{46DA17B8-BF70-4314-BF5E-B8584830A377}" name="Gender"/>
    <tableColumn id="3" xr3:uid="{B8C78FA1-3472-4E1B-A66F-3E614EC25C0D}" name="Age"/>
    <tableColumn id="4" xr3:uid="{9FEE2810-133B-462A-87B1-E4590F94D3E5}" name="Rating"/>
    <tableColumn id="5" xr3:uid="{2FD1ED25-A9FF-45B5-BD50-30D7920354B4}" name="Date Joined" dataDxfId="13"/>
    <tableColumn id="6" xr3:uid="{78299F48-AFF5-4B10-914B-B2180C509764}" name="Department"/>
    <tableColumn id="7" xr3:uid="{AFEA7BB2-2F6C-44C3-8B2E-DE45FE6120B1}" name="Salary"/>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44C4E-DAB5-4DFF-884E-884A1E6230B9}">
  <sheetPr>
    <tabColor theme="7" tint="0.79998168889431442"/>
  </sheetPr>
  <dimension ref="A1:O184"/>
  <sheetViews>
    <sheetView workbookViewId="0">
      <selection activeCell="F11" sqref="F11"/>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bestFit="1" customWidth="1"/>
    <col min="6" max="6" width="13.33203125" bestFit="1" customWidth="1"/>
    <col min="7" max="7" width="12.109375" style="6" bestFit="1" customWidth="1"/>
    <col min="8" max="8" width="10" bestFit="1" customWidth="1"/>
    <col min="9" max="9" width="10.5546875" style="9" bestFit="1" customWidth="1"/>
    <col min="10" max="10" width="10.109375" style="6" bestFit="1" customWidth="1"/>
    <col min="13" max="13" width="17.5546875" bestFit="1" customWidth="1"/>
    <col min="14" max="14" width="11.5546875" bestFit="1" customWidth="1"/>
    <col min="15" max="15" width="11.109375" bestFit="1" customWidth="1"/>
  </cols>
  <sheetData>
    <row r="1" spans="1:15" x14ac:dyDescent="0.3">
      <c r="A1" t="s">
        <v>0</v>
      </c>
      <c r="B1" t="s">
        <v>1</v>
      </c>
      <c r="C1" t="s">
        <v>3</v>
      </c>
      <c r="D1" t="s">
        <v>6</v>
      </c>
      <c r="E1" t="s">
        <v>4</v>
      </c>
      <c r="F1" t="s">
        <v>2</v>
      </c>
      <c r="G1" s="6" t="s">
        <v>5</v>
      </c>
      <c r="H1" t="s">
        <v>204</v>
      </c>
      <c r="I1" s="9" t="s">
        <v>213</v>
      </c>
      <c r="J1" s="6" t="s">
        <v>232</v>
      </c>
      <c r="K1" t="s">
        <v>233</v>
      </c>
      <c r="M1" s="17" t="s">
        <v>216</v>
      </c>
      <c r="N1" s="17"/>
      <c r="O1" s="18"/>
    </row>
    <row r="2" spans="1:15" x14ac:dyDescent="0.3">
      <c r="A2" s="7" t="s">
        <v>156</v>
      </c>
      <c r="B2" s="7" t="s">
        <v>15</v>
      </c>
      <c r="C2">
        <v>20</v>
      </c>
      <c r="D2" t="s">
        <v>16</v>
      </c>
      <c r="E2" s="8">
        <v>44122</v>
      </c>
      <c r="F2" s="7" t="s">
        <v>12</v>
      </c>
      <c r="G2" s="6">
        <v>112650</v>
      </c>
      <c r="H2" t="s">
        <v>205</v>
      </c>
      <c r="I2" s="9">
        <f ca="1">(TODAY()-Staff[[#This Row],[Date Joined]])/365</f>
        <v>2.8410958904109589</v>
      </c>
      <c r="J2" s="6">
        <f ca="1">ROUNDUP(IF(Staff[[#This Row],[Tenure]]&gt;2,Staff[[#This Row],[Salary]]*0.03,Staff[[#This Row],[Salary]]*0.02),0)</f>
        <v>3380</v>
      </c>
      <c r="K2">
        <f>_xlfn.XLOOKUP(Staff[[#This Row],[Rating]],Rating!$B$2:$B$6,Rating!$C$2:$C$6)</f>
        <v>3</v>
      </c>
      <c r="M2" t="s">
        <v>208</v>
      </c>
      <c r="N2">
        <f>COUNTA(Staff[Name])</f>
        <v>183</v>
      </c>
    </row>
    <row r="3" spans="1:15" x14ac:dyDescent="0.3">
      <c r="A3" s="7" t="s">
        <v>176</v>
      </c>
      <c r="B3" s="7" t="s">
        <v>8</v>
      </c>
      <c r="C3">
        <v>32</v>
      </c>
      <c r="D3" t="s">
        <v>13</v>
      </c>
      <c r="E3" s="8">
        <v>44293</v>
      </c>
      <c r="F3" s="7" t="s">
        <v>12</v>
      </c>
      <c r="G3" s="6">
        <v>43840</v>
      </c>
      <c r="H3" t="s">
        <v>205</v>
      </c>
      <c r="I3" s="9">
        <f ca="1">(TODAY()-Staff[[#This Row],[Date Joined]])/365</f>
        <v>2.3726027397260272</v>
      </c>
      <c r="J3" s="6">
        <f ca="1">ROUNDUP(IF(Staff[[#This Row],[Tenure]]&gt;2,Staff[[#This Row],[Salary]]*0.03,Staff[[#This Row],[Salary]]*0.02),0)</f>
        <v>1316</v>
      </c>
      <c r="K3">
        <f>_xlfn.XLOOKUP(Staff[[#This Row],[Rating]],Rating!$B$2:$B$6,Rating!$C$2:$C$6)</f>
        <v>4</v>
      </c>
      <c r="M3" t="s">
        <v>209</v>
      </c>
      <c r="N3" s="6">
        <f>AVERAGE(Staff[Salary])</f>
        <v>77173.715846994543</v>
      </c>
    </row>
    <row r="4" spans="1:15" x14ac:dyDescent="0.3">
      <c r="A4" s="7" t="s">
        <v>143</v>
      </c>
      <c r="B4" s="7" t="s">
        <v>15</v>
      </c>
      <c r="C4">
        <v>31</v>
      </c>
      <c r="D4" t="s">
        <v>16</v>
      </c>
      <c r="E4" s="8">
        <v>44663</v>
      </c>
      <c r="F4" s="7" t="s">
        <v>9</v>
      </c>
      <c r="G4" s="6">
        <v>103550</v>
      </c>
      <c r="H4" t="s">
        <v>205</v>
      </c>
      <c r="I4" s="9">
        <f ca="1">(TODAY()-Staff[[#This Row],[Date Joined]])/365</f>
        <v>1.3589041095890411</v>
      </c>
      <c r="J4" s="6">
        <f ca="1">ROUNDUP(IF(Staff[[#This Row],[Tenure]]&gt;2,Staff[[#This Row],[Salary]]*0.03,Staff[[#This Row],[Salary]]*0.02),0)</f>
        <v>2071</v>
      </c>
      <c r="K4">
        <f>_xlfn.XLOOKUP(Staff[[#This Row],[Rating]],Rating!$B$2:$B$6,Rating!$C$2:$C$6)</f>
        <v>3</v>
      </c>
      <c r="M4" t="s">
        <v>210</v>
      </c>
      <c r="N4" s="11">
        <f>AVERAGE(C:C)</f>
        <v>30.42622950819672</v>
      </c>
    </row>
    <row r="5" spans="1:15" x14ac:dyDescent="0.3">
      <c r="A5" s="7" t="s">
        <v>201</v>
      </c>
      <c r="B5" s="7" t="s">
        <v>8</v>
      </c>
      <c r="C5">
        <v>32</v>
      </c>
      <c r="D5" t="s">
        <v>16</v>
      </c>
      <c r="E5" s="8">
        <v>44339</v>
      </c>
      <c r="F5" s="7" t="s">
        <v>56</v>
      </c>
      <c r="G5" s="6">
        <v>45510</v>
      </c>
      <c r="H5" t="s">
        <v>205</v>
      </c>
      <c r="I5" s="9">
        <f ca="1">(TODAY()-Staff[[#This Row],[Date Joined]])/365</f>
        <v>2.2465753424657535</v>
      </c>
      <c r="J5" s="6">
        <f ca="1">ROUNDUP(IF(Staff[[#This Row],[Tenure]]&gt;2,Staff[[#This Row],[Salary]]*0.03,Staff[[#This Row],[Salary]]*0.02),0)</f>
        <v>1366</v>
      </c>
      <c r="K5">
        <f>_xlfn.XLOOKUP(Staff[[#This Row],[Rating]],Rating!$B$2:$B$6,Rating!$C$2:$C$6)</f>
        <v>3</v>
      </c>
      <c r="M5" t="s">
        <v>211</v>
      </c>
      <c r="N5" s="9">
        <f ca="1">AVERAGE(I:I)</f>
        <v>1.9889512688075457</v>
      </c>
    </row>
    <row r="6" spans="1:15" x14ac:dyDescent="0.3">
      <c r="A6" s="7" t="s">
        <v>142</v>
      </c>
      <c r="B6" s="7" t="s">
        <v>206</v>
      </c>
      <c r="C6">
        <v>37</v>
      </c>
      <c r="D6" t="s">
        <v>24</v>
      </c>
      <c r="E6" s="8">
        <v>44085</v>
      </c>
      <c r="F6" s="7" t="s">
        <v>21</v>
      </c>
      <c r="G6" s="6">
        <v>115440</v>
      </c>
      <c r="H6" t="s">
        <v>205</v>
      </c>
      <c r="I6" s="9">
        <f ca="1">(TODAY()-Staff[[#This Row],[Date Joined]])/365</f>
        <v>2.9424657534246577</v>
      </c>
      <c r="J6" s="6">
        <f ca="1">ROUNDUP(IF(Staff[[#This Row],[Tenure]]&gt;2,Staff[[#This Row],[Salary]]*0.03,Staff[[#This Row],[Salary]]*0.02),0)</f>
        <v>3464</v>
      </c>
      <c r="K6">
        <f>_xlfn.XLOOKUP(Staff[[#This Row],[Rating]],Rating!$B$2:$B$6,Rating!$C$2:$C$6)</f>
        <v>2</v>
      </c>
      <c r="M6" t="s">
        <v>212</v>
      </c>
      <c r="N6" s="12">
        <f>N7/N2</f>
        <v>0.46994535519125685</v>
      </c>
    </row>
    <row r="7" spans="1:15" x14ac:dyDescent="0.3">
      <c r="A7" s="7" t="s">
        <v>202</v>
      </c>
      <c r="B7" s="7" t="s">
        <v>8</v>
      </c>
      <c r="C7">
        <v>38</v>
      </c>
      <c r="D7" t="s">
        <v>13</v>
      </c>
      <c r="E7" s="8">
        <v>44268</v>
      </c>
      <c r="F7" s="7" t="s">
        <v>19</v>
      </c>
      <c r="G7" s="6">
        <v>56870</v>
      </c>
      <c r="H7" t="s">
        <v>205</v>
      </c>
      <c r="I7" s="9">
        <f ca="1">(TODAY()-Staff[[#This Row],[Date Joined]])/365</f>
        <v>2.441095890410959</v>
      </c>
      <c r="J7" s="6">
        <f ca="1">ROUNDUP(IF(Staff[[#This Row],[Tenure]]&gt;2,Staff[[#This Row],[Salary]]*0.03,Staff[[#This Row],[Salary]]*0.02),0)</f>
        <v>1707</v>
      </c>
      <c r="K7">
        <f>_xlfn.XLOOKUP(Staff[[#This Row],[Rating]],Rating!$B$2:$B$6,Rating!$C$2:$C$6)</f>
        <v>4</v>
      </c>
      <c r="M7" t="s">
        <v>214</v>
      </c>
      <c r="N7">
        <f>COUNTIFS(B:B,"Female")</f>
        <v>86</v>
      </c>
    </row>
    <row r="8" spans="1:15" x14ac:dyDescent="0.3">
      <c r="A8" s="7" t="s">
        <v>169</v>
      </c>
      <c r="B8" s="7" t="s">
        <v>8</v>
      </c>
      <c r="C8">
        <v>25</v>
      </c>
      <c r="D8" t="s">
        <v>16</v>
      </c>
      <c r="E8" s="8">
        <v>44144</v>
      </c>
      <c r="F8" s="7" t="s">
        <v>19</v>
      </c>
      <c r="G8" s="6">
        <v>92700</v>
      </c>
      <c r="H8" t="s">
        <v>205</v>
      </c>
      <c r="I8" s="9">
        <f ca="1">(TODAY()-Staff[[#This Row],[Date Joined]])/365</f>
        <v>2.7808219178082192</v>
      </c>
      <c r="J8" s="6">
        <f ca="1">ROUNDUP(IF(Staff[[#This Row],[Tenure]]&gt;2,Staff[[#This Row],[Salary]]*0.03,Staff[[#This Row],[Salary]]*0.02),0)</f>
        <v>2781</v>
      </c>
      <c r="K8">
        <f>_xlfn.XLOOKUP(Staff[[#This Row],[Rating]],Rating!$B$2:$B$6,Rating!$C$2:$C$6)</f>
        <v>3</v>
      </c>
    </row>
    <row r="9" spans="1:15" x14ac:dyDescent="0.3">
      <c r="A9" s="7" t="s">
        <v>145</v>
      </c>
      <c r="B9" s="7" t="s">
        <v>206</v>
      </c>
      <c r="C9">
        <v>32</v>
      </c>
      <c r="D9" t="s">
        <v>16</v>
      </c>
      <c r="E9" s="8">
        <v>44713</v>
      </c>
      <c r="F9" s="7" t="s">
        <v>12</v>
      </c>
      <c r="G9" s="6">
        <v>91310</v>
      </c>
      <c r="H9" t="s">
        <v>205</v>
      </c>
      <c r="I9" s="9">
        <f ca="1">(TODAY()-Staff[[#This Row],[Date Joined]])/365</f>
        <v>1.2219178082191782</v>
      </c>
      <c r="J9" s="6">
        <f ca="1">ROUNDUP(IF(Staff[[#This Row],[Tenure]]&gt;2,Staff[[#This Row],[Salary]]*0.03,Staff[[#This Row],[Salary]]*0.02),0)</f>
        <v>1827</v>
      </c>
      <c r="K9">
        <f>_xlfn.XLOOKUP(Staff[[#This Row],[Rating]],Rating!$B$2:$B$6,Rating!$C$2:$C$6)</f>
        <v>3</v>
      </c>
      <c r="M9" t="s">
        <v>215</v>
      </c>
      <c r="N9" s="12">
        <f>COUNTIFS(G:G,"&gt;90000")/N2</f>
        <v>0.34426229508196721</v>
      </c>
    </row>
    <row r="10" spans="1:15" x14ac:dyDescent="0.3">
      <c r="A10" s="7" t="s">
        <v>115</v>
      </c>
      <c r="B10" s="7" t="s">
        <v>15</v>
      </c>
      <c r="C10">
        <v>33</v>
      </c>
      <c r="D10" t="s">
        <v>16</v>
      </c>
      <c r="E10" s="8">
        <v>44324</v>
      </c>
      <c r="F10" s="7" t="s">
        <v>19</v>
      </c>
      <c r="G10" s="6">
        <v>74550</v>
      </c>
      <c r="H10" t="s">
        <v>205</v>
      </c>
      <c r="I10" s="9">
        <f ca="1">(TODAY()-Staff[[#This Row],[Date Joined]])/365</f>
        <v>2.2876712328767121</v>
      </c>
      <c r="J10" s="6">
        <f ca="1">ROUNDUP(IF(Staff[[#This Row],[Tenure]]&gt;2,Staff[[#This Row],[Salary]]*0.03,Staff[[#This Row],[Salary]]*0.02),0)</f>
        <v>2237</v>
      </c>
      <c r="K10">
        <f>_xlfn.XLOOKUP(Staff[[#This Row],[Rating]],Rating!$B$2:$B$6,Rating!$C$2:$C$6)</f>
        <v>3</v>
      </c>
    </row>
    <row r="11" spans="1:15" x14ac:dyDescent="0.3">
      <c r="A11" s="7" t="s">
        <v>128</v>
      </c>
      <c r="B11" s="7" t="s">
        <v>15</v>
      </c>
      <c r="C11">
        <v>25</v>
      </c>
      <c r="D11" t="s">
        <v>13</v>
      </c>
      <c r="E11" s="8">
        <v>44665</v>
      </c>
      <c r="F11" s="7" t="s">
        <v>9</v>
      </c>
      <c r="G11" s="6">
        <v>109190</v>
      </c>
      <c r="H11" t="s">
        <v>205</v>
      </c>
      <c r="I11" s="9">
        <f ca="1">(TODAY()-Staff[[#This Row],[Date Joined]])/365</f>
        <v>1.3534246575342466</v>
      </c>
      <c r="J11" s="6">
        <f ca="1">ROUNDUP(IF(Staff[[#This Row],[Tenure]]&gt;2,Staff[[#This Row],[Salary]]*0.03,Staff[[#This Row],[Salary]]*0.02),0)</f>
        <v>2184</v>
      </c>
      <c r="K11">
        <f>_xlfn.XLOOKUP(Staff[[#This Row],[Rating]],Rating!$B$2:$B$6,Rating!$C$2:$C$6)</f>
        <v>4</v>
      </c>
      <c r="M11" s="13" t="s">
        <v>218</v>
      </c>
      <c r="N11" s="13"/>
    </row>
    <row r="12" spans="1:15" x14ac:dyDescent="0.3">
      <c r="A12" s="7" t="s">
        <v>194</v>
      </c>
      <c r="B12" s="7" t="s">
        <v>8</v>
      </c>
      <c r="C12">
        <v>40</v>
      </c>
      <c r="D12" t="s">
        <v>16</v>
      </c>
      <c r="E12" s="8">
        <v>44320</v>
      </c>
      <c r="F12" s="7" t="s">
        <v>12</v>
      </c>
      <c r="G12" s="6">
        <v>104410</v>
      </c>
      <c r="H12" t="s">
        <v>205</v>
      </c>
      <c r="I12" s="9">
        <f ca="1">(TODAY()-Staff[[#This Row],[Date Joined]])/365</f>
        <v>2.2986301369863016</v>
      </c>
      <c r="J12" s="6">
        <f ca="1">ROUNDUP(IF(Staff[[#This Row],[Tenure]]&gt;2,Staff[[#This Row],[Salary]]*0.03,Staff[[#This Row],[Salary]]*0.02),0)</f>
        <v>3133</v>
      </c>
      <c r="K12">
        <f>_xlfn.XLOOKUP(Staff[[#This Row],[Rating]],Rating!$B$2:$B$6,Rating!$C$2:$C$6)</f>
        <v>3</v>
      </c>
      <c r="M12" s="19" t="s">
        <v>73</v>
      </c>
    </row>
    <row r="13" spans="1:15" x14ac:dyDescent="0.3">
      <c r="A13" s="7" t="s">
        <v>177</v>
      </c>
      <c r="B13" s="7" t="s">
        <v>15</v>
      </c>
      <c r="C13">
        <v>30</v>
      </c>
      <c r="D13" t="s">
        <v>16</v>
      </c>
      <c r="E13" s="8">
        <v>44544</v>
      </c>
      <c r="F13" s="7" t="s">
        <v>21</v>
      </c>
      <c r="G13" s="6">
        <v>96800</v>
      </c>
      <c r="H13" t="s">
        <v>205</v>
      </c>
      <c r="I13" s="9">
        <f ca="1">(TODAY()-Staff[[#This Row],[Date Joined]])/365</f>
        <v>1.6849315068493151</v>
      </c>
      <c r="J13" s="6">
        <f ca="1">ROUNDUP(IF(Staff[[#This Row],[Tenure]]&gt;2,Staff[[#This Row],[Salary]]*0.03,Staff[[#This Row],[Salary]]*0.02),0)</f>
        <v>1936</v>
      </c>
      <c r="K13">
        <f>_xlfn.XLOOKUP(Staff[[#This Row],[Rating]],Rating!$B$2:$B$6,Rating!$C$2:$C$6)</f>
        <v>3</v>
      </c>
    </row>
    <row r="14" spans="1:15" x14ac:dyDescent="0.3">
      <c r="A14" s="7" t="s">
        <v>123</v>
      </c>
      <c r="B14" s="7" t="s">
        <v>15</v>
      </c>
      <c r="C14">
        <v>28</v>
      </c>
      <c r="D14" t="s">
        <v>13</v>
      </c>
      <c r="E14" s="8">
        <v>43980</v>
      </c>
      <c r="F14" s="7" t="s">
        <v>21</v>
      </c>
      <c r="G14" s="6">
        <v>48170</v>
      </c>
      <c r="H14" t="s">
        <v>205</v>
      </c>
      <c r="I14" s="9">
        <f ca="1">(TODAY()-Staff[[#This Row],[Date Joined]])/365</f>
        <v>3.2301369863013698</v>
      </c>
      <c r="J14" s="6">
        <f ca="1">ROUNDUP(IF(Staff[[#This Row],[Tenure]]&gt;2,Staff[[#This Row],[Salary]]*0.03,Staff[[#This Row],[Salary]]*0.02),0)</f>
        <v>1446</v>
      </c>
      <c r="K14">
        <f>_xlfn.XLOOKUP(Staff[[#This Row],[Rating]],Rating!$B$2:$B$6,Rating!$C$2:$C$6)</f>
        <v>4</v>
      </c>
      <c r="M14" t="s">
        <v>1</v>
      </c>
      <c r="N14" s="14" t="str" cm="1">
        <f t="array" aca="1" ref="N14:N21" ca="1">TRANSPOSE(_xlfn.XLOOKUP(M12,Staff[Name], Staff[[Gender]:[Tenure]]))</f>
        <v>Female</v>
      </c>
    </row>
    <row r="15" spans="1:15" x14ac:dyDescent="0.3">
      <c r="A15" s="7" t="s">
        <v>140</v>
      </c>
      <c r="B15" s="7" t="s">
        <v>15</v>
      </c>
      <c r="C15">
        <v>21</v>
      </c>
      <c r="D15" t="s">
        <v>16</v>
      </c>
      <c r="E15" s="8">
        <v>44042</v>
      </c>
      <c r="F15" s="7" t="s">
        <v>9</v>
      </c>
      <c r="G15" s="6">
        <v>37920</v>
      </c>
      <c r="H15" t="s">
        <v>205</v>
      </c>
      <c r="I15" s="9">
        <f ca="1">(TODAY()-Staff[[#This Row],[Date Joined]])/365</f>
        <v>3.0602739726027397</v>
      </c>
      <c r="J15" s="6">
        <f ca="1">ROUNDUP(IF(Staff[[#This Row],[Tenure]]&gt;2,Staff[[#This Row],[Salary]]*0.03,Staff[[#This Row],[Salary]]*0.02),0)</f>
        <v>1138</v>
      </c>
      <c r="K15">
        <f>_xlfn.XLOOKUP(Staff[[#This Row],[Rating]],Rating!$B$2:$B$6,Rating!$C$2:$C$6)</f>
        <v>3</v>
      </c>
      <c r="M15" t="s">
        <v>3</v>
      </c>
      <c r="N15" s="14">
        <f ca="1"/>
        <v>34</v>
      </c>
    </row>
    <row r="16" spans="1:15" x14ac:dyDescent="0.3">
      <c r="A16" s="7" t="s">
        <v>178</v>
      </c>
      <c r="B16" s="7" t="s">
        <v>15</v>
      </c>
      <c r="C16">
        <v>34</v>
      </c>
      <c r="D16" t="s">
        <v>16</v>
      </c>
      <c r="E16" s="8">
        <v>44642</v>
      </c>
      <c r="F16" s="7" t="s">
        <v>9</v>
      </c>
      <c r="G16" s="6">
        <v>112650</v>
      </c>
      <c r="H16" t="s">
        <v>205</v>
      </c>
      <c r="I16" s="9">
        <f ca="1">(TODAY()-Staff[[#This Row],[Date Joined]])/365</f>
        <v>1.4164383561643836</v>
      </c>
      <c r="J16" s="6">
        <f ca="1">ROUNDUP(IF(Staff[[#This Row],[Tenure]]&gt;2,Staff[[#This Row],[Salary]]*0.03,Staff[[#This Row],[Salary]]*0.02),0)</f>
        <v>2253</v>
      </c>
      <c r="K16">
        <f>_xlfn.XLOOKUP(Staff[[#This Row],[Rating]],Rating!$B$2:$B$6,Rating!$C$2:$C$6)</f>
        <v>3</v>
      </c>
      <c r="M16" t="s">
        <v>6</v>
      </c>
      <c r="N16" s="14" t="str">
        <f ca="1"/>
        <v>Poor</v>
      </c>
    </row>
    <row r="17" spans="1:14" x14ac:dyDescent="0.3">
      <c r="A17" s="7" t="s">
        <v>165</v>
      </c>
      <c r="B17" s="7" t="s">
        <v>8</v>
      </c>
      <c r="C17">
        <v>34</v>
      </c>
      <c r="D17" t="s">
        <v>24</v>
      </c>
      <c r="E17" s="8">
        <v>44660</v>
      </c>
      <c r="F17" s="7" t="s">
        <v>19</v>
      </c>
      <c r="G17" s="6">
        <v>49630</v>
      </c>
      <c r="H17" t="s">
        <v>205</v>
      </c>
      <c r="I17" s="9">
        <f ca="1">(TODAY()-Staff[[#This Row],[Date Joined]])/365</f>
        <v>1.3671232876712329</v>
      </c>
      <c r="J17" s="6">
        <f ca="1">ROUNDUP(IF(Staff[[#This Row],[Tenure]]&gt;2,Staff[[#This Row],[Salary]]*0.03,Staff[[#This Row],[Salary]]*0.02),0)</f>
        <v>993</v>
      </c>
      <c r="K17">
        <f>_xlfn.XLOOKUP(Staff[[#This Row],[Rating]],Rating!$B$2:$B$6,Rating!$C$2:$C$6)</f>
        <v>2</v>
      </c>
      <c r="M17" t="s">
        <v>217</v>
      </c>
      <c r="N17" s="15">
        <f ca="1"/>
        <v>44721</v>
      </c>
    </row>
    <row r="18" spans="1:14" x14ac:dyDescent="0.3">
      <c r="A18" s="7" t="s">
        <v>199</v>
      </c>
      <c r="B18" s="7" t="s">
        <v>15</v>
      </c>
      <c r="C18">
        <v>36</v>
      </c>
      <c r="D18" t="s">
        <v>16</v>
      </c>
      <c r="E18" s="8">
        <v>43958</v>
      </c>
      <c r="F18" s="7" t="s">
        <v>12</v>
      </c>
      <c r="G18" s="6">
        <v>118840</v>
      </c>
      <c r="H18" t="s">
        <v>205</v>
      </c>
      <c r="I18" s="9">
        <f ca="1">(TODAY()-Staff[[#This Row],[Date Joined]])/365</f>
        <v>3.2904109589041095</v>
      </c>
      <c r="J18" s="6">
        <f ca="1">ROUNDUP(IF(Staff[[#This Row],[Tenure]]&gt;2,Staff[[#This Row],[Salary]]*0.03,Staff[[#This Row],[Salary]]*0.02),0)</f>
        <v>3566</v>
      </c>
      <c r="K18">
        <f>_xlfn.XLOOKUP(Staff[[#This Row],[Rating]],Rating!$B$2:$B$6,Rating!$C$2:$C$6)</f>
        <v>3</v>
      </c>
      <c r="M18" t="s">
        <v>2</v>
      </c>
      <c r="N18" s="14" t="str">
        <f ca="1"/>
        <v>Sales</v>
      </c>
    </row>
    <row r="19" spans="1:14" x14ac:dyDescent="0.3">
      <c r="A19" s="7" t="s">
        <v>159</v>
      </c>
      <c r="B19" s="7" t="s">
        <v>15</v>
      </c>
      <c r="C19">
        <v>30</v>
      </c>
      <c r="D19" t="s">
        <v>16</v>
      </c>
      <c r="E19" s="8">
        <v>44789</v>
      </c>
      <c r="F19" s="7" t="s">
        <v>12</v>
      </c>
      <c r="G19" s="6">
        <v>69710</v>
      </c>
      <c r="H19" t="s">
        <v>205</v>
      </c>
      <c r="I19" s="9">
        <f ca="1">(TODAY()-Staff[[#This Row],[Date Joined]])/365</f>
        <v>1.0136986301369864</v>
      </c>
      <c r="J19" s="6">
        <f ca="1">ROUNDUP(IF(Staff[[#This Row],[Tenure]]&gt;2,Staff[[#This Row],[Salary]]*0.03,Staff[[#This Row],[Salary]]*0.02),0)</f>
        <v>1395</v>
      </c>
      <c r="K19">
        <f>_xlfn.XLOOKUP(Staff[[#This Row],[Rating]],Rating!$B$2:$B$6,Rating!$C$2:$C$6)</f>
        <v>3</v>
      </c>
      <c r="M19" t="s">
        <v>5</v>
      </c>
      <c r="N19" s="14">
        <f ca="1"/>
        <v>49630</v>
      </c>
    </row>
    <row r="20" spans="1:14" x14ac:dyDescent="0.3">
      <c r="A20" s="7" t="s">
        <v>197</v>
      </c>
      <c r="B20" s="7" t="s">
        <v>15</v>
      </c>
      <c r="C20">
        <v>20</v>
      </c>
      <c r="D20" t="s">
        <v>16</v>
      </c>
      <c r="E20" s="8">
        <v>44683</v>
      </c>
      <c r="F20" s="7" t="s">
        <v>9</v>
      </c>
      <c r="G20" s="6">
        <v>79570</v>
      </c>
      <c r="H20" t="s">
        <v>205</v>
      </c>
      <c r="I20" s="9">
        <f ca="1">(TODAY()-Staff[[#This Row],[Date Joined]])/365</f>
        <v>1.3041095890410959</v>
      </c>
      <c r="J20" s="6">
        <f ca="1">ROUNDUP(IF(Staff[[#This Row],[Tenure]]&gt;2,Staff[[#This Row],[Salary]]*0.03,Staff[[#This Row],[Salary]]*0.02),0)</f>
        <v>1592</v>
      </c>
      <c r="K20">
        <f>_xlfn.XLOOKUP(Staff[[#This Row],[Rating]],Rating!$B$2:$B$6,Rating!$C$2:$C$6)</f>
        <v>3</v>
      </c>
      <c r="M20" t="s">
        <v>204</v>
      </c>
      <c r="N20" s="14" t="str">
        <f ca="1"/>
        <v>NZ</v>
      </c>
    </row>
    <row r="21" spans="1:14" x14ac:dyDescent="0.3">
      <c r="A21" s="7" t="s">
        <v>154</v>
      </c>
      <c r="B21" s="7" t="s">
        <v>8</v>
      </c>
      <c r="C21">
        <v>22</v>
      </c>
      <c r="D21" t="s">
        <v>13</v>
      </c>
      <c r="E21" s="8">
        <v>44388</v>
      </c>
      <c r="F21" s="7" t="s">
        <v>9</v>
      </c>
      <c r="G21" s="6">
        <v>76900</v>
      </c>
      <c r="H21" t="s">
        <v>205</v>
      </c>
      <c r="I21" s="9">
        <f ca="1">(TODAY()-Staff[[#This Row],[Date Joined]])/365</f>
        <v>2.1123287671232878</v>
      </c>
      <c r="J21" s="6">
        <f ca="1">ROUNDUP(IF(Staff[[#This Row],[Tenure]]&gt;2,Staff[[#This Row],[Salary]]*0.03,Staff[[#This Row],[Salary]]*0.02),0)</f>
        <v>2307</v>
      </c>
      <c r="K21">
        <f>_xlfn.XLOOKUP(Staff[[#This Row],[Rating]],Rating!$B$2:$B$6,Rating!$C$2:$C$6)</f>
        <v>4</v>
      </c>
      <c r="M21" t="s">
        <v>213</v>
      </c>
      <c r="N21" s="16">
        <f ca="1"/>
        <v>1.2</v>
      </c>
    </row>
    <row r="22" spans="1:14" x14ac:dyDescent="0.3">
      <c r="A22" s="7" t="s">
        <v>182</v>
      </c>
      <c r="B22" s="7" t="s">
        <v>15</v>
      </c>
      <c r="C22">
        <v>27</v>
      </c>
      <c r="D22" t="s">
        <v>16</v>
      </c>
      <c r="E22" s="8">
        <v>44073</v>
      </c>
      <c r="F22" s="7" t="s">
        <v>19</v>
      </c>
      <c r="G22" s="6">
        <v>54970</v>
      </c>
      <c r="H22" t="s">
        <v>205</v>
      </c>
      <c r="I22" s="9">
        <f ca="1">(TODAY()-Staff[[#This Row],[Date Joined]])/365</f>
        <v>2.9753424657534246</v>
      </c>
      <c r="J22" s="6">
        <f ca="1">ROUNDUP(IF(Staff[[#This Row],[Tenure]]&gt;2,Staff[[#This Row],[Salary]]*0.03,Staff[[#This Row],[Salary]]*0.02),0)</f>
        <v>1650</v>
      </c>
      <c r="K22">
        <f>_xlfn.XLOOKUP(Staff[[#This Row],[Rating]],Rating!$B$2:$B$6,Rating!$C$2:$C$6)</f>
        <v>3</v>
      </c>
    </row>
    <row r="23" spans="1:14" x14ac:dyDescent="0.3">
      <c r="A23" s="7" t="s">
        <v>118</v>
      </c>
      <c r="B23" s="7" t="s">
        <v>15</v>
      </c>
      <c r="C23">
        <v>37</v>
      </c>
      <c r="D23" t="s">
        <v>24</v>
      </c>
      <c r="E23" s="8">
        <v>44277</v>
      </c>
      <c r="F23" s="7" t="s">
        <v>12</v>
      </c>
      <c r="G23" s="6">
        <v>88050</v>
      </c>
      <c r="H23" t="s">
        <v>205</v>
      </c>
      <c r="I23" s="9">
        <f ca="1">(TODAY()-Staff[[#This Row],[Date Joined]])/365</f>
        <v>2.4164383561643836</v>
      </c>
      <c r="J23" s="6">
        <f ca="1">ROUNDUP(IF(Staff[[#This Row],[Tenure]]&gt;2,Staff[[#This Row],[Salary]]*0.03,Staff[[#This Row],[Salary]]*0.02),0)</f>
        <v>2642</v>
      </c>
      <c r="K23">
        <f>_xlfn.XLOOKUP(Staff[[#This Row],[Rating]],Rating!$B$2:$B$6,Rating!$C$2:$C$6)</f>
        <v>2</v>
      </c>
      <c r="M23" s="13" t="s">
        <v>221</v>
      </c>
      <c r="N23" s="13"/>
    </row>
    <row r="24" spans="1:14" x14ac:dyDescent="0.3">
      <c r="A24" s="7" t="s">
        <v>192</v>
      </c>
      <c r="B24" s="7" t="s">
        <v>15</v>
      </c>
      <c r="C24">
        <v>43</v>
      </c>
      <c r="D24" t="s">
        <v>16</v>
      </c>
      <c r="E24" s="8">
        <v>44558</v>
      </c>
      <c r="F24" s="7" t="s">
        <v>19</v>
      </c>
      <c r="G24" s="6">
        <v>36040</v>
      </c>
      <c r="H24" t="s">
        <v>205</v>
      </c>
      <c r="I24" s="9">
        <f ca="1">(TODAY()-Staff[[#This Row],[Date Joined]])/365</f>
        <v>1.6465753424657534</v>
      </c>
      <c r="J24" s="6">
        <f ca="1">ROUNDUP(IF(Staff[[#This Row],[Tenure]]&gt;2,Staff[[#This Row],[Salary]]*0.03,Staff[[#This Row],[Salary]]*0.02),0)</f>
        <v>721</v>
      </c>
      <c r="K24">
        <f>_xlfn.XLOOKUP(Staff[[#This Row],[Rating]],Rating!$B$2:$B$6,Rating!$C$2:$C$6)</f>
        <v>3</v>
      </c>
      <c r="M24" t="str" cm="1">
        <f t="array" ref="M24:M28">_xlfn._xlws.SORT(_xlfn.UNIQUE(Staff[Department]))</f>
        <v>Finance</v>
      </c>
    </row>
    <row r="25" spans="1:14" x14ac:dyDescent="0.3">
      <c r="A25" s="7" t="s">
        <v>111</v>
      </c>
      <c r="B25" s="7" t="s">
        <v>8</v>
      </c>
      <c r="C25">
        <v>42</v>
      </c>
      <c r="D25" t="s">
        <v>10</v>
      </c>
      <c r="E25" s="8">
        <v>44718</v>
      </c>
      <c r="F25" s="7" t="s">
        <v>9</v>
      </c>
      <c r="G25" s="6">
        <v>75000</v>
      </c>
      <c r="H25" t="s">
        <v>205</v>
      </c>
      <c r="I25" s="9">
        <f ca="1">(TODAY()-Staff[[#This Row],[Date Joined]])/365</f>
        <v>1.2082191780821918</v>
      </c>
      <c r="J25" s="6">
        <f ca="1">ROUNDUP(IF(Staff[[#This Row],[Tenure]]&gt;2,Staff[[#This Row],[Salary]]*0.03,Staff[[#This Row],[Salary]]*0.02),0)</f>
        <v>1500</v>
      </c>
      <c r="K25">
        <f>_xlfn.XLOOKUP(Staff[[#This Row],[Rating]],Rating!$B$2:$B$6,Rating!$C$2:$C$6)</f>
        <v>5</v>
      </c>
      <c r="M25" t="str">
        <v>HR</v>
      </c>
    </row>
    <row r="26" spans="1:14" x14ac:dyDescent="0.3">
      <c r="A26" s="7" t="s">
        <v>149</v>
      </c>
      <c r="B26" s="7" t="s">
        <v>15</v>
      </c>
      <c r="C26">
        <v>35</v>
      </c>
      <c r="D26" t="s">
        <v>16</v>
      </c>
      <c r="E26" s="8">
        <v>44666</v>
      </c>
      <c r="F26" s="7" t="s">
        <v>9</v>
      </c>
      <c r="G26" s="6">
        <v>40400</v>
      </c>
      <c r="H26" t="s">
        <v>205</v>
      </c>
      <c r="I26" s="9">
        <f ca="1">(TODAY()-Staff[[#This Row],[Date Joined]])/365</f>
        <v>1.3506849315068492</v>
      </c>
      <c r="J26" s="6">
        <f ca="1">ROUNDUP(IF(Staff[[#This Row],[Tenure]]&gt;2,Staff[[#This Row],[Salary]]*0.03,Staff[[#This Row],[Salary]]*0.02),0)</f>
        <v>808</v>
      </c>
      <c r="K26">
        <f>_xlfn.XLOOKUP(Staff[[#This Row],[Rating]],Rating!$B$2:$B$6,Rating!$C$2:$C$6)</f>
        <v>3</v>
      </c>
      <c r="M26" t="str">
        <v>Procurement</v>
      </c>
    </row>
    <row r="27" spans="1:14" x14ac:dyDescent="0.3">
      <c r="A27" s="7" t="s">
        <v>196</v>
      </c>
      <c r="B27" s="7" t="s">
        <v>15</v>
      </c>
      <c r="C27">
        <v>24</v>
      </c>
      <c r="D27" t="s">
        <v>16</v>
      </c>
      <c r="E27" s="8">
        <v>44625</v>
      </c>
      <c r="F27" s="7" t="s">
        <v>12</v>
      </c>
      <c r="G27" s="6">
        <v>100420</v>
      </c>
      <c r="H27" t="s">
        <v>205</v>
      </c>
      <c r="I27" s="9">
        <f ca="1">(TODAY()-Staff[[#This Row],[Date Joined]])/365</f>
        <v>1.463013698630137</v>
      </c>
      <c r="J27" s="6">
        <f ca="1">ROUNDUP(IF(Staff[[#This Row],[Tenure]]&gt;2,Staff[[#This Row],[Salary]]*0.03,Staff[[#This Row],[Salary]]*0.02),0)</f>
        <v>2009</v>
      </c>
      <c r="K27">
        <f>_xlfn.XLOOKUP(Staff[[#This Row],[Rating]],Rating!$B$2:$B$6,Rating!$C$2:$C$6)</f>
        <v>3</v>
      </c>
      <c r="M27" t="str">
        <v>Sales</v>
      </c>
    </row>
    <row r="28" spans="1:14" x14ac:dyDescent="0.3">
      <c r="A28" s="7" t="s">
        <v>120</v>
      </c>
      <c r="B28" s="7" t="s">
        <v>8</v>
      </c>
      <c r="C28">
        <v>31</v>
      </c>
      <c r="D28" t="s">
        <v>16</v>
      </c>
      <c r="E28" s="8">
        <v>44604</v>
      </c>
      <c r="F28" s="7" t="s">
        <v>12</v>
      </c>
      <c r="G28" s="6">
        <v>58100</v>
      </c>
      <c r="H28" t="s">
        <v>205</v>
      </c>
      <c r="I28" s="9">
        <f ca="1">(TODAY()-Staff[[#This Row],[Date Joined]])/365</f>
        <v>1.5205479452054795</v>
      </c>
      <c r="J28" s="6">
        <f ca="1">ROUNDUP(IF(Staff[[#This Row],[Tenure]]&gt;2,Staff[[#This Row],[Salary]]*0.03,Staff[[#This Row],[Salary]]*0.02),0)</f>
        <v>1162</v>
      </c>
      <c r="K28">
        <f>_xlfn.XLOOKUP(Staff[[#This Row],[Rating]],Rating!$B$2:$B$6,Rating!$C$2:$C$6)</f>
        <v>3</v>
      </c>
      <c r="M28" t="str">
        <v>Website</v>
      </c>
    </row>
    <row r="29" spans="1:14" x14ac:dyDescent="0.3">
      <c r="A29" s="7" t="s">
        <v>114</v>
      </c>
      <c r="B29" s="7" t="s">
        <v>8</v>
      </c>
      <c r="C29">
        <v>44</v>
      </c>
      <c r="D29" t="s">
        <v>16</v>
      </c>
      <c r="E29" s="8">
        <v>44985</v>
      </c>
      <c r="F29" s="7" t="s">
        <v>12</v>
      </c>
      <c r="G29" s="6">
        <v>114870</v>
      </c>
      <c r="H29" t="s">
        <v>205</v>
      </c>
      <c r="I29" s="9">
        <f ca="1">(TODAY()-Staff[[#This Row],[Date Joined]])/365</f>
        <v>0.47671232876712327</v>
      </c>
      <c r="J29" s="6">
        <f ca="1">ROUNDUP(IF(Staff[[#This Row],[Tenure]]&gt;2,Staff[[#This Row],[Salary]]*0.03,Staff[[#This Row],[Salary]]*0.02),0)</f>
        <v>2298</v>
      </c>
      <c r="K29">
        <f>_xlfn.XLOOKUP(Staff[[#This Row],[Rating]],Rating!$B$2:$B$6,Rating!$C$2:$C$6)</f>
        <v>3</v>
      </c>
    </row>
    <row r="30" spans="1:14" x14ac:dyDescent="0.3">
      <c r="A30" s="7" t="s">
        <v>158</v>
      </c>
      <c r="B30" s="7" t="s">
        <v>8</v>
      </c>
      <c r="C30">
        <v>32</v>
      </c>
      <c r="D30" t="s">
        <v>16</v>
      </c>
      <c r="E30" s="8">
        <v>44549</v>
      </c>
      <c r="F30" s="7" t="s">
        <v>9</v>
      </c>
      <c r="G30" s="6">
        <v>41570</v>
      </c>
      <c r="H30" t="s">
        <v>205</v>
      </c>
      <c r="I30" s="9">
        <f ca="1">(TODAY()-Staff[[#This Row],[Date Joined]])/365</f>
        <v>1.6712328767123288</v>
      </c>
      <c r="J30" s="6">
        <f ca="1">ROUNDUP(IF(Staff[[#This Row],[Tenure]]&gt;2,Staff[[#This Row],[Salary]]*0.03,Staff[[#This Row],[Salary]]*0.02),0)</f>
        <v>832</v>
      </c>
      <c r="K30">
        <f>_xlfn.XLOOKUP(Staff[[#This Row],[Rating]],Rating!$B$2:$B$6,Rating!$C$2:$C$6)</f>
        <v>3</v>
      </c>
    </row>
    <row r="31" spans="1:14" x14ac:dyDescent="0.3">
      <c r="A31" s="7" t="s">
        <v>173</v>
      </c>
      <c r="B31" s="7" t="s">
        <v>8</v>
      </c>
      <c r="C31">
        <v>30</v>
      </c>
      <c r="D31" t="s">
        <v>16</v>
      </c>
      <c r="E31" s="8">
        <v>44800</v>
      </c>
      <c r="F31" s="7" t="s">
        <v>9</v>
      </c>
      <c r="G31" s="6">
        <v>112570</v>
      </c>
      <c r="H31" t="s">
        <v>205</v>
      </c>
      <c r="I31" s="9">
        <f ca="1">(TODAY()-Staff[[#This Row],[Date Joined]])/365</f>
        <v>0.98356164383561639</v>
      </c>
      <c r="J31" s="6">
        <f ca="1">ROUNDUP(IF(Staff[[#This Row],[Tenure]]&gt;2,Staff[[#This Row],[Salary]]*0.03,Staff[[#This Row],[Salary]]*0.02),0)</f>
        <v>2252</v>
      </c>
      <c r="K31">
        <f>_xlfn.XLOOKUP(Staff[[#This Row],[Rating]],Rating!$B$2:$B$6,Rating!$C$2:$C$6)</f>
        <v>3</v>
      </c>
    </row>
    <row r="32" spans="1:14" x14ac:dyDescent="0.3">
      <c r="A32" s="7" t="s">
        <v>151</v>
      </c>
      <c r="B32" s="7" t="s">
        <v>15</v>
      </c>
      <c r="C32">
        <v>26</v>
      </c>
      <c r="D32" t="s">
        <v>16</v>
      </c>
      <c r="E32" s="8">
        <v>44164</v>
      </c>
      <c r="F32" s="7" t="s">
        <v>9</v>
      </c>
      <c r="G32" s="6">
        <v>47360</v>
      </c>
      <c r="H32" t="s">
        <v>205</v>
      </c>
      <c r="I32" s="9">
        <f ca="1">(TODAY()-Staff[[#This Row],[Date Joined]])/365</f>
        <v>2.7260273972602738</v>
      </c>
      <c r="J32" s="6">
        <f ca="1">ROUNDUP(IF(Staff[[#This Row],[Tenure]]&gt;2,Staff[[#This Row],[Salary]]*0.03,Staff[[#This Row],[Salary]]*0.02),0)</f>
        <v>1421</v>
      </c>
      <c r="K32">
        <f>_xlfn.XLOOKUP(Staff[[#This Row],[Rating]],Rating!$B$2:$B$6,Rating!$C$2:$C$6)</f>
        <v>3</v>
      </c>
    </row>
    <row r="33" spans="1:11" x14ac:dyDescent="0.3">
      <c r="A33" s="7" t="s">
        <v>126</v>
      </c>
      <c r="B33" s="7" t="s">
        <v>8</v>
      </c>
      <c r="C33">
        <v>21</v>
      </c>
      <c r="D33" t="s">
        <v>16</v>
      </c>
      <c r="E33" s="8">
        <v>44256</v>
      </c>
      <c r="F33" s="7" t="s">
        <v>21</v>
      </c>
      <c r="G33" s="6">
        <v>65920</v>
      </c>
      <c r="H33" t="s">
        <v>205</v>
      </c>
      <c r="I33" s="9">
        <f ca="1">(TODAY()-Staff[[#This Row],[Date Joined]])/365</f>
        <v>2.473972602739726</v>
      </c>
      <c r="J33" s="6">
        <f ca="1">ROUNDUP(IF(Staff[[#This Row],[Tenure]]&gt;2,Staff[[#This Row],[Salary]]*0.03,Staff[[#This Row],[Salary]]*0.02),0)</f>
        <v>1978</v>
      </c>
      <c r="K33">
        <f>_xlfn.XLOOKUP(Staff[[#This Row],[Rating]],Rating!$B$2:$B$6,Rating!$C$2:$C$6)</f>
        <v>3</v>
      </c>
    </row>
    <row r="34" spans="1:11" x14ac:dyDescent="0.3">
      <c r="A34" s="7" t="s">
        <v>200</v>
      </c>
      <c r="B34" s="7" t="s">
        <v>8</v>
      </c>
      <c r="C34">
        <v>28</v>
      </c>
      <c r="D34" t="s">
        <v>16</v>
      </c>
      <c r="E34" s="8">
        <v>44571</v>
      </c>
      <c r="F34" s="7" t="s">
        <v>9</v>
      </c>
      <c r="G34" s="6">
        <v>99970</v>
      </c>
      <c r="H34" t="s">
        <v>205</v>
      </c>
      <c r="I34" s="9">
        <f ca="1">(TODAY()-Staff[[#This Row],[Date Joined]])/365</f>
        <v>1.6109589041095891</v>
      </c>
      <c r="J34" s="6">
        <f ca="1">ROUNDUP(IF(Staff[[#This Row],[Tenure]]&gt;2,Staff[[#This Row],[Salary]]*0.03,Staff[[#This Row],[Salary]]*0.02),0)</f>
        <v>2000</v>
      </c>
      <c r="K34">
        <f>_xlfn.XLOOKUP(Staff[[#This Row],[Rating]],Rating!$B$2:$B$6,Rating!$C$2:$C$6)</f>
        <v>3</v>
      </c>
    </row>
    <row r="35" spans="1:11" x14ac:dyDescent="0.3">
      <c r="A35" s="7" t="s">
        <v>133</v>
      </c>
      <c r="B35" s="7" t="s">
        <v>8</v>
      </c>
      <c r="C35">
        <v>25</v>
      </c>
      <c r="D35" t="s">
        <v>13</v>
      </c>
      <c r="E35" s="8">
        <v>44633</v>
      </c>
      <c r="F35" s="7" t="s">
        <v>12</v>
      </c>
      <c r="G35" s="6">
        <v>80700</v>
      </c>
      <c r="H35" t="s">
        <v>205</v>
      </c>
      <c r="I35" s="9">
        <f ca="1">(TODAY()-Staff[[#This Row],[Date Joined]])/365</f>
        <v>1.441095890410959</v>
      </c>
      <c r="J35" s="6">
        <f ca="1">ROUNDUP(IF(Staff[[#This Row],[Tenure]]&gt;2,Staff[[#This Row],[Salary]]*0.03,Staff[[#This Row],[Salary]]*0.02),0)</f>
        <v>1614</v>
      </c>
      <c r="K35">
        <f>_xlfn.XLOOKUP(Staff[[#This Row],[Rating]],Rating!$B$2:$B$6,Rating!$C$2:$C$6)</f>
        <v>4</v>
      </c>
    </row>
    <row r="36" spans="1:11" x14ac:dyDescent="0.3">
      <c r="A36" s="7" t="s">
        <v>155</v>
      </c>
      <c r="B36" s="7" t="s">
        <v>15</v>
      </c>
      <c r="C36">
        <v>24</v>
      </c>
      <c r="D36" t="s">
        <v>24</v>
      </c>
      <c r="E36" s="8">
        <v>44375</v>
      </c>
      <c r="F36" s="7" t="s">
        <v>21</v>
      </c>
      <c r="G36" s="6">
        <v>52610</v>
      </c>
      <c r="H36" t="s">
        <v>205</v>
      </c>
      <c r="I36" s="9">
        <f ca="1">(TODAY()-Staff[[#This Row],[Date Joined]])/365</f>
        <v>2.1479452054794521</v>
      </c>
      <c r="J36" s="6">
        <f ca="1">ROUNDUP(IF(Staff[[#This Row],[Tenure]]&gt;2,Staff[[#This Row],[Salary]]*0.03,Staff[[#This Row],[Salary]]*0.02),0)</f>
        <v>1579</v>
      </c>
      <c r="K36">
        <f>_xlfn.XLOOKUP(Staff[[#This Row],[Rating]],Rating!$B$2:$B$6,Rating!$C$2:$C$6)</f>
        <v>2</v>
      </c>
    </row>
    <row r="37" spans="1:11" x14ac:dyDescent="0.3">
      <c r="A37" s="7" t="s">
        <v>180</v>
      </c>
      <c r="B37" s="7" t="s">
        <v>15</v>
      </c>
      <c r="C37">
        <v>29</v>
      </c>
      <c r="D37" t="s">
        <v>24</v>
      </c>
      <c r="E37" s="8">
        <v>44119</v>
      </c>
      <c r="F37" s="7" t="s">
        <v>12</v>
      </c>
      <c r="G37" s="6">
        <v>112110</v>
      </c>
      <c r="H37" t="s">
        <v>205</v>
      </c>
      <c r="I37" s="9">
        <f ca="1">(TODAY()-Staff[[#This Row],[Date Joined]])/365</f>
        <v>2.8493150684931505</v>
      </c>
      <c r="J37" s="6">
        <f ca="1">ROUNDUP(IF(Staff[[#This Row],[Tenure]]&gt;2,Staff[[#This Row],[Salary]]*0.03,Staff[[#This Row],[Salary]]*0.02),0)</f>
        <v>3364</v>
      </c>
      <c r="K37">
        <f>_xlfn.XLOOKUP(Staff[[#This Row],[Rating]],Rating!$B$2:$B$6,Rating!$C$2:$C$6)</f>
        <v>2</v>
      </c>
    </row>
    <row r="38" spans="1:11" x14ac:dyDescent="0.3">
      <c r="A38" s="7" t="s">
        <v>152</v>
      </c>
      <c r="B38" s="7" t="s">
        <v>8</v>
      </c>
      <c r="C38">
        <v>27</v>
      </c>
      <c r="D38" t="s">
        <v>16</v>
      </c>
      <c r="E38" s="8">
        <v>44061</v>
      </c>
      <c r="F38" s="7" t="s">
        <v>56</v>
      </c>
      <c r="G38" s="6">
        <v>119110</v>
      </c>
      <c r="H38" t="s">
        <v>205</v>
      </c>
      <c r="I38" s="9">
        <f ca="1">(TODAY()-Staff[[#This Row],[Date Joined]])/365</f>
        <v>3.0082191780821916</v>
      </c>
      <c r="J38" s="6">
        <f ca="1">ROUNDUP(IF(Staff[[#This Row],[Tenure]]&gt;2,Staff[[#This Row],[Salary]]*0.03,Staff[[#This Row],[Salary]]*0.02),0)</f>
        <v>3574</v>
      </c>
      <c r="K38">
        <f>_xlfn.XLOOKUP(Staff[[#This Row],[Rating]],Rating!$B$2:$B$6,Rating!$C$2:$C$6)</f>
        <v>3</v>
      </c>
    </row>
    <row r="39" spans="1:11" x14ac:dyDescent="0.3">
      <c r="A39" s="7" t="s">
        <v>150</v>
      </c>
      <c r="B39" s="7" t="s">
        <v>15</v>
      </c>
      <c r="C39">
        <v>22</v>
      </c>
      <c r="D39" t="s">
        <v>13</v>
      </c>
      <c r="E39" s="8">
        <v>44384</v>
      </c>
      <c r="F39" s="7" t="s">
        <v>19</v>
      </c>
      <c r="G39" s="6">
        <v>112780</v>
      </c>
      <c r="H39" t="s">
        <v>205</v>
      </c>
      <c r="I39" s="9">
        <f ca="1">(TODAY()-Staff[[#This Row],[Date Joined]])/365</f>
        <v>2.1232876712328768</v>
      </c>
      <c r="J39" s="6">
        <f ca="1">ROUNDUP(IF(Staff[[#This Row],[Tenure]]&gt;2,Staff[[#This Row],[Salary]]*0.03,Staff[[#This Row],[Salary]]*0.02),0)</f>
        <v>3384</v>
      </c>
      <c r="K39">
        <f>_xlfn.XLOOKUP(Staff[[#This Row],[Rating]],Rating!$B$2:$B$6,Rating!$C$2:$C$6)</f>
        <v>4</v>
      </c>
    </row>
    <row r="40" spans="1:11" x14ac:dyDescent="0.3">
      <c r="A40" s="7" t="s">
        <v>175</v>
      </c>
      <c r="B40" s="7" t="s">
        <v>8</v>
      </c>
      <c r="C40">
        <v>36</v>
      </c>
      <c r="D40" t="s">
        <v>16</v>
      </c>
      <c r="E40" s="8">
        <v>44023</v>
      </c>
      <c r="F40" s="7" t="s">
        <v>9</v>
      </c>
      <c r="G40" s="6">
        <v>114890</v>
      </c>
      <c r="H40" t="s">
        <v>205</v>
      </c>
      <c r="I40" s="9">
        <f ca="1">(TODAY()-Staff[[#This Row],[Date Joined]])/365</f>
        <v>3.1123287671232878</v>
      </c>
      <c r="J40" s="6">
        <f ca="1">ROUNDUP(IF(Staff[[#This Row],[Tenure]]&gt;2,Staff[[#This Row],[Salary]]*0.03,Staff[[#This Row],[Salary]]*0.02),0)</f>
        <v>3447</v>
      </c>
      <c r="K40">
        <f>_xlfn.XLOOKUP(Staff[[#This Row],[Rating]],Rating!$B$2:$B$6,Rating!$C$2:$C$6)</f>
        <v>3</v>
      </c>
    </row>
    <row r="41" spans="1:11" x14ac:dyDescent="0.3">
      <c r="A41" s="7" t="s">
        <v>146</v>
      </c>
      <c r="B41" s="7" t="s">
        <v>15</v>
      </c>
      <c r="C41">
        <v>27</v>
      </c>
      <c r="D41" t="s">
        <v>16</v>
      </c>
      <c r="E41" s="8">
        <v>44506</v>
      </c>
      <c r="F41" s="7" t="s">
        <v>21</v>
      </c>
      <c r="G41" s="6">
        <v>48980</v>
      </c>
      <c r="H41" t="s">
        <v>205</v>
      </c>
      <c r="I41" s="9">
        <f ca="1">(TODAY()-Staff[[#This Row],[Date Joined]])/365</f>
        <v>1.789041095890411</v>
      </c>
      <c r="J41" s="6">
        <f ca="1">ROUNDUP(IF(Staff[[#This Row],[Tenure]]&gt;2,Staff[[#This Row],[Salary]]*0.03,Staff[[#This Row],[Salary]]*0.02),0)</f>
        <v>980</v>
      </c>
      <c r="K41">
        <f>_xlfn.XLOOKUP(Staff[[#This Row],[Rating]],Rating!$B$2:$B$6,Rating!$C$2:$C$6)</f>
        <v>3</v>
      </c>
    </row>
    <row r="42" spans="1:11" x14ac:dyDescent="0.3">
      <c r="A42" s="7" t="s">
        <v>170</v>
      </c>
      <c r="B42" s="7" t="s">
        <v>15</v>
      </c>
      <c r="C42">
        <v>21</v>
      </c>
      <c r="D42" t="s">
        <v>16</v>
      </c>
      <c r="E42" s="8">
        <v>44180</v>
      </c>
      <c r="F42" s="7" t="s">
        <v>56</v>
      </c>
      <c r="G42" s="6">
        <v>75880</v>
      </c>
      <c r="H42" t="s">
        <v>205</v>
      </c>
      <c r="I42" s="9">
        <f ca="1">(TODAY()-Staff[[#This Row],[Date Joined]])/365</f>
        <v>2.6821917808219178</v>
      </c>
      <c r="J42" s="6">
        <f ca="1">ROUNDUP(IF(Staff[[#This Row],[Tenure]]&gt;2,Staff[[#This Row],[Salary]]*0.03,Staff[[#This Row],[Salary]]*0.02),0)</f>
        <v>2277</v>
      </c>
      <c r="K42">
        <f>_xlfn.XLOOKUP(Staff[[#This Row],[Rating]],Rating!$B$2:$B$6,Rating!$C$2:$C$6)</f>
        <v>3</v>
      </c>
    </row>
    <row r="43" spans="1:11" x14ac:dyDescent="0.3">
      <c r="A43" s="7" t="s">
        <v>167</v>
      </c>
      <c r="B43" s="7" t="s">
        <v>8</v>
      </c>
      <c r="C43">
        <v>28</v>
      </c>
      <c r="D43" t="s">
        <v>16</v>
      </c>
      <c r="E43" s="8">
        <v>44296</v>
      </c>
      <c r="F43" s="7" t="s">
        <v>19</v>
      </c>
      <c r="G43" s="6">
        <v>53240</v>
      </c>
      <c r="H43" t="s">
        <v>205</v>
      </c>
      <c r="I43" s="9">
        <f ca="1">(TODAY()-Staff[[#This Row],[Date Joined]])/365</f>
        <v>2.3643835616438356</v>
      </c>
      <c r="J43" s="6">
        <f ca="1">ROUNDUP(IF(Staff[[#This Row],[Tenure]]&gt;2,Staff[[#This Row],[Salary]]*0.03,Staff[[#This Row],[Salary]]*0.02),0)</f>
        <v>1598</v>
      </c>
      <c r="K43">
        <f>_xlfn.XLOOKUP(Staff[[#This Row],[Rating]],Rating!$B$2:$B$6,Rating!$C$2:$C$6)</f>
        <v>3</v>
      </c>
    </row>
    <row r="44" spans="1:11" x14ac:dyDescent="0.3">
      <c r="A44" s="7" t="s">
        <v>122</v>
      </c>
      <c r="B44" s="7" t="s">
        <v>8</v>
      </c>
      <c r="C44">
        <v>34</v>
      </c>
      <c r="D44" t="s">
        <v>16</v>
      </c>
      <c r="E44" s="8">
        <v>44397</v>
      </c>
      <c r="F44" s="7" t="s">
        <v>21</v>
      </c>
      <c r="G44" s="6">
        <v>85000</v>
      </c>
      <c r="H44" t="s">
        <v>205</v>
      </c>
      <c r="I44" s="9">
        <f ca="1">(TODAY()-Staff[[#This Row],[Date Joined]])/365</f>
        <v>2.0876712328767124</v>
      </c>
      <c r="J44" s="6">
        <f ca="1">ROUNDUP(IF(Staff[[#This Row],[Tenure]]&gt;2,Staff[[#This Row],[Salary]]*0.03,Staff[[#This Row],[Salary]]*0.02),0)</f>
        <v>2550</v>
      </c>
      <c r="K44">
        <f>_xlfn.XLOOKUP(Staff[[#This Row],[Rating]],Rating!$B$2:$B$6,Rating!$C$2:$C$6)</f>
        <v>3</v>
      </c>
    </row>
    <row r="45" spans="1:11" x14ac:dyDescent="0.3">
      <c r="A45" s="7" t="s">
        <v>179</v>
      </c>
      <c r="B45" s="7" t="s">
        <v>8</v>
      </c>
      <c r="C45">
        <v>21</v>
      </c>
      <c r="D45" t="s">
        <v>16</v>
      </c>
      <c r="E45" s="8">
        <v>44619</v>
      </c>
      <c r="F45" s="7" t="s">
        <v>12</v>
      </c>
      <c r="G45" s="6">
        <v>33920</v>
      </c>
      <c r="H45" t="s">
        <v>205</v>
      </c>
      <c r="I45" s="9">
        <f ca="1">(TODAY()-Staff[[#This Row],[Date Joined]])/365</f>
        <v>1.4794520547945205</v>
      </c>
      <c r="J45" s="6">
        <f ca="1">ROUNDUP(IF(Staff[[#This Row],[Tenure]]&gt;2,Staff[[#This Row],[Salary]]*0.03,Staff[[#This Row],[Salary]]*0.02),0)</f>
        <v>679</v>
      </c>
      <c r="K45">
        <f>_xlfn.XLOOKUP(Staff[[#This Row],[Rating]],Rating!$B$2:$B$6,Rating!$C$2:$C$6)</f>
        <v>3</v>
      </c>
    </row>
    <row r="46" spans="1:11" x14ac:dyDescent="0.3">
      <c r="A46" s="7" t="s">
        <v>188</v>
      </c>
      <c r="B46" s="7" t="s">
        <v>8</v>
      </c>
      <c r="C46">
        <v>33</v>
      </c>
      <c r="D46" t="s">
        <v>16</v>
      </c>
      <c r="E46" s="8">
        <v>44253</v>
      </c>
      <c r="F46" s="7" t="s">
        <v>12</v>
      </c>
      <c r="G46" s="6">
        <v>75280</v>
      </c>
      <c r="H46" t="s">
        <v>205</v>
      </c>
      <c r="I46" s="9">
        <f ca="1">(TODAY()-Staff[[#This Row],[Date Joined]])/365</f>
        <v>2.4821917808219176</v>
      </c>
      <c r="J46" s="6">
        <f ca="1">ROUNDUP(IF(Staff[[#This Row],[Tenure]]&gt;2,Staff[[#This Row],[Salary]]*0.03,Staff[[#This Row],[Salary]]*0.02),0)</f>
        <v>2259</v>
      </c>
      <c r="K46">
        <f>_xlfn.XLOOKUP(Staff[[#This Row],[Rating]],Rating!$B$2:$B$6,Rating!$C$2:$C$6)</f>
        <v>3</v>
      </c>
    </row>
    <row r="47" spans="1:11" x14ac:dyDescent="0.3">
      <c r="A47" s="7" t="s">
        <v>130</v>
      </c>
      <c r="B47" s="7" t="s">
        <v>8</v>
      </c>
      <c r="C47">
        <v>34</v>
      </c>
      <c r="D47" t="s">
        <v>16</v>
      </c>
      <c r="E47" s="8">
        <v>44594</v>
      </c>
      <c r="F47" s="7" t="s">
        <v>21</v>
      </c>
      <c r="G47" s="6">
        <v>58940</v>
      </c>
      <c r="H47" t="s">
        <v>205</v>
      </c>
      <c r="I47" s="9">
        <f ca="1">(TODAY()-Staff[[#This Row],[Date Joined]])/365</f>
        <v>1.547945205479452</v>
      </c>
      <c r="J47" s="6">
        <f ca="1">ROUNDUP(IF(Staff[[#This Row],[Tenure]]&gt;2,Staff[[#This Row],[Salary]]*0.03,Staff[[#This Row],[Salary]]*0.02),0)</f>
        <v>1179</v>
      </c>
      <c r="K47">
        <f>_xlfn.XLOOKUP(Staff[[#This Row],[Rating]],Rating!$B$2:$B$6,Rating!$C$2:$C$6)</f>
        <v>3</v>
      </c>
    </row>
    <row r="48" spans="1:11" x14ac:dyDescent="0.3">
      <c r="A48" s="7" t="s">
        <v>136</v>
      </c>
      <c r="B48" s="7" t="s">
        <v>8</v>
      </c>
      <c r="C48">
        <v>28</v>
      </c>
      <c r="D48" t="s">
        <v>16</v>
      </c>
      <c r="E48" s="8">
        <v>44425</v>
      </c>
      <c r="F48" s="7" t="s">
        <v>9</v>
      </c>
      <c r="G48" s="6">
        <v>104770</v>
      </c>
      <c r="H48" t="s">
        <v>205</v>
      </c>
      <c r="I48" s="9">
        <f ca="1">(TODAY()-Staff[[#This Row],[Date Joined]])/365</f>
        <v>2.010958904109589</v>
      </c>
      <c r="J48" s="6">
        <f ca="1">ROUNDUP(IF(Staff[[#This Row],[Tenure]]&gt;2,Staff[[#This Row],[Salary]]*0.03,Staff[[#This Row],[Salary]]*0.02),0)</f>
        <v>3144</v>
      </c>
      <c r="K48">
        <f>_xlfn.XLOOKUP(Staff[[#This Row],[Rating]],Rating!$B$2:$B$6,Rating!$C$2:$C$6)</f>
        <v>3</v>
      </c>
    </row>
    <row r="49" spans="1:11" x14ac:dyDescent="0.3">
      <c r="A49" s="7" t="s">
        <v>125</v>
      </c>
      <c r="B49" s="7" t="s">
        <v>15</v>
      </c>
      <c r="C49">
        <v>21</v>
      </c>
      <c r="D49" t="s">
        <v>16</v>
      </c>
      <c r="E49" s="8">
        <v>44701</v>
      </c>
      <c r="F49" s="7" t="s">
        <v>9</v>
      </c>
      <c r="G49" s="6">
        <v>57090</v>
      </c>
      <c r="H49" t="s">
        <v>205</v>
      </c>
      <c r="I49" s="9">
        <f ca="1">(TODAY()-Staff[[#This Row],[Date Joined]])/365</f>
        <v>1.2547945205479452</v>
      </c>
      <c r="J49" s="6">
        <f ca="1">ROUNDUP(IF(Staff[[#This Row],[Tenure]]&gt;2,Staff[[#This Row],[Salary]]*0.03,Staff[[#This Row],[Salary]]*0.02),0)</f>
        <v>1142</v>
      </c>
      <c r="K49">
        <f>_xlfn.XLOOKUP(Staff[[#This Row],[Rating]],Rating!$B$2:$B$6,Rating!$C$2:$C$6)</f>
        <v>3</v>
      </c>
    </row>
    <row r="50" spans="1:11" x14ac:dyDescent="0.3">
      <c r="A50" s="7" t="s">
        <v>160</v>
      </c>
      <c r="B50" s="7" t="s">
        <v>15</v>
      </c>
      <c r="C50">
        <v>27</v>
      </c>
      <c r="D50" t="s">
        <v>13</v>
      </c>
      <c r="E50" s="8">
        <v>44174</v>
      </c>
      <c r="F50" s="7" t="s">
        <v>21</v>
      </c>
      <c r="G50" s="6">
        <v>91650</v>
      </c>
      <c r="H50" t="s">
        <v>205</v>
      </c>
      <c r="I50" s="9">
        <f ca="1">(TODAY()-Staff[[#This Row],[Date Joined]])/365</f>
        <v>2.6986301369863015</v>
      </c>
      <c r="J50" s="6">
        <f ca="1">ROUNDUP(IF(Staff[[#This Row],[Tenure]]&gt;2,Staff[[#This Row],[Salary]]*0.03,Staff[[#This Row],[Salary]]*0.02),0)</f>
        <v>2750</v>
      </c>
      <c r="K50">
        <f>_xlfn.XLOOKUP(Staff[[#This Row],[Rating]],Rating!$B$2:$B$6,Rating!$C$2:$C$6)</f>
        <v>4</v>
      </c>
    </row>
    <row r="51" spans="1:11" x14ac:dyDescent="0.3">
      <c r="A51" s="7" t="s">
        <v>183</v>
      </c>
      <c r="B51" s="7" t="s">
        <v>15</v>
      </c>
      <c r="C51">
        <v>42</v>
      </c>
      <c r="D51" t="s">
        <v>24</v>
      </c>
      <c r="E51" s="8">
        <v>44670</v>
      </c>
      <c r="F51" s="7" t="s">
        <v>21</v>
      </c>
      <c r="G51" s="6">
        <v>70270</v>
      </c>
      <c r="H51" t="s">
        <v>205</v>
      </c>
      <c r="I51" s="9">
        <f ca="1">(TODAY()-Staff[[#This Row],[Date Joined]])/365</f>
        <v>1.3397260273972602</v>
      </c>
      <c r="J51" s="6">
        <f ca="1">ROUNDUP(IF(Staff[[#This Row],[Tenure]]&gt;2,Staff[[#This Row],[Salary]]*0.03,Staff[[#This Row],[Salary]]*0.02),0)</f>
        <v>1406</v>
      </c>
      <c r="K51">
        <f>_xlfn.XLOOKUP(Staff[[#This Row],[Rating]],Rating!$B$2:$B$6,Rating!$C$2:$C$6)</f>
        <v>2</v>
      </c>
    </row>
    <row r="52" spans="1:11" x14ac:dyDescent="0.3">
      <c r="A52" s="7" t="s">
        <v>129</v>
      </c>
      <c r="B52" s="7" t="s">
        <v>8</v>
      </c>
      <c r="C52">
        <v>28</v>
      </c>
      <c r="D52" t="s">
        <v>16</v>
      </c>
      <c r="E52" s="8">
        <v>44124</v>
      </c>
      <c r="F52" s="7" t="s">
        <v>21</v>
      </c>
      <c r="G52" s="6">
        <v>75970</v>
      </c>
      <c r="H52" t="s">
        <v>205</v>
      </c>
      <c r="I52" s="9">
        <f ca="1">(TODAY()-Staff[[#This Row],[Date Joined]])/365</f>
        <v>2.8356164383561642</v>
      </c>
      <c r="J52" s="6">
        <f ca="1">ROUNDUP(IF(Staff[[#This Row],[Tenure]]&gt;2,Staff[[#This Row],[Salary]]*0.03,Staff[[#This Row],[Salary]]*0.02),0)</f>
        <v>2280</v>
      </c>
      <c r="K52">
        <f>_xlfn.XLOOKUP(Staff[[#This Row],[Rating]],Rating!$B$2:$B$6,Rating!$C$2:$C$6)</f>
        <v>3</v>
      </c>
    </row>
    <row r="53" spans="1:11" x14ac:dyDescent="0.3">
      <c r="A53" s="7" t="s">
        <v>112</v>
      </c>
      <c r="B53" s="7" t="s">
        <v>206</v>
      </c>
      <c r="C53">
        <v>27</v>
      </c>
      <c r="D53" t="s">
        <v>13</v>
      </c>
      <c r="E53" s="8">
        <v>44212</v>
      </c>
      <c r="F53" s="7" t="s">
        <v>12</v>
      </c>
      <c r="G53" s="6">
        <v>90700</v>
      </c>
      <c r="H53" t="s">
        <v>205</v>
      </c>
      <c r="I53" s="9">
        <f ca="1">(TODAY()-Staff[[#This Row],[Date Joined]])/365</f>
        <v>2.5945205479452054</v>
      </c>
      <c r="J53" s="6">
        <f ca="1">ROUNDUP(IF(Staff[[#This Row],[Tenure]]&gt;2,Staff[[#This Row],[Salary]]*0.03,Staff[[#This Row],[Salary]]*0.02),0)</f>
        <v>2721</v>
      </c>
      <c r="K53">
        <f>_xlfn.XLOOKUP(Staff[[#This Row],[Rating]],Rating!$B$2:$B$6,Rating!$C$2:$C$6)</f>
        <v>4</v>
      </c>
    </row>
    <row r="54" spans="1:11" x14ac:dyDescent="0.3">
      <c r="A54" s="7" t="s">
        <v>131</v>
      </c>
      <c r="B54" s="7" t="s">
        <v>15</v>
      </c>
      <c r="C54">
        <v>30</v>
      </c>
      <c r="D54" t="s">
        <v>16</v>
      </c>
      <c r="E54" s="8">
        <v>44607</v>
      </c>
      <c r="F54" s="7" t="s">
        <v>9</v>
      </c>
      <c r="G54" s="6">
        <v>60570</v>
      </c>
      <c r="H54" t="s">
        <v>205</v>
      </c>
      <c r="I54" s="9">
        <f ca="1">(TODAY()-Staff[[#This Row],[Date Joined]])/365</f>
        <v>1.5123287671232877</v>
      </c>
      <c r="J54" s="6">
        <f ca="1">ROUNDUP(IF(Staff[[#This Row],[Tenure]]&gt;2,Staff[[#This Row],[Salary]]*0.03,Staff[[#This Row],[Salary]]*0.02),0)</f>
        <v>1212</v>
      </c>
      <c r="K54">
        <f>_xlfn.XLOOKUP(Staff[[#This Row],[Rating]],Rating!$B$2:$B$6,Rating!$C$2:$C$6)</f>
        <v>3</v>
      </c>
    </row>
    <row r="55" spans="1:11" x14ac:dyDescent="0.3">
      <c r="A55" s="7" t="s">
        <v>134</v>
      </c>
      <c r="B55" s="7" t="s">
        <v>15</v>
      </c>
      <c r="C55">
        <v>33</v>
      </c>
      <c r="D55" t="s">
        <v>16</v>
      </c>
      <c r="E55" s="8">
        <v>44103</v>
      </c>
      <c r="F55" s="7" t="s">
        <v>9</v>
      </c>
      <c r="G55" s="6">
        <v>115920</v>
      </c>
      <c r="H55" t="s">
        <v>205</v>
      </c>
      <c r="I55" s="9">
        <f ca="1">(TODAY()-Staff[[#This Row],[Date Joined]])/365</f>
        <v>2.893150684931507</v>
      </c>
      <c r="J55" s="6">
        <f ca="1">ROUNDUP(IF(Staff[[#This Row],[Tenure]]&gt;2,Staff[[#This Row],[Salary]]*0.03,Staff[[#This Row],[Salary]]*0.02),0)</f>
        <v>3478</v>
      </c>
      <c r="K55">
        <f>_xlfn.XLOOKUP(Staff[[#This Row],[Rating]],Rating!$B$2:$B$6,Rating!$C$2:$C$6)</f>
        <v>3</v>
      </c>
    </row>
    <row r="56" spans="1:11" x14ac:dyDescent="0.3">
      <c r="A56" s="7" t="s">
        <v>186</v>
      </c>
      <c r="B56" s="7" t="s">
        <v>8</v>
      </c>
      <c r="C56">
        <v>33</v>
      </c>
      <c r="D56" t="s">
        <v>16</v>
      </c>
      <c r="E56" s="8">
        <v>44006</v>
      </c>
      <c r="F56" s="7" t="s">
        <v>21</v>
      </c>
      <c r="G56" s="6">
        <v>65360</v>
      </c>
      <c r="H56" t="s">
        <v>205</v>
      </c>
      <c r="I56" s="9">
        <f ca="1">(TODAY()-Staff[[#This Row],[Date Joined]])/365</f>
        <v>3.1589041095890411</v>
      </c>
      <c r="J56" s="6">
        <f ca="1">ROUNDUP(IF(Staff[[#This Row],[Tenure]]&gt;2,Staff[[#This Row],[Salary]]*0.03,Staff[[#This Row],[Salary]]*0.02),0)</f>
        <v>1961</v>
      </c>
      <c r="K56">
        <f>_xlfn.XLOOKUP(Staff[[#This Row],[Rating]],Rating!$B$2:$B$6,Rating!$C$2:$C$6)</f>
        <v>3</v>
      </c>
    </row>
    <row r="57" spans="1:11" x14ac:dyDescent="0.3">
      <c r="A57" s="7" t="s">
        <v>116</v>
      </c>
      <c r="B57" s="7" t="s">
        <v>206</v>
      </c>
      <c r="C57">
        <v>30</v>
      </c>
      <c r="D57" t="s">
        <v>16</v>
      </c>
      <c r="E57" s="8">
        <v>44535</v>
      </c>
      <c r="F57" s="7" t="s">
        <v>21</v>
      </c>
      <c r="G57" s="6">
        <v>64000</v>
      </c>
      <c r="H57" t="s">
        <v>205</v>
      </c>
      <c r="I57" s="9">
        <f ca="1">(TODAY()-Staff[[#This Row],[Date Joined]])/365</f>
        <v>1.7095890410958905</v>
      </c>
      <c r="J57" s="6">
        <f ca="1">ROUNDUP(IF(Staff[[#This Row],[Tenure]]&gt;2,Staff[[#This Row],[Salary]]*0.03,Staff[[#This Row],[Salary]]*0.02),0)</f>
        <v>1280</v>
      </c>
      <c r="K57">
        <f>_xlfn.XLOOKUP(Staff[[#This Row],[Rating]],Rating!$B$2:$B$6,Rating!$C$2:$C$6)</f>
        <v>3</v>
      </c>
    </row>
    <row r="58" spans="1:11" x14ac:dyDescent="0.3">
      <c r="A58" s="7" t="s">
        <v>195</v>
      </c>
      <c r="B58" s="7" t="s">
        <v>8</v>
      </c>
      <c r="C58">
        <v>34</v>
      </c>
      <c r="D58" t="s">
        <v>16</v>
      </c>
      <c r="E58" s="8">
        <v>44383</v>
      </c>
      <c r="F58" s="7" t="s">
        <v>21</v>
      </c>
      <c r="G58" s="6">
        <v>92450</v>
      </c>
      <c r="H58" t="s">
        <v>205</v>
      </c>
      <c r="I58" s="9">
        <f ca="1">(TODAY()-Staff[[#This Row],[Date Joined]])/365</f>
        <v>2.1260273972602741</v>
      </c>
      <c r="J58" s="6">
        <f ca="1">ROUNDUP(IF(Staff[[#This Row],[Tenure]]&gt;2,Staff[[#This Row],[Salary]]*0.03,Staff[[#This Row],[Salary]]*0.02),0)</f>
        <v>2774</v>
      </c>
      <c r="K58">
        <f>_xlfn.XLOOKUP(Staff[[#This Row],[Rating]],Rating!$B$2:$B$6,Rating!$C$2:$C$6)</f>
        <v>3</v>
      </c>
    </row>
    <row r="59" spans="1:11" x14ac:dyDescent="0.3">
      <c r="A59" s="7" t="s">
        <v>113</v>
      </c>
      <c r="B59" s="7" t="s">
        <v>15</v>
      </c>
      <c r="C59">
        <v>31</v>
      </c>
      <c r="D59" t="s">
        <v>16</v>
      </c>
      <c r="E59" s="8">
        <v>44450</v>
      </c>
      <c r="F59" s="7" t="s">
        <v>12</v>
      </c>
      <c r="G59" s="6">
        <v>48950</v>
      </c>
      <c r="H59" t="s">
        <v>205</v>
      </c>
      <c r="I59" s="9">
        <f ca="1">(TODAY()-Staff[[#This Row],[Date Joined]])/365</f>
        <v>1.9424657534246574</v>
      </c>
      <c r="J59" s="6">
        <f ca="1">ROUNDUP(IF(Staff[[#This Row],[Tenure]]&gt;2,Staff[[#This Row],[Salary]]*0.03,Staff[[#This Row],[Salary]]*0.02),0)</f>
        <v>979</v>
      </c>
      <c r="K59">
        <f>_xlfn.XLOOKUP(Staff[[#This Row],[Rating]],Rating!$B$2:$B$6,Rating!$C$2:$C$6)</f>
        <v>3</v>
      </c>
    </row>
    <row r="60" spans="1:11" x14ac:dyDescent="0.3">
      <c r="A60" s="7" t="s">
        <v>185</v>
      </c>
      <c r="B60" s="7" t="s">
        <v>8</v>
      </c>
      <c r="C60">
        <v>27</v>
      </c>
      <c r="D60" t="s">
        <v>16</v>
      </c>
      <c r="E60" s="8">
        <v>44625</v>
      </c>
      <c r="F60" s="7" t="s">
        <v>12</v>
      </c>
      <c r="G60" s="6">
        <v>83750</v>
      </c>
      <c r="H60" t="s">
        <v>205</v>
      </c>
      <c r="I60" s="9">
        <f ca="1">(TODAY()-Staff[[#This Row],[Date Joined]])/365</f>
        <v>1.463013698630137</v>
      </c>
      <c r="J60" s="6">
        <f ca="1">ROUNDUP(IF(Staff[[#This Row],[Tenure]]&gt;2,Staff[[#This Row],[Salary]]*0.03,Staff[[#This Row],[Salary]]*0.02),0)</f>
        <v>1675</v>
      </c>
      <c r="K60">
        <f>_xlfn.XLOOKUP(Staff[[#This Row],[Rating]],Rating!$B$2:$B$6,Rating!$C$2:$C$6)</f>
        <v>3</v>
      </c>
    </row>
    <row r="61" spans="1:11" x14ac:dyDescent="0.3">
      <c r="A61" s="7" t="s">
        <v>166</v>
      </c>
      <c r="B61" s="7" t="s">
        <v>8</v>
      </c>
      <c r="C61">
        <v>40</v>
      </c>
      <c r="D61" t="s">
        <v>16</v>
      </c>
      <c r="E61" s="8">
        <v>44276</v>
      </c>
      <c r="F61" s="7" t="s">
        <v>12</v>
      </c>
      <c r="G61" s="6">
        <v>87620</v>
      </c>
      <c r="H61" t="s">
        <v>205</v>
      </c>
      <c r="I61" s="9">
        <f ca="1">(TODAY()-Staff[[#This Row],[Date Joined]])/365</f>
        <v>2.419178082191781</v>
      </c>
      <c r="J61" s="6">
        <f ca="1">ROUNDUP(IF(Staff[[#This Row],[Tenure]]&gt;2,Staff[[#This Row],[Salary]]*0.03,Staff[[#This Row],[Salary]]*0.02),0)</f>
        <v>2629</v>
      </c>
      <c r="K61">
        <f>_xlfn.XLOOKUP(Staff[[#This Row],[Rating]],Rating!$B$2:$B$6,Rating!$C$2:$C$6)</f>
        <v>3</v>
      </c>
    </row>
    <row r="62" spans="1:11" x14ac:dyDescent="0.3">
      <c r="A62" s="7" t="s">
        <v>184</v>
      </c>
      <c r="B62" s="7" t="s">
        <v>8</v>
      </c>
      <c r="C62">
        <v>20</v>
      </c>
      <c r="D62" t="s">
        <v>24</v>
      </c>
      <c r="E62" s="8">
        <v>44476</v>
      </c>
      <c r="F62" s="7" t="s">
        <v>19</v>
      </c>
      <c r="G62" s="6">
        <v>68900</v>
      </c>
      <c r="H62" t="s">
        <v>205</v>
      </c>
      <c r="I62" s="9">
        <f ca="1">(TODAY()-Staff[[#This Row],[Date Joined]])/365</f>
        <v>1.8712328767123287</v>
      </c>
      <c r="J62" s="6">
        <f ca="1">ROUNDUP(IF(Staff[[#This Row],[Tenure]]&gt;2,Staff[[#This Row],[Salary]]*0.03,Staff[[#This Row],[Salary]]*0.02),0)</f>
        <v>1378</v>
      </c>
      <c r="K62">
        <f>_xlfn.XLOOKUP(Staff[[#This Row],[Rating]],Rating!$B$2:$B$6,Rating!$C$2:$C$6)</f>
        <v>2</v>
      </c>
    </row>
    <row r="63" spans="1:11" x14ac:dyDescent="0.3">
      <c r="A63" s="7" t="s">
        <v>157</v>
      </c>
      <c r="B63" s="7" t="s">
        <v>15</v>
      </c>
      <c r="C63">
        <v>32</v>
      </c>
      <c r="D63" t="s">
        <v>16</v>
      </c>
      <c r="E63" s="8">
        <v>44403</v>
      </c>
      <c r="F63" s="7" t="s">
        <v>19</v>
      </c>
      <c r="G63" s="6">
        <v>53540</v>
      </c>
      <c r="H63" t="s">
        <v>205</v>
      </c>
      <c r="I63" s="9">
        <f ca="1">(TODAY()-Staff[[#This Row],[Date Joined]])/365</f>
        <v>2.0712328767123287</v>
      </c>
      <c r="J63" s="6">
        <f ca="1">ROUNDUP(IF(Staff[[#This Row],[Tenure]]&gt;2,Staff[[#This Row],[Salary]]*0.03,Staff[[#This Row],[Salary]]*0.02),0)</f>
        <v>1607</v>
      </c>
      <c r="K63">
        <f>_xlfn.XLOOKUP(Staff[[#This Row],[Rating]],Rating!$B$2:$B$6,Rating!$C$2:$C$6)</f>
        <v>3</v>
      </c>
    </row>
    <row r="64" spans="1:11" x14ac:dyDescent="0.3">
      <c r="A64" s="7" t="s">
        <v>172</v>
      </c>
      <c r="B64" s="7" t="s">
        <v>15</v>
      </c>
      <c r="C64">
        <v>28</v>
      </c>
      <c r="D64" t="s">
        <v>42</v>
      </c>
      <c r="E64" s="8">
        <v>44758</v>
      </c>
      <c r="F64" s="7" t="s">
        <v>19</v>
      </c>
      <c r="G64" s="6">
        <v>43510</v>
      </c>
      <c r="H64" t="s">
        <v>205</v>
      </c>
      <c r="I64" s="9">
        <f ca="1">(TODAY()-Staff[[#This Row],[Date Joined]])/365</f>
        <v>1.0986301369863014</v>
      </c>
      <c r="J64" s="6">
        <f ca="1">ROUNDUP(IF(Staff[[#This Row],[Tenure]]&gt;2,Staff[[#This Row],[Salary]]*0.03,Staff[[#This Row],[Salary]]*0.02),0)</f>
        <v>871</v>
      </c>
      <c r="K64">
        <f>_xlfn.XLOOKUP(Staff[[#This Row],[Rating]],Rating!$B$2:$B$6,Rating!$C$2:$C$6)</f>
        <v>1</v>
      </c>
    </row>
    <row r="65" spans="1:11" x14ac:dyDescent="0.3">
      <c r="A65" s="7" t="s">
        <v>127</v>
      </c>
      <c r="B65" s="7" t="s">
        <v>8</v>
      </c>
      <c r="C65">
        <v>38</v>
      </c>
      <c r="D65" t="s">
        <v>10</v>
      </c>
      <c r="E65" s="8">
        <v>44316</v>
      </c>
      <c r="F65" s="7" t="s">
        <v>19</v>
      </c>
      <c r="G65" s="6">
        <v>109160</v>
      </c>
      <c r="H65" t="s">
        <v>205</v>
      </c>
      <c r="I65" s="9">
        <f ca="1">(TODAY()-Staff[[#This Row],[Date Joined]])/365</f>
        <v>2.3095890410958906</v>
      </c>
      <c r="J65" s="6">
        <f ca="1">ROUNDUP(IF(Staff[[#This Row],[Tenure]]&gt;2,Staff[[#This Row],[Salary]]*0.03,Staff[[#This Row],[Salary]]*0.02),0)</f>
        <v>3275</v>
      </c>
      <c r="K65">
        <f>_xlfn.XLOOKUP(Staff[[#This Row],[Rating]],Rating!$B$2:$B$6,Rating!$C$2:$C$6)</f>
        <v>5</v>
      </c>
    </row>
    <row r="66" spans="1:11" x14ac:dyDescent="0.3">
      <c r="A66" s="7" t="s">
        <v>198</v>
      </c>
      <c r="B66" s="7" t="s">
        <v>15</v>
      </c>
      <c r="C66">
        <v>40</v>
      </c>
      <c r="D66" t="s">
        <v>16</v>
      </c>
      <c r="E66" s="8">
        <v>44204</v>
      </c>
      <c r="F66" s="7" t="s">
        <v>9</v>
      </c>
      <c r="G66" s="6">
        <v>99750</v>
      </c>
      <c r="H66" t="s">
        <v>205</v>
      </c>
      <c r="I66" s="9">
        <f ca="1">(TODAY()-Staff[[#This Row],[Date Joined]])/365</f>
        <v>2.6164383561643834</v>
      </c>
      <c r="J66" s="6">
        <f ca="1">ROUNDUP(IF(Staff[[#This Row],[Tenure]]&gt;2,Staff[[#This Row],[Salary]]*0.03,Staff[[#This Row],[Salary]]*0.02),0)</f>
        <v>2993</v>
      </c>
      <c r="K66">
        <f>_xlfn.XLOOKUP(Staff[[#This Row],[Rating]],Rating!$B$2:$B$6,Rating!$C$2:$C$6)</f>
        <v>3</v>
      </c>
    </row>
    <row r="67" spans="1:11" x14ac:dyDescent="0.3">
      <c r="A67" s="7" t="s">
        <v>124</v>
      </c>
      <c r="B67" s="7" t="s">
        <v>8</v>
      </c>
      <c r="C67">
        <v>31</v>
      </c>
      <c r="D67" t="s">
        <v>16</v>
      </c>
      <c r="E67" s="8">
        <v>44084</v>
      </c>
      <c r="F67" s="7" t="s">
        <v>12</v>
      </c>
      <c r="G67" s="6">
        <v>41980</v>
      </c>
      <c r="H67" t="s">
        <v>205</v>
      </c>
      <c r="I67" s="9">
        <f ca="1">(TODAY()-Staff[[#This Row],[Date Joined]])/365</f>
        <v>2.9452054794520546</v>
      </c>
      <c r="J67" s="6">
        <f ca="1">ROUNDUP(IF(Staff[[#This Row],[Tenure]]&gt;2,Staff[[#This Row],[Salary]]*0.03,Staff[[#This Row],[Salary]]*0.02),0)</f>
        <v>1260</v>
      </c>
      <c r="K67">
        <f>_xlfn.XLOOKUP(Staff[[#This Row],[Rating]],Rating!$B$2:$B$6,Rating!$C$2:$C$6)</f>
        <v>3</v>
      </c>
    </row>
    <row r="68" spans="1:11" x14ac:dyDescent="0.3">
      <c r="A68" s="7" t="s">
        <v>187</v>
      </c>
      <c r="B68" s="7" t="s">
        <v>15</v>
      </c>
      <c r="C68">
        <v>36</v>
      </c>
      <c r="D68" t="s">
        <v>16</v>
      </c>
      <c r="E68" s="8">
        <v>44272</v>
      </c>
      <c r="F68" s="7" t="s">
        <v>21</v>
      </c>
      <c r="G68" s="6">
        <v>71380</v>
      </c>
      <c r="H68" t="s">
        <v>205</v>
      </c>
      <c r="I68" s="9">
        <f ca="1">(TODAY()-Staff[[#This Row],[Date Joined]])/365</f>
        <v>2.43013698630137</v>
      </c>
      <c r="J68" s="6">
        <f ca="1">ROUNDUP(IF(Staff[[#This Row],[Tenure]]&gt;2,Staff[[#This Row],[Salary]]*0.03,Staff[[#This Row],[Salary]]*0.02),0)</f>
        <v>2142</v>
      </c>
      <c r="K68">
        <f>_xlfn.XLOOKUP(Staff[[#This Row],[Rating]],Rating!$B$2:$B$6,Rating!$C$2:$C$6)</f>
        <v>3</v>
      </c>
    </row>
    <row r="69" spans="1:11" x14ac:dyDescent="0.3">
      <c r="A69" s="7" t="s">
        <v>191</v>
      </c>
      <c r="B69" s="7" t="s">
        <v>15</v>
      </c>
      <c r="C69">
        <v>27</v>
      </c>
      <c r="D69" t="s">
        <v>42</v>
      </c>
      <c r="E69" s="8">
        <v>44547</v>
      </c>
      <c r="F69" s="7" t="s">
        <v>9</v>
      </c>
      <c r="G69" s="6">
        <v>113280</v>
      </c>
      <c r="H69" t="s">
        <v>205</v>
      </c>
      <c r="I69" s="9">
        <f ca="1">(TODAY()-Staff[[#This Row],[Date Joined]])/365</f>
        <v>1.6767123287671233</v>
      </c>
      <c r="J69" s="6">
        <f ca="1">ROUNDUP(IF(Staff[[#This Row],[Tenure]]&gt;2,Staff[[#This Row],[Salary]]*0.03,Staff[[#This Row],[Salary]]*0.02),0)</f>
        <v>2266</v>
      </c>
      <c r="K69">
        <f>_xlfn.XLOOKUP(Staff[[#This Row],[Rating]],Rating!$B$2:$B$6,Rating!$C$2:$C$6)</f>
        <v>1</v>
      </c>
    </row>
    <row r="70" spans="1:11" x14ac:dyDescent="0.3">
      <c r="A70" s="7" t="s">
        <v>181</v>
      </c>
      <c r="B70" s="7" t="s">
        <v>8</v>
      </c>
      <c r="C70">
        <v>33</v>
      </c>
      <c r="D70" t="s">
        <v>16</v>
      </c>
      <c r="E70" s="8">
        <v>44747</v>
      </c>
      <c r="F70" s="7" t="s">
        <v>21</v>
      </c>
      <c r="G70" s="6">
        <v>86570</v>
      </c>
      <c r="H70" t="s">
        <v>205</v>
      </c>
      <c r="I70" s="9">
        <f ca="1">(TODAY()-Staff[[#This Row],[Date Joined]])/365</f>
        <v>1.1287671232876713</v>
      </c>
      <c r="J70" s="6">
        <f ca="1">ROUNDUP(IF(Staff[[#This Row],[Tenure]]&gt;2,Staff[[#This Row],[Salary]]*0.03,Staff[[#This Row],[Salary]]*0.02),0)</f>
        <v>1732</v>
      </c>
      <c r="K70">
        <f>_xlfn.XLOOKUP(Staff[[#This Row],[Rating]],Rating!$B$2:$B$6,Rating!$C$2:$C$6)</f>
        <v>3</v>
      </c>
    </row>
    <row r="71" spans="1:11" x14ac:dyDescent="0.3">
      <c r="A71" s="7" t="s">
        <v>139</v>
      </c>
      <c r="B71" s="7" t="s">
        <v>15</v>
      </c>
      <c r="C71">
        <v>26</v>
      </c>
      <c r="D71" t="s">
        <v>16</v>
      </c>
      <c r="E71" s="8">
        <v>44350</v>
      </c>
      <c r="F71" s="7" t="s">
        <v>9</v>
      </c>
      <c r="G71" s="6">
        <v>53540</v>
      </c>
      <c r="H71" t="s">
        <v>205</v>
      </c>
      <c r="I71" s="9">
        <f ca="1">(TODAY()-Staff[[#This Row],[Date Joined]])/365</f>
        <v>2.2164383561643834</v>
      </c>
      <c r="J71" s="6">
        <f ca="1">ROUNDUP(IF(Staff[[#This Row],[Tenure]]&gt;2,Staff[[#This Row],[Salary]]*0.03,Staff[[#This Row],[Salary]]*0.02),0)</f>
        <v>1607</v>
      </c>
      <c r="K71">
        <f>_xlfn.XLOOKUP(Staff[[#This Row],[Rating]],Rating!$B$2:$B$6,Rating!$C$2:$C$6)</f>
        <v>3</v>
      </c>
    </row>
    <row r="72" spans="1:11" x14ac:dyDescent="0.3">
      <c r="A72" s="7" t="s">
        <v>190</v>
      </c>
      <c r="B72" s="7" t="s">
        <v>15</v>
      </c>
      <c r="C72">
        <v>37</v>
      </c>
      <c r="D72" t="s">
        <v>16</v>
      </c>
      <c r="E72" s="8">
        <v>44640</v>
      </c>
      <c r="F72" s="7" t="s">
        <v>12</v>
      </c>
      <c r="G72" s="6">
        <v>69070</v>
      </c>
      <c r="H72" t="s">
        <v>205</v>
      </c>
      <c r="I72" s="9">
        <f ca="1">(TODAY()-Staff[[#This Row],[Date Joined]])/365</f>
        <v>1.4219178082191781</v>
      </c>
      <c r="J72" s="6">
        <f ca="1">ROUNDUP(IF(Staff[[#This Row],[Tenure]]&gt;2,Staff[[#This Row],[Salary]]*0.03,Staff[[#This Row],[Salary]]*0.02),0)</f>
        <v>1382</v>
      </c>
      <c r="K72">
        <f>_xlfn.XLOOKUP(Staff[[#This Row],[Rating]],Rating!$B$2:$B$6,Rating!$C$2:$C$6)</f>
        <v>3</v>
      </c>
    </row>
    <row r="73" spans="1:11" x14ac:dyDescent="0.3">
      <c r="A73" s="7" t="s">
        <v>121</v>
      </c>
      <c r="B73" s="7" t="s">
        <v>8</v>
      </c>
      <c r="C73">
        <v>30</v>
      </c>
      <c r="D73" t="s">
        <v>24</v>
      </c>
      <c r="E73" s="8">
        <v>44328</v>
      </c>
      <c r="F73" s="7" t="s">
        <v>21</v>
      </c>
      <c r="G73" s="6">
        <v>67910</v>
      </c>
      <c r="H73" t="s">
        <v>205</v>
      </c>
      <c r="I73" s="9">
        <f ca="1">(TODAY()-Staff[[#This Row],[Date Joined]])/365</f>
        <v>2.2767123287671232</v>
      </c>
      <c r="J73" s="6">
        <f ca="1">ROUNDUP(IF(Staff[[#This Row],[Tenure]]&gt;2,Staff[[#This Row],[Salary]]*0.03,Staff[[#This Row],[Salary]]*0.02),0)</f>
        <v>2038</v>
      </c>
      <c r="K73">
        <f>_xlfn.XLOOKUP(Staff[[#This Row],[Rating]],Rating!$B$2:$B$6,Rating!$C$2:$C$6)</f>
        <v>2</v>
      </c>
    </row>
    <row r="74" spans="1:11" x14ac:dyDescent="0.3">
      <c r="A74" s="7" t="s">
        <v>119</v>
      </c>
      <c r="B74" s="7" t="s">
        <v>15</v>
      </c>
      <c r="C74">
        <v>30</v>
      </c>
      <c r="D74" t="s">
        <v>16</v>
      </c>
      <c r="E74" s="8">
        <v>44214</v>
      </c>
      <c r="F74" s="7" t="s">
        <v>12</v>
      </c>
      <c r="G74" s="6">
        <v>69120</v>
      </c>
      <c r="H74" t="s">
        <v>205</v>
      </c>
      <c r="I74" s="9">
        <f ca="1">(TODAY()-Staff[[#This Row],[Date Joined]])/365</f>
        <v>2.5890410958904111</v>
      </c>
      <c r="J74" s="6">
        <f ca="1">ROUNDUP(IF(Staff[[#This Row],[Tenure]]&gt;2,Staff[[#This Row],[Salary]]*0.03,Staff[[#This Row],[Salary]]*0.02),0)</f>
        <v>2074</v>
      </c>
      <c r="K74">
        <f>_xlfn.XLOOKUP(Staff[[#This Row],[Rating]],Rating!$B$2:$B$6,Rating!$C$2:$C$6)</f>
        <v>3</v>
      </c>
    </row>
    <row r="75" spans="1:11" x14ac:dyDescent="0.3">
      <c r="A75" s="7" t="s">
        <v>132</v>
      </c>
      <c r="B75" s="7" t="s">
        <v>8</v>
      </c>
      <c r="C75">
        <v>34</v>
      </c>
      <c r="D75" t="s">
        <v>16</v>
      </c>
      <c r="E75" s="8">
        <v>44550</v>
      </c>
      <c r="F75" s="7" t="s">
        <v>21</v>
      </c>
      <c r="G75" s="6">
        <v>60130</v>
      </c>
      <c r="H75" t="s">
        <v>205</v>
      </c>
      <c r="I75" s="9">
        <f ca="1">(TODAY()-Staff[[#This Row],[Date Joined]])/365</f>
        <v>1.6684931506849314</v>
      </c>
      <c r="J75" s="6">
        <f ca="1">ROUNDUP(IF(Staff[[#This Row],[Tenure]]&gt;2,Staff[[#This Row],[Salary]]*0.03,Staff[[#This Row],[Salary]]*0.02),0)</f>
        <v>1203</v>
      </c>
      <c r="K75">
        <f>_xlfn.XLOOKUP(Staff[[#This Row],[Rating]],Rating!$B$2:$B$6,Rating!$C$2:$C$6)</f>
        <v>3</v>
      </c>
    </row>
    <row r="76" spans="1:11" x14ac:dyDescent="0.3">
      <c r="A76" s="7" t="s">
        <v>161</v>
      </c>
      <c r="B76" s="7" t="s">
        <v>15</v>
      </c>
      <c r="C76">
        <v>23</v>
      </c>
      <c r="D76" t="s">
        <v>16</v>
      </c>
      <c r="E76" s="8">
        <v>44378</v>
      </c>
      <c r="F76" s="7" t="s">
        <v>9</v>
      </c>
      <c r="G76" s="6">
        <v>106460</v>
      </c>
      <c r="H76" t="s">
        <v>205</v>
      </c>
      <c r="I76" s="9">
        <f ca="1">(TODAY()-Staff[[#This Row],[Date Joined]])/365</f>
        <v>2.1397260273972605</v>
      </c>
      <c r="J76" s="6">
        <f ca="1">ROUNDUP(IF(Staff[[#This Row],[Tenure]]&gt;2,Staff[[#This Row],[Salary]]*0.03,Staff[[#This Row],[Salary]]*0.02),0)</f>
        <v>3194</v>
      </c>
      <c r="K76">
        <f>_xlfn.XLOOKUP(Staff[[#This Row],[Rating]],Rating!$B$2:$B$6,Rating!$C$2:$C$6)</f>
        <v>3</v>
      </c>
    </row>
    <row r="77" spans="1:11" x14ac:dyDescent="0.3">
      <c r="A77" s="7" t="s">
        <v>148</v>
      </c>
      <c r="B77" s="7" t="s">
        <v>8</v>
      </c>
      <c r="C77">
        <v>37</v>
      </c>
      <c r="D77" t="s">
        <v>16</v>
      </c>
      <c r="E77" s="8">
        <v>44389</v>
      </c>
      <c r="F77" s="7" t="s">
        <v>56</v>
      </c>
      <c r="G77" s="6">
        <v>118100</v>
      </c>
      <c r="H77" t="s">
        <v>205</v>
      </c>
      <c r="I77" s="9">
        <f ca="1">(TODAY()-Staff[[#This Row],[Date Joined]])/365</f>
        <v>2.1095890410958904</v>
      </c>
      <c r="J77" s="6">
        <f ca="1">ROUNDUP(IF(Staff[[#This Row],[Tenure]]&gt;2,Staff[[#This Row],[Salary]]*0.03,Staff[[#This Row],[Salary]]*0.02),0)</f>
        <v>3543</v>
      </c>
      <c r="K77">
        <f>_xlfn.XLOOKUP(Staff[[#This Row],[Rating]],Rating!$B$2:$B$6,Rating!$C$2:$C$6)</f>
        <v>3</v>
      </c>
    </row>
    <row r="78" spans="1:11" x14ac:dyDescent="0.3">
      <c r="A78" s="7" t="s">
        <v>164</v>
      </c>
      <c r="B78" s="7" t="s">
        <v>8</v>
      </c>
      <c r="C78">
        <v>36</v>
      </c>
      <c r="D78" t="s">
        <v>16</v>
      </c>
      <c r="E78" s="8">
        <v>44468</v>
      </c>
      <c r="F78" s="7" t="s">
        <v>9</v>
      </c>
      <c r="G78" s="6">
        <v>78390</v>
      </c>
      <c r="H78" t="s">
        <v>205</v>
      </c>
      <c r="I78" s="9">
        <f ca="1">(TODAY()-Staff[[#This Row],[Date Joined]])/365</f>
        <v>1.893150684931507</v>
      </c>
      <c r="J78" s="6">
        <f ca="1">ROUNDUP(IF(Staff[[#This Row],[Tenure]]&gt;2,Staff[[#This Row],[Salary]]*0.03,Staff[[#This Row],[Salary]]*0.02),0)</f>
        <v>1568</v>
      </c>
      <c r="K78">
        <f>_xlfn.XLOOKUP(Staff[[#This Row],[Rating]],Rating!$B$2:$B$6,Rating!$C$2:$C$6)</f>
        <v>3</v>
      </c>
    </row>
    <row r="79" spans="1:11" x14ac:dyDescent="0.3">
      <c r="A79" s="7" t="s">
        <v>147</v>
      </c>
      <c r="B79" s="7" t="s">
        <v>8</v>
      </c>
      <c r="C79">
        <v>30</v>
      </c>
      <c r="D79" t="s">
        <v>16</v>
      </c>
      <c r="E79" s="8">
        <v>44789</v>
      </c>
      <c r="F79" s="7" t="s">
        <v>9</v>
      </c>
      <c r="G79" s="6">
        <v>114180</v>
      </c>
      <c r="H79" t="s">
        <v>205</v>
      </c>
      <c r="I79" s="9">
        <f ca="1">(TODAY()-Staff[[#This Row],[Date Joined]])/365</f>
        <v>1.0136986301369864</v>
      </c>
      <c r="J79" s="6">
        <f ca="1">ROUNDUP(IF(Staff[[#This Row],[Tenure]]&gt;2,Staff[[#This Row],[Salary]]*0.03,Staff[[#This Row],[Salary]]*0.02),0)</f>
        <v>2284</v>
      </c>
      <c r="K79">
        <f>_xlfn.XLOOKUP(Staff[[#This Row],[Rating]],Rating!$B$2:$B$6,Rating!$C$2:$C$6)</f>
        <v>3</v>
      </c>
    </row>
    <row r="80" spans="1:11" x14ac:dyDescent="0.3">
      <c r="A80" s="7" t="s">
        <v>189</v>
      </c>
      <c r="B80" s="7" t="s">
        <v>8</v>
      </c>
      <c r="C80">
        <v>28</v>
      </c>
      <c r="D80" t="s">
        <v>16</v>
      </c>
      <c r="E80" s="8">
        <v>44590</v>
      </c>
      <c r="F80" s="7" t="s">
        <v>9</v>
      </c>
      <c r="G80" s="6">
        <v>104120</v>
      </c>
      <c r="H80" t="s">
        <v>205</v>
      </c>
      <c r="I80" s="9">
        <f ca="1">(TODAY()-Staff[[#This Row],[Date Joined]])/365</f>
        <v>1.558904109589041</v>
      </c>
      <c r="J80" s="6">
        <f ca="1">ROUNDUP(IF(Staff[[#This Row],[Tenure]]&gt;2,Staff[[#This Row],[Salary]]*0.03,Staff[[#This Row],[Salary]]*0.02),0)</f>
        <v>2083</v>
      </c>
      <c r="K80">
        <f>_xlfn.XLOOKUP(Staff[[#This Row],[Rating]],Rating!$B$2:$B$6,Rating!$C$2:$C$6)</f>
        <v>3</v>
      </c>
    </row>
    <row r="81" spans="1:11" x14ac:dyDescent="0.3">
      <c r="A81" s="7" t="s">
        <v>138</v>
      </c>
      <c r="B81" s="7" t="s">
        <v>15</v>
      </c>
      <c r="C81">
        <v>30</v>
      </c>
      <c r="D81" t="s">
        <v>16</v>
      </c>
      <c r="E81" s="8">
        <v>44640</v>
      </c>
      <c r="F81" s="7" t="s">
        <v>9</v>
      </c>
      <c r="G81" s="6">
        <v>67950</v>
      </c>
      <c r="H81" t="s">
        <v>205</v>
      </c>
      <c r="I81" s="9">
        <f ca="1">(TODAY()-Staff[[#This Row],[Date Joined]])/365</f>
        <v>1.4219178082191781</v>
      </c>
      <c r="J81" s="6">
        <f ca="1">ROUNDUP(IF(Staff[[#This Row],[Tenure]]&gt;2,Staff[[#This Row],[Salary]]*0.03,Staff[[#This Row],[Salary]]*0.02),0)</f>
        <v>1359</v>
      </c>
      <c r="K81">
        <f>_xlfn.XLOOKUP(Staff[[#This Row],[Rating]],Rating!$B$2:$B$6,Rating!$C$2:$C$6)</f>
        <v>3</v>
      </c>
    </row>
    <row r="82" spans="1:11" x14ac:dyDescent="0.3">
      <c r="A82" s="7" t="s">
        <v>137</v>
      </c>
      <c r="B82" s="7" t="s">
        <v>8</v>
      </c>
      <c r="C82">
        <v>29</v>
      </c>
      <c r="D82" t="s">
        <v>16</v>
      </c>
      <c r="E82" s="8">
        <v>43962</v>
      </c>
      <c r="F82" s="7" t="s">
        <v>12</v>
      </c>
      <c r="G82" s="6">
        <v>34980</v>
      </c>
      <c r="H82" t="s">
        <v>205</v>
      </c>
      <c r="I82" s="9">
        <f ca="1">(TODAY()-Staff[[#This Row],[Date Joined]])/365</f>
        <v>3.2794520547945205</v>
      </c>
      <c r="J82" s="6">
        <f ca="1">ROUNDUP(IF(Staff[[#This Row],[Tenure]]&gt;2,Staff[[#This Row],[Salary]]*0.03,Staff[[#This Row],[Salary]]*0.02),0)</f>
        <v>1050</v>
      </c>
      <c r="K82">
        <f>_xlfn.XLOOKUP(Staff[[#This Row],[Rating]],Rating!$B$2:$B$6,Rating!$C$2:$C$6)</f>
        <v>3</v>
      </c>
    </row>
    <row r="83" spans="1:11" x14ac:dyDescent="0.3">
      <c r="A83" s="7" t="s">
        <v>153</v>
      </c>
      <c r="B83" s="7" t="s">
        <v>8</v>
      </c>
      <c r="C83">
        <v>24</v>
      </c>
      <c r="D83" t="s">
        <v>16</v>
      </c>
      <c r="E83" s="8">
        <v>44087</v>
      </c>
      <c r="F83" s="7" t="s">
        <v>12</v>
      </c>
      <c r="G83" s="6">
        <v>62780</v>
      </c>
      <c r="H83" t="s">
        <v>205</v>
      </c>
      <c r="I83" s="9">
        <f ca="1">(TODAY()-Staff[[#This Row],[Date Joined]])/365</f>
        <v>2.9369863013698629</v>
      </c>
      <c r="J83" s="6">
        <f ca="1">ROUNDUP(IF(Staff[[#This Row],[Tenure]]&gt;2,Staff[[#This Row],[Salary]]*0.03,Staff[[#This Row],[Salary]]*0.02),0)</f>
        <v>1884</v>
      </c>
      <c r="K83">
        <f>_xlfn.XLOOKUP(Staff[[#This Row],[Rating]],Rating!$B$2:$B$6,Rating!$C$2:$C$6)</f>
        <v>3</v>
      </c>
    </row>
    <row r="84" spans="1:11" x14ac:dyDescent="0.3">
      <c r="A84" s="7" t="s">
        <v>117</v>
      </c>
      <c r="B84" s="7" t="s">
        <v>15</v>
      </c>
      <c r="C84">
        <v>20</v>
      </c>
      <c r="D84" t="s">
        <v>16</v>
      </c>
      <c r="E84" s="8">
        <v>44397</v>
      </c>
      <c r="F84" s="7" t="s">
        <v>12</v>
      </c>
      <c r="G84" s="6">
        <v>107700</v>
      </c>
      <c r="H84" t="s">
        <v>205</v>
      </c>
      <c r="I84" s="9">
        <f ca="1">(TODAY()-Staff[[#This Row],[Date Joined]])/365</f>
        <v>2.0876712328767124</v>
      </c>
      <c r="J84" s="6">
        <f ca="1">ROUNDUP(IF(Staff[[#This Row],[Tenure]]&gt;2,Staff[[#This Row],[Salary]]*0.03,Staff[[#This Row],[Salary]]*0.02),0)</f>
        <v>3231</v>
      </c>
      <c r="K84">
        <f>_xlfn.XLOOKUP(Staff[[#This Row],[Rating]],Rating!$B$2:$B$6,Rating!$C$2:$C$6)</f>
        <v>3</v>
      </c>
    </row>
    <row r="85" spans="1:11" x14ac:dyDescent="0.3">
      <c r="A85" s="7" t="s">
        <v>168</v>
      </c>
      <c r="B85" s="7" t="s">
        <v>15</v>
      </c>
      <c r="C85">
        <v>25</v>
      </c>
      <c r="D85" t="s">
        <v>16</v>
      </c>
      <c r="E85" s="8">
        <v>44322</v>
      </c>
      <c r="F85" s="7" t="s">
        <v>19</v>
      </c>
      <c r="G85" s="6">
        <v>65700</v>
      </c>
      <c r="H85" t="s">
        <v>205</v>
      </c>
      <c r="I85" s="9">
        <f ca="1">(TODAY()-Staff[[#This Row],[Date Joined]])/365</f>
        <v>2.2931506849315069</v>
      </c>
      <c r="J85" s="6">
        <f ca="1">ROUNDUP(IF(Staff[[#This Row],[Tenure]]&gt;2,Staff[[#This Row],[Salary]]*0.03,Staff[[#This Row],[Salary]]*0.02),0)</f>
        <v>1971</v>
      </c>
      <c r="K85">
        <f>_xlfn.XLOOKUP(Staff[[#This Row],[Rating]],Rating!$B$2:$B$6,Rating!$C$2:$C$6)</f>
        <v>3</v>
      </c>
    </row>
    <row r="86" spans="1:11" x14ac:dyDescent="0.3">
      <c r="A86" s="7" t="s">
        <v>135</v>
      </c>
      <c r="B86" s="7" t="s">
        <v>8</v>
      </c>
      <c r="C86">
        <v>33</v>
      </c>
      <c r="D86" t="s">
        <v>42</v>
      </c>
      <c r="E86" s="8">
        <v>44313</v>
      </c>
      <c r="F86" s="7" t="s">
        <v>12</v>
      </c>
      <c r="G86" s="6">
        <v>75480</v>
      </c>
      <c r="H86" t="s">
        <v>205</v>
      </c>
      <c r="I86" s="9">
        <f ca="1">(TODAY()-Staff[[#This Row],[Date Joined]])/365</f>
        <v>2.3178082191780822</v>
      </c>
      <c r="J86" s="6">
        <f ca="1">ROUNDUP(IF(Staff[[#This Row],[Tenure]]&gt;2,Staff[[#This Row],[Salary]]*0.03,Staff[[#This Row],[Salary]]*0.02),0)</f>
        <v>2265</v>
      </c>
      <c r="K86">
        <f>_xlfn.XLOOKUP(Staff[[#This Row],[Rating]],Rating!$B$2:$B$6,Rating!$C$2:$C$6)</f>
        <v>1</v>
      </c>
    </row>
    <row r="87" spans="1:11" x14ac:dyDescent="0.3">
      <c r="A87" s="7" t="s">
        <v>174</v>
      </c>
      <c r="B87" s="7" t="s">
        <v>15</v>
      </c>
      <c r="C87">
        <v>33</v>
      </c>
      <c r="D87" t="s">
        <v>16</v>
      </c>
      <c r="E87" s="8">
        <v>44448</v>
      </c>
      <c r="F87" s="7" t="s">
        <v>12</v>
      </c>
      <c r="G87" s="6">
        <v>53870</v>
      </c>
      <c r="H87" t="s">
        <v>205</v>
      </c>
      <c r="I87" s="9">
        <f ca="1">(TODAY()-Staff[[#This Row],[Date Joined]])/365</f>
        <v>1.9479452054794522</v>
      </c>
      <c r="J87" s="6">
        <f ca="1">ROUNDUP(IF(Staff[[#This Row],[Tenure]]&gt;2,Staff[[#This Row],[Salary]]*0.03,Staff[[#This Row],[Salary]]*0.02),0)</f>
        <v>1078</v>
      </c>
      <c r="K87">
        <f>_xlfn.XLOOKUP(Staff[[#This Row],[Rating]],Rating!$B$2:$B$6,Rating!$C$2:$C$6)</f>
        <v>3</v>
      </c>
    </row>
    <row r="88" spans="1:11" x14ac:dyDescent="0.3">
      <c r="A88" s="7" t="s">
        <v>141</v>
      </c>
      <c r="B88" s="7" t="s">
        <v>8</v>
      </c>
      <c r="C88">
        <v>36</v>
      </c>
      <c r="D88" t="s">
        <v>16</v>
      </c>
      <c r="E88" s="8">
        <v>44433</v>
      </c>
      <c r="F88" s="7" t="s">
        <v>19</v>
      </c>
      <c r="G88" s="6">
        <v>78540</v>
      </c>
      <c r="H88" t="s">
        <v>205</v>
      </c>
      <c r="I88" s="9">
        <f ca="1">(TODAY()-Staff[[#This Row],[Date Joined]])/365</f>
        <v>1.989041095890411</v>
      </c>
      <c r="J88" s="6">
        <f ca="1">ROUNDUP(IF(Staff[[#This Row],[Tenure]]&gt;2,Staff[[#This Row],[Salary]]*0.03,Staff[[#This Row],[Salary]]*0.02),0)</f>
        <v>1571</v>
      </c>
      <c r="K88">
        <f>_xlfn.XLOOKUP(Staff[[#This Row],[Rating]],Rating!$B$2:$B$6,Rating!$C$2:$C$6)</f>
        <v>3</v>
      </c>
    </row>
    <row r="89" spans="1:11" x14ac:dyDescent="0.3">
      <c r="A89" s="7" t="s">
        <v>193</v>
      </c>
      <c r="B89" s="7" t="s">
        <v>15</v>
      </c>
      <c r="C89">
        <v>19</v>
      </c>
      <c r="D89" t="s">
        <v>16</v>
      </c>
      <c r="E89" s="8">
        <v>44218</v>
      </c>
      <c r="F89" s="7" t="s">
        <v>9</v>
      </c>
      <c r="G89" s="6">
        <v>58960</v>
      </c>
      <c r="H89" t="s">
        <v>205</v>
      </c>
      <c r="I89" s="9">
        <f ca="1">(TODAY()-Staff[[#This Row],[Date Joined]])/365</f>
        <v>2.5780821917808221</v>
      </c>
      <c r="J89" s="6">
        <f ca="1">ROUNDUP(IF(Staff[[#This Row],[Tenure]]&gt;2,Staff[[#This Row],[Salary]]*0.03,Staff[[#This Row],[Salary]]*0.02),0)</f>
        <v>1769</v>
      </c>
      <c r="K89">
        <f>_xlfn.XLOOKUP(Staff[[#This Row],[Rating]],Rating!$B$2:$B$6,Rating!$C$2:$C$6)</f>
        <v>3</v>
      </c>
    </row>
    <row r="90" spans="1:11" x14ac:dyDescent="0.3">
      <c r="A90" s="7" t="s">
        <v>162</v>
      </c>
      <c r="B90" s="7" t="s">
        <v>15</v>
      </c>
      <c r="C90">
        <v>46</v>
      </c>
      <c r="D90" t="s">
        <v>16</v>
      </c>
      <c r="E90" s="8">
        <v>44697</v>
      </c>
      <c r="F90" s="7" t="s">
        <v>9</v>
      </c>
      <c r="G90" s="6">
        <v>70610</v>
      </c>
      <c r="H90" t="s">
        <v>205</v>
      </c>
      <c r="I90" s="9">
        <f ca="1">(TODAY()-Staff[[#This Row],[Date Joined]])/365</f>
        <v>1.2657534246575342</v>
      </c>
      <c r="J90" s="6">
        <f ca="1">ROUNDUP(IF(Staff[[#This Row],[Tenure]]&gt;2,Staff[[#This Row],[Salary]]*0.03,Staff[[#This Row],[Salary]]*0.02),0)</f>
        <v>1413</v>
      </c>
      <c r="K90">
        <f>_xlfn.XLOOKUP(Staff[[#This Row],[Rating]],Rating!$B$2:$B$6,Rating!$C$2:$C$6)</f>
        <v>3</v>
      </c>
    </row>
    <row r="91" spans="1:11" x14ac:dyDescent="0.3">
      <c r="A91" s="7" t="s">
        <v>171</v>
      </c>
      <c r="B91" s="7" t="s">
        <v>15</v>
      </c>
      <c r="C91">
        <v>33</v>
      </c>
      <c r="D91" t="s">
        <v>16</v>
      </c>
      <c r="E91" s="8">
        <v>44181</v>
      </c>
      <c r="F91" s="7" t="s">
        <v>21</v>
      </c>
      <c r="G91" s="6">
        <v>59430</v>
      </c>
      <c r="H91" t="s">
        <v>205</v>
      </c>
      <c r="I91" s="9">
        <f ca="1">(TODAY()-Staff[[#This Row],[Date Joined]])/365</f>
        <v>2.6794520547945204</v>
      </c>
      <c r="J91" s="6">
        <f ca="1">ROUNDUP(IF(Staff[[#This Row],[Tenure]]&gt;2,Staff[[#This Row],[Salary]]*0.03,Staff[[#This Row],[Salary]]*0.02),0)</f>
        <v>1783</v>
      </c>
      <c r="K91">
        <f>_xlfn.XLOOKUP(Staff[[#This Row],[Rating]],Rating!$B$2:$B$6,Rating!$C$2:$C$6)</f>
        <v>3</v>
      </c>
    </row>
    <row r="92" spans="1:11" x14ac:dyDescent="0.3">
      <c r="A92" s="7" t="s">
        <v>144</v>
      </c>
      <c r="B92" s="7" t="s">
        <v>15</v>
      </c>
      <c r="C92">
        <v>33</v>
      </c>
      <c r="D92" t="s">
        <v>13</v>
      </c>
      <c r="E92" s="8">
        <v>44640</v>
      </c>
      <c r="F92" s="7" t="s">
        <v>9</v>
      </c>
      <c r="G92" s="6">
        <v>48530</v>
      </c>
      <c r="H92" t="s">
        <v>205</v>
      </c>
      <c r="I92" s="9">
        <f ca="1">(TODAY()-Staff[[#This Row],[Date Joined]])/365</f>
        <v>1.4219178082191781</v>
      </c>
      <c r="J92" s="6">
        <f ca="1">ROUNDUP(IF(Staff[[#This Row],[Tenure]]&gt;2,Staff[[#This Row],[Salary]]*0.03,Staff[[#This Row],[Salary]]*0.02),0)</f>
        <v>971</v>
      </c>
      <c r="K92">
        <f>_xlfn.XLOOKUP(Staff[[#This Row],[Rating]],Rating!$B$2:$B$6,Rating!$C$2:$C$6)</f>
        <v>4</v>
      </c>
    </row>
    <row r="93" spans="1:11" x14ac:dyDescent="0.3">
      <c r="A93" s="7" t="s">
        <v>163</v>
      </c>
      <c r="B93" s="7" t="s">
        <v>8</v>
      </c>
      <c r="C93">
        <v>33</v>
      </c>
      <c r="D93" t="s">
        <v>16</v>
      </c>
      <c r="E93" s="8">
        <v>44129</v>
      </c>
      <c r="F93" s="7" t="s">
        <v>12</v>
      </c>
      <c r="G93" s="6">
        <v>96140</v>
      </c>
      <c r="H93" t="s">
        <v>205</v>
      </c>
      <c r="I93" s="9">
        <f ca="1">(TODAY()-Staff[[#This Row],[Date Joined]])/365</f>
        <v>2.8219178082191783</v>
      </c>
      <c r="J93" s="6">
        <f ca="1">ROUNDUP(IF(Staff[[#This Row],[Tenure]]&gt;2,Staff[[#This Row],[Salary]]*0.03,Staff[[#This Row],[Salary]]*0.02),0)</f>
        <v>2885</v>
      </c>
      <c r="K93">
        <f>_xlfn.XLOOKUP(Staff[[#This Row],[Rating]],Rating!$B$2:$B$6,Rating!$C$2:$C$6)</f>
        <v>3</v>
      </c>
    </row>
    <row r="94" spans="1:11" x14ac:dyDescent="0.3">
      <c r="A94" s="7" t="s">
        <v>58</v>
      </c>
      <c r="B94" s="7" t="s">
        <v>15</v>
      </c>
      <c r="C94">
        <v>22</v>
      </c>
      <c r="D94" t="s">
        <v>13</v>
      </c>
      <c r="E94" s="8">
        <v>44446</v>
      </c>
      <c r="F94" s="7" t="s">
        <v>19</v>
      </c>
      <c r="G94" s="6">
        <v>112780</v>
      </c>
      <c r="H94" t="s">
        <v>207</v>
      </c>
      <c r="I94" s="9">
        <f ca="1">(TODAY()-Staff[[#This Row],[Date Joined]])/365</f>
        <v>1.9534246575342467</v>
      </c>
      <c r="J94" s="6">
        <f ca="1">ROUNDUP(IF(Staff[[#This Row],[Tenure]]&gt;2,Staff[[#This Row],[Salary]]*0.03,Staff[[#This Row],[Salary]]*0.02),0)</f>
        <v>2256</v>
      </c>
      <c r="K94">
        <f>_xlfn.XLOOKUP(Staff[[#This Row],[Rating]],Rating!$B$2:$B$6,Rating!$C$2:$C$6)</f>
        <v>4</v>
      </c>
    </row>
    <row r="95" spans="1:11" x14ac:dyDescent="0.3">
      <c r="A95" s="7" t="s">
        <v>70</v>
      </c>
      <c r="B95" s="7" t="s">
        <v>15</v>
      </c>
      <c r="C95">
        <v>46</v>
      </c>
      <c r="D95" t="s">
        <v>16</v>
      </c>
      <c r="E95" s="8">
        <v>44758</v>
      </c>
      <c r="F95" s="7" t="s">
        <v>9</v>
      </c>
      <c r="G95" s="6">
        <v>70610</v>
      </c>
      <c r="H95" t="s">
        <v>207</v>
      </c>
      <c r="I95" s="9">
        <f ca="1">(TODAY()-Staff[[#This Row],[Date Joined]])/365</f>
        <v>1.0986301369863014</v>
      </c>
      <c r="J95" s="6">
        <f ca="1">ROUNDUP(IF(Staff[[#This Row],[Tenure]]&gt;2,Staff[[#This Row],[Salary]]*0.03,Staff[[#This Row],[Salary]]*0.02),0)</f>
        <v>1413</v>
      </c>
      <c r="K95">
        <f>_xlfn.XLOOKUP(Staff[[#This Row],[Rating]],Rating!$B$2:$B$6,Rating!$C$2:$C$6)</f>
        <v>3</v>
      </c>
    </row>
    <row r="96" spans="1:11" x14ac:dyDescent="0.3">
      <c r="A96" s="7" t="s">
        <v>75</v>
      </c>
      <c r="B96" s="7" t="s">
        <v>8</v>
      </c>
      <c r="C96">
        <v>28</v>
      </c>
      <c r="D96" t="s">
        <v>16</v>
      </c>
      <c r="E96" s="8">
        <v>44357</v>
      </c>
      <c r="F96" s="7" t="s">
        <v>19</v>
      </c>
      <c r="G96" s="6">
        <v>53240</v>
      </c>
      <c r="H96" t="s">
        <v>207</v>
      </c>
      <c r="I96" s="9">
        <f ca="1">(TODAY()-Staff[[#This Row],[Date Joined]])/365</f>
        <v>2.1972602739726028</v>
      </c>
      <c r="J96" s="6">
        <f ca="1">ROUNDUP(IF(Staff[[#This Row],[Tenure]]&gt;2,Staff[[#This Row],[Salary]]*0.03,Staff[[#This Row],[Salary]]*0.02),0)</f>
        <v>1598</v>
      </c>
      <c r="K96">
        <f>_xlfn.XLOOKUP(Staff[[#This Row],[Rating]],Rating!$B$2:$B$6,Rating!$C$2:$C$6)</f>
        <v>3</v>
      </c>
    </row>
    <row r="97" spans="1:11" x14ac:dyDescent="0.3">
      <c r="A97" s="7" t="s">
        <v>49</v>
      </c>
      <c r="B97" s="7" t="s">
        <v>206</v>
      </c>
      <c r="C97">
        <v>37</v>
      </c>
      <c r="D97" t="s">
        <v>24</v>
      </c>
      <c r="E97" s="8">
        <v>44146</v>
      </c>
      <c r="F97" s="7" t="s">
        <v>21</v>
      </c>
      <c r="G97" s="6">
        <v>115440</v>
      </c>
      <c r="H97" t="s">
        <v>207</v>
      </c>
      <c r="I97" s="9">
        <f ca="1">(TODAY()-Staff[[#This Row],[Date Joined]])/365</f>
        <v>2.7753424657534245</v>
      </c>
      <c r="J97" s="6">
        <f ca="1">ROUNDUP(IF(Staff[[#This Row],[Tenure]]&gt;2,Staff[[#This Row],[Salary]]*0.03,Staff[[#This Row],[Salary]]*0.02),0)</f>
        <v>3464</v>
      </c>
      <c r="K97">
        <f>_xlfn.XLOOKUP(Staff[[#This Row],[Rating]],Rating!$B$2:$B$6,Rating!$C$2:$C$6)</f>
        <v>2</v>
      </c>
    </row>
    <row r="98" spans="1:11" x14ac:dyDescent="0.3">
      <c r="A98" s="7" t="s">
        <v>65</v>
      </c>
      <c r="B98" s="7" t="s">
        <v>15</v>
      </c>
      <c r="C98">
        <v>32</v>
      </c>
      <c r="D98" t="s">
        <v>16</v>
      </c>
      <c r="E98" s="8">
        <v>44465</v>
      </c>
      <c r="F98" s="7" t="s">
        <v>19</v>
      </c>
      <c r="G98" s="6">
        <v>53540</v>
      </c>
      <c r="H98" t="s">
        <v>207</v>
      </c>
      <c r="I98" s="9">
        <f ca="1">(TODAY()-Staff[[#This Row],[Date Joined]])/365</f>
        <v>1.9013698630136986</v>
      </c>
      <c r="J98" s="6">
        <f ca="1">ROUNDUP(IF(Staff[[#This Row],[Tenure]]&gt;2,Staff[[#This Row],[Salary]]*0.03,Staff[[#This Row],[Salary]]*0.02),0)</f>
        <v>1071</v>
      </c>
      <c r="K98">
        <f>_xlfn.XLOOKUP(Staff[[#This Row],[Rating]],Rating!$B$2:$B$6,Rating!$C$2:$C$6)</f>
        <v>3</v>
      </c>
    </row>
    <row r="99" spans="1:11" x14ac:dyDescent="0.3">
      <c r="A99" s="7" t="s">
        <v>81</v>
      </c>
      <c r="B99" s="7" t="s">
        <v>8</v>
      </c>
      <c r="C99">
        <v>30</v>
      </c>
      <c r="D99" t="s">
        <v>16</v>
      </c>
      <c r="E99" s="8">
        <v>44861</v>
      </c>
      <c r="F99" s="7" t="s">
        <v>9</v>
      </c>
      <c r="G99" s="6">
        <v>112570</v>
      </c>
      <c r="H99" t="s">
        <v>207</v>
      </c>
      <c r="I99" s="9">
        <f ca="1">(TODAY()-Staff[[#This Row],[Date Joined]])/365</f>
        <v>0.81643835616438354</v>
      </c>
      <c r="J99" s="6">
        <f ca="1">ROUNDUP(IF(Staff[[#This Row],[Tenure]]&gt;2,Staff[[#This Row],[Salary]]*0.03,Staff[[#This Row],[Salary]]*0.02),0)</f>
        <v>2252</v>
      </c>
      <c r="K99">
        <f>_xlfn.XLOOKUP(Staff[[#This Row],[Rating]],Rating!$B$2:$B$6,Rating!$C$2:$C$6)</f>
        <v>3</v>
      </c>
    </row>
    <row r="100" spans="1:11" x14ac:dyDescent="0.3">
      <c r="A100" s="7" t="s">
        <v>51</v>
      </c>
      <c r="B100" s="7" t="s">
        <v>15</v>
      </c>
      <c r="C100">
        <v>33</v>
      </c>
      <c r="D100" t="s">
        <v>13</v>
      </c>
      <c r="E100" s="8">
        <v>44701</v>
      </c>
      <c r="F100" s="7" t="s">
        <v>9</v>
      </c>
      <c r="G100" s="6">
        <v>48530</v>
      </c>
      <c r="H100" t="s">
        <v>207</v>
      </c>
      <c r="I100" s="9">
        <f ca="1">(TODAY()-Staff[[#This Row],[Date Joined]])/365</f>
        <v>1.2547945205479452</v>
      </c>
      <c r="J100" s="6">
        <f ca="1">ROUNDUP(IF(Staff[[#This Row],[Tenure]]&gt;2,Staff[[#This Row],[Salary]]*0.03,Staff[[#This Row],[Salary]]*0.02),0)</f>
        <v>971</v>
      </c>
      <c r="K100">
        <f>_xlfn.XLOOKUP(Staff[[#This Row],[Rating]],Rating!$B$2:$B$6,Rating!$C$2:$C$6)</f>
        <v>4</v>
      </c>
    </row>
    <row r="101" spans="1:11" x14ac:dyDescent="0.3">
      <c r="A101" s="7" t="s">
        <v>61</v>
      </c>
      <c r="B101" s="7" t="s">
        <v>8</v>
      </c>
      <c r="C101">
        <v>24</v>
      </c>
      <c r="D101" t="s">
        <v>16</v>
      </c>
      <c r="E101" s="8">
        <v>44148</v>
      </c>
      <c r="F101" s="7" t="s">
        <v>12</v>
      </c>
      <c r="G101" s="6">
        <v>62780</v>
      </c>
      <c r="H101" t="s">
        <v>207</v>
      </c>
      <c r="I101" s="9">
        <f ca="1">(TODAY()-Staff[[#This Row],[Date Joined]])/365</f>
        <v>2.7698630136986302</v>
      </c>
      <c r="J101" s="6">
        <f ca="1">ROUNDUP(IF(Staff[[#This Row],[Tenure]]&gt;2,Staff[[#This Row],[Salary]]*0.03,Staff[[#This Row],[Salary]]*0.02),0)</f>
        <v>1884</v>
      </c>
      <c r="K101">
        <f>_xlfn.XLOOKUP(Staff[[#This Row],[Rating]],Rating!$B$2:$B$6,Rating!$C$2:$C$6)</f>
        <v>3</v>
      </c>
    </row>
    <row r="102" spans="1:11" x14ac:dyDescent="0.3">
      <c r="A102" s="7" t="s">
        <v>82</v>
      </c>
      <c r="B102" s="7" t="s">
        <v>15</v>
      </c>
      <c r="C102">
        <v>33</v>
      </c>
      <c r="D102" t="s">
        <v>16</v>
      </c>
      <c r="E102" s="8">
        <v>44509</v>
      </c>
      <c r="F102" s="7" t="s">
        <v>12</v>
      </c>
      <c r="G102" s="6">
        <v>53870</v>
      </c>
      <c r="H102" t="s">
        <v>207</v>
      </c>
      <c r="I102" s="9">
        <f ca="1">(TODAY()-Staff[[#This Row],[Date Joined]])/365</f>
        <v>1.7808219178082192</v>
      </c>
      <c r="J102" s="6">
        <f ca="1">ROUNDUP(IF(Staff[[#This Row],[Tenure]]&gt;2,Staff[[#This Row],[Salary]]*0.03,Staff[[#This Row],[Salary]]*0.02),0)</f>
        <v>1078</v>
      </c>
      <c r="K102">
        <f>_xlfn.XLOOKUP(Staff[[#This Row],[Rating]],Rating!$B$2:$B$6,Rating!$C$2:$C$6)</f>
        <v>3</v>
      </c>
    </row>
    <row r="103" spans="1:11" x14ac:dyDescent="0.3">
      <c r="A103" s="7" t="s">
        <v>60</v>
      </c>
      <c r="B103" s="7" t="s">
        <v>8</v>
      </c>
      <c r="C103">
        <v>27</v>
      </c>
      <c r="D103" t="s">
        <v>16</v>
      </c>
      <c r="E103" s="8">
        <v>44122</v>
      </c>
      <c r="F103" s="7" t="s">
        <v>56</v>
      </c>
      <c r="G103" s="6">
        <v>119110</v>
      </c>
      <c r="H103" t="s">
        <v>207</v>
      </c>
      <c r="I103" s="9">
        <f ca="1">(TODAY()-Staff[[#This Row],[Date Joined]])/365</f>
        <v>2.8410958904109589</v>
      </c>
      <c r="J103" s="6">
        <f ca="1">ROUNDUP(IF(Staff[[#This Row],[Tenure]]&gt;2,Staff[[#This Row],[Salary]]*0.03,Staff[[#This Row],[Salary]]*0.02),0)</f>
        <v>3574</v>
      </c>
      <c r="K103">
        <f>_xlfn.XLOOKUP(Staff[[#This Row],[Rating]],Rating!$B$2:$B$6,Rating!$C$2:$C$6)</f>
        <v>3</v>
      </c>
    </row>
    <row r="104" spans="1:11" x14ac:dyDescent="0.3">
      <c r="A104" s="7" t="s">
        <v>87</v>
      </c>
      <c r="B104" s="7" t="s">
        <v>15</v>
      </c>
      <c r="C104">
        <v>29</v>
      </c>
      <c r="D104" t="s">
        <v>24</v>
      </c>
      <c r="E104" s="8">
        <v>44180</v>
      </c>
      <c r="F104" s="7" t="s">
        <v>12</v>
      </c>
      <c r="G104" s="6">
        <v>112110</v>
      </c>
      <c r="H104" t="s">
        <v>207</v>
      </c>
      <c r="I104" s="9">
        <f ca="1">(TODAY()-Staff[[#This Row],[Date Joined]])/365</f>
        <v>2.6821917808219178</v>
      </c>
      <c r="J104" s="6">
        <f ca="1">ROUNDUP(IF(Staff[[#This Row],[Tenure]]&gt;2,Staff[[#This Row],[Salary]]*0.03,Staff[[#This Row],[Salary]]*0.02),0)</f>
        <v>3364</v>
      </c>
      <c r="K104">
        <f>_xlfn.XLOOKUP(Staff[[#This Row],[Rating]],Rating!$B$2:$B$6,Rating!$C$2:$C$6)</f>
        <v>2</v>
      </c>
    </row>
    <row r="105" spans="1:11" x14ac:dyDescent="0.3">
      <c r="A105" s="7" t="s">
        <v>76</v>
      </c>
      <c r="B105" s="7" t="s">
        <v>15</v>
      </c>
      <c r="C105">
        <v>25</v>
      </c>
      <c r="D105" t="s">
        <v>16</v>
      </c>
      <c r="E105" s="8">
        <v>44383</v>
      </c>
      <c r="F105" s="7" t="s">
        <v>19</v>
      </c>
      <c r="G105" s="6">
        <v>65700</v>
      </c>
      <c r="H105" t="s">
        <v>207</v>
      </c>
      <c r="I105" s="9">
        <f ca="1">(TODAY()-Staff[[#This Row],[Date Joined]])/365</f>
        <v>2.1260273972602741</v>
      </c>
      <c r="J105" s="6">
        <f ca="1">ROUNDUP(IF(Staff[[#This Row],[Tenure]]&gt;2,Staff[[#This Row],[Salary]]*0.03,Staff[[#This Row],[Salary]]*0.02),0)</f>
        <v>1971</v>
      </c>
      <c r="K105">
        <f>_xlfn.XLOOKUP(Staff[[#This Row],[Rating]],Rating!$B$2:$B$6,Rating!$C$2:$C$6)</f>
        <v>3</v>
      </c>
    </row>
    <row r="106" spans="1:11" x14ac:dyDescent="0.3">
      <c r="A106" s="7" t="s">
        <v>97</v>
      </c>
      <c r="B106" s="7" t="s">
        <v>15</v>
      </c>
      <c r="C106">
        <v>37</v>
      </c>
      <c r="D106" t="s">
        <v>16</v>
      </c>
      <c r="E106" s="8">
        <v>44701</v>
      </c>
      <c r="F106" s="7" t="s">
        <v>12</v>
      </c>
      <c r="G106" s="6">
        <v>69070</v>
      </c>
      <c r="H106" t="s">
        <v>207</v>
      </c>
      <c r="I106" s="9">
        <f ca="1">(TODAY()-Staff[[#This Row],[Date Joined]])/365</f>
        <v>1.2547945205479452</v>
      </c>
      <c r="J106" s="6">
        <f ca="1">ROUNDUP(IF(Staff[[#This Row],[Tenure]]&gt;2,Staff[[#This Row],[Salary]]*0.03,Staff[[#This Row],[Salary]]*0.02),0)</f>
        <v>1382</v>
      </c>
      <c r="K106">
        <f>_xlfn.XLOOKUP(Staff[[#This Row],[Rating]],Rating!$B$2:$B$6,Rating!$C$2:$C$6)</f>
        <v>3</v>
      </c>
    </row>
    <row r="107" spans="1:11" x14ac:dyDescent="0.3">
      <c r="A107" s="7" t="s">
        <v>22</v>
      </c>
      <c r="B107" s="7" t="s">
        <v>15</v>
      </c>
      <c r="C107">
        <v>20</v>
      </c>
      <c r="D107" t="s">
        <v>16</v>
      </c>
      <c r="E107" s="8">
        <v>44459</v>
      </c>
      <c r="F107" s="7" t="s">
        <v>12</v>
      </c>
      <c r="G107" s="6">
        <v>107700</v>
      </c>
      <c r="H107" t="s">
        <v>207</v>
      </c>
      <c r="I107" s="9">
        <f ca="1">(TODAY()-Staff[[#This Row],[Date Joined]])/365</f>
        <v>1.9178082191780821</v>
      </c>
      <c r="J107" s="6">
        <f ca="1">ROUNDUP(IF(Staff[[#This Row],[Tenure]]&gt;2,Staff[[#This Row],[Salary]]*0.03,Staff[[#This Row],[Salary]]*0.02),0)</f>
        <v>2154</v>
      </c>
      <c r="K107">
        <f>_xlfn.XLOOKUP(Staff[[#This Row],[Rating]],Rating!$B$2:$B$6,Rating!$C$2:$C$6)</f>
        <v>3</v>
      </c>
    </row>
    <row r="108" spans="1:11" x14ac:dyDescent="0.3">
      <c r="A108" s="7" t="s">
        <v>84</v>
      </c>
      <c r="B108" s="7" t="s">
        <v>8</v>
      </c>
      <c r="C108">
        <v>32</v>
      </c>
      <c r="D108" t="s">
        <v>13</v>
      </c>
      <c r="E108" s="8">
        <v>44354</v>
      </c>
      <c r="F108" s="7" t="s">
        <v>12</v>
      </c>
      <c r="G108" s="6">
        <v>43840</v>
      </c>
      <c r="H108" t="s">
        <v>207</v>
      </c>
      <c r="I108" s="9">
        <f ca="1">(TODAY()-Staff[[#This Row],[Date Joined]])/365</f>
        <v>2.2054794520547945</v>
      </c>
      <c r="J108" s="6">
        <f ca="1">ROUNDUP(IF(Staff[[#This Row],[Tenure]]&gt;2,Staff[[#This Row],[Salary]]*0.03,Staff[[#This Row],[Salary]]*0.02),0)</f>
        <v>1316</v>
      </c>
      <c r="K108">
        <f>_xlfn.XLOOKUP(Staff[[#This Row],[Rating]],Rating!$B$2:$B$6,Rating!$C$2:$C$6)</f>
        <v>4</v>
      </c>
    </row>
    <row r="109" spans="1:11" x14ac:dyDescent="0.3">
      <c r="A109" s="7" t="s">
        <v>105</v>
      </c>
      <c r="B109" s="7" t="s">
        <v>15</v>
      </c>
      <c r="C109">
        <v>40</v>
      </c>
      <c r="D109" t="s">
        <v>16</v>
      </c>
      <c r="E109" s="8">
        <v>44263</v>
      </c>
      <c r="F109" s="7" t="s">
        <v>9</v>
      </c>
      <c r="G109" s="6">
        <v>99750</v>
      </c>
      <c r="H109" t="s">
        <v>207</v>
      </c>
      <c r="I109" s="9">
        <f ca="1">(TODAY()-Staff[[#This Row],[Date Joined]])/365</f>
        <v>2.4547945205479453</v>
      </c>
      <c r="J109" s="6">
        <f ca="1">ROUNDUP(IF(Staff[[#This Row],[Tenure]]&gt;2,Staff[[#This Row],[Salary]]*0.03,Staff[[#This Row],[Salary]]*0.02),0)</f>
        <v>2993</v>
      </c>
      <c r="K109">
        <f>_xlfn.XLOOKUP(Staff[[#This Row],[Rating]],Rating!$B$2:$B$6,Rating!$C$2:$C$6)</f>
        <v>3</v>
      </c>
    </row>
    <row r="110" spans="1:11" x14ac:dyDescent="0.3">
      <c r="A110" s="7" t="s">
        <v>47</v>
      </c>
      <c r="B110" s="7" t="s">
        <v>15</v>
      </c>
      <c r="C110">
        <v>21</v>
      </c>
      <c r="D110" t="s">
        <v>16</v>
      </c>
      <c r="E110" s="8">
        <v>44104</v>
      </c>
      <c r="F110" s="7" t="s">
        <v>9</v>
      </c>
      <c r="G110" s="6">
        <v>37920</v>
      </c>
      <c r="H110" t="s">
        <v>207</v>
      </c>
      <c r="I110" s="9">
        <f ca="1">(TODAY()-Staff[[#This Row],[Date Joined]])/365</f>
        <v>2.8904109589041096</v>
      </c>
      <c r="J110" s="6">
        <f ca="1">ROUNDUP(IF(Staff[[#This Row],[Tenure]]&gt;2,Staff[[#This Row],[Salary]]*0.03,Staff[[#This Row],[Salary]]*0.02),0)</f>
        <v>1138</v>
      </c>
      <c r="K110">
        <f>_xlfn.XLOOKUP(Staff[[#This Row],[Rating]],Rating!$B$2:$B$6,Rating!$C$2:$C$6)</f>
        <v>3</v>
      </c>
    </row>
    <row r="111" spans="1:11" x14ac:dyDescent="0.3">
      <c r="A111" s="7" t="s">
        <v>31</v>
      </c>
      <c r="B111" s="7" t="s">
        <v>15</v>
      </c>
      <c r="C111">
        <v>21</v>
      </c>
      <c r="D111" t="s">
        <v>16</v>
      </c>
      <c r="E111" s="8">
        <v>44762</v>
      </c>
      <c r="F111" s="7" t="s">
        <v>9</v>
      </c>
      <c r="G111" s="6">
        <v>57090</v>
      </c>
      <c r="H111" t="s">
        <v>207</v>
      </c>
      <c r="I111" s="9">
        <f ca="1">(TODAY()-Staff[[#This Row],[Date Joined]])/365</f>
        <v>1.0876712328767124</v>
      </c>
      <c r="J111" s="6">
        <f ca="1">ROUNDUP(IF(Staff[[#This Row],[Tenure]]&gt;2,Staff[[#This Row],[Salary]]*0.03,Staff[[#This Row],[Salary]]*0.02),0)</f>
        <v>1142</v>
      </c>
      <c r="K111">
        <f>_xlfn.XLOOKUP(Staff[[#This Row],[Rating]],Rating!$B$2:$B$6,Rating!$C$2:$C$6)</f>
        <v>3</v>
      </c>
    </row>
    <row r="112" spans="1:11" x14ac:dyDescent="0.3">
      <c r="A112" s="7" t="s">
        <v>30</v>
      </c>
      <c r="B112" s="7" t="s">
        <v>8</v>
      </c>
      <c r="C112">
        <v>31</v>
      </c>
      <c r="D112" t="s">
        <v>16</v>
      </c>
      <c r="E112" s="8">
        <v>44145</v>
      </c>
      <c r="F112" s="7" t="s">
        <v>12</v>
      </c>
      <c r="G112" s="6">
        <v>41980</v>
      </c>
      <c r="H112" t="s">
        <v>207</v>
      </c>
      <c r="I112" s="9">
        <f ca="1">(TODAY()-Staff[[#This Row],[Date Joined]])/365</f>
        <v>2.7780821917808218</v>
      </c>
      <c r="J112" s="6">
        <f ca="1">ROUNDUP(IF(Staff[[#This Row],[Tenure]]&gt;2,Staff[[#This Row],[Salary]]*0.03,Staff[[#This Row],[Salary]]*0.02),0)</f>
        <v>1260</v>
      </c>
      <c r="K112">
        <f>_xlfn.XLOOKUP(Staff[[#This Row],[Rating]],Rating!$B$2:$B$6,Rating!$C$2:$C$6)</f>
        <v>3</v>
      </c>
    </row>
    <row r="113" spans="1:11" x14ac:dyDescent="0.3">
      <c r="A113" s="7" t="s">
        <v>78</v>
      </c>
      <c r="B113" s="7" t="s">
        <v>15</v>
      </c>
      <c r="C113">
        <v>21</v>
      </c>
      <c r="D113" t="s">
        <v>16</v>
      </c>
      <c r="E113" s="8">
        <v>44242</v>
      </c>
      <c r="F113" s="7" t="s">
        <v>56</v>
      </c>
      <c r="G113" s="6">
        <v>75880</v>
      </c>
      <c r="H113" t="s">
        <v>207</v>
      </c>
      <c r="I113" s="9">
        <f ca="1">(TODAY()-Staff[[#This Row],[Date Joined]])/365</f>
        <v>2.5123287671232877</v>
      </c>
      <c r="J113" s="6">
        <f ca="1">ROUNDUP(IF(Staff[[#This Row],[Tenure]]&gt;2,Staff[[#This Row],[Salary]]*0.03,Staff[[#This Row],[Salary]]*0.02),0)</f>
        <v>2277</v>
      </c>
      <c r="K113">
        <f>_xlfn.XLOOKUP(Staff[[#This Row],[Rating]],Rating!$B$2:$B$6,Rating!$C$2:$C$6)</f>
        <v>3</v>
      </c>
    </row>
    <row r="114" spans="1:11" x14ac:dyDescent="0.3">
      <c r="A114" s="7" t="s">
        <v>36</v>
      </c>
      <c r="B114" s="7" t="s">
        <v>8</v>
      </c>
      <c r="C114">
        <v>34</v>
      </c>
      <c r="D114" t="s">
        <v>16</v>
      </c>
      <c r="E114" s="8">
        <v>44653</v>
      </c>
      <c r="F114" s="7" t="s">
        <v>21</v>
      </c>
      <c r="G114" s="6">
        <v>58940</v>
      </c>
      <c r="H114" t="s">
        <v>207</v>
      </c>
      <c r="I114" s="9">
        <f ca="1">(TODAY()-Staff[[#This Row],[Date Joined]])/365</f>
        <v>1.3863013698630138</v>
      </c>
      <c r="J114" s="6">
        <f ca="1">ROUNDUP(IF(Staff[[#This Row],[Tenure]]&gt;2,Staff[[#This Row],[Salary]]*0.03,Staff[[#This Row],[Salary]]*0.02),0)</f>
        <v>1179</v>
      </c>
      <c r="K114">
        <f>_xlfn.XLOOKUP(Staff[[#This Row],[Rating]],Rating!$B$2:$B$6,Rating!$C$2:$C$6)</f>
        <v>3</v>
      </c>
    </row>
    <row r="115" spans="1:11" x14ac:dyDescent="0.3">
      <c r="A115" s="7" t="s">
        <v>27</v>
      </c>
      <c r="B115" s="7" t="s">
        <v>8</v>
      </c>
      <c r="C115">
        <v>30</v>
      </c>
      <c r="D115" t="s">
        <v>24</v>
      </c>
      <c r="E115" s="8">
        <v>44389</v>
      </c>
      <c r="F115" s="7" t="s">
        <v>21</v>
      </c>
      <c r="G115" s="6">
        <v>67910</v>
      </c>
      <c r="H115" t="s">
        <v>207</v>
      </c>
      <c r="I115" s="9">
        <f ca="1">(TODAY()-Staff[[#This Row],[Date Joined]])/365</f>
        <v>2.1095890410958904</v>
      </c>
      <c r="J115" s="6">
        <f ca="1">ROUNDUP(IF(Staff[[#This Row],[Tenure]]&gt;2,Staff[[#This Row],[Salary]]*0.03,Staff[[#This Row],[Salary]]*0.02),0)</f>
        <v>2038</v>
      </c>
      <c r="K115">
        <f>_xlfn.XLOOKUP(Staff[[#This Row],[Rating]],Rating!$B$2:$B$6,Rating!$C$2:$C$6)</f>
        <v>2</v>
      </c>
    </row>
    <row r="116" spans="1:11" x14ac:dyDescent="0.3">
      <c r="A116" s="7" t="s">
        <v>26</v>
      </c>
      <c r="B116" s="7" t="s">
        <v>8</v>
      </c>
      <c r="C116">
        <v>31</v>
      </c>
      <c r="D116" t="s">
        <v>16</v>
      </c>
      <c r="E116" s="8">
        <v>44663</v>
      </c>
      <c r="F116" s="7" t="s">
        <v>12</v>
      </c>
      <c r="G116" s="6">
        <v>58100</v>
      </c>
      <c r="H116" t="s">
        <v>207</v>
      </c>
      <c r="I116" s="9">
        <f ca="1">(TODAY()-Staff[[#This Row],[Date Joined]])/365</f>
        <v>1.3589041095890411</v>
      </c>
      <c r="J116" s="6">
        <f ca="1">ROUNDUP(IF(Staff[[#This Row],[Tenure]]&gt;2,Staff[[#This Row],[Salary]]*0.03,Staff[[#This Row],[Salary]]*0.02),0)</f>
        <v>1162</v>
      </c>
      <c r="K116">
        <f>_xlfn.XLOOKUP(Staff[[#This Row],[Rating]],Rating!$B$2:$B$6,Rating!$C$2:$C$6)</f>
        <v>3</v>
      </c>
    </row>
    <row r="117" spans="1:11" x14ac:dyDescent="0.3">
      <c r="A117" s="7" t="s">
        <v>53</v>
      </c>
      <c r="B117" s="7" t="s">
        <v>15</v>
      </c>
      <c r="C117">
        <v>27</v>
      </c>
      <c r="D117" t="s">
        <v>16</v>
      </c>
      <c r="E117" s="8">
        <v>44567</v>
      </c>
      <c r="F117" s="7" t="s">
        <v>21</v>
      </c>
      <c r="G117" s="6">
        <v>48980</v>
      </c>
      <c r="H117" t="s">
        <v>207</v>
      </c>
      <c r="I117" s="9">
        <f ca="1">(TODAY()-Staff[[#This Row],[Date Joined]])/365</f>
        <v>1.6219178082191781</v>
      </c>
      <c r="J117" s="6">
        <f ca="1">ROUNDUP(IF(Staff[[#This Row],[Tenure]]&gt;2,Staff[[#This Row],[Salary]]*0.03,Staff[[#This Row],[Salary]]*0.02),0)</f>
        <v>980</v>
      </c>
      <c r="K117">
        <f>_xlfn.XLOOKUP(Staff[[#This Row],[Rating]],Rating!$B$2:$B$6,Rating!$C$2:$C$6)</f>
        <v>3</v>
      </c>
    </row>
    <row r="118" spans="1:11" x14ac:dyDescent="0.3">
      <c r="A118" s="7" t="s">
        <v>20</v>
      </c>
      <c r="B118" s="7" t="s">
        <v>206</v>
      </c>
      <c r="C118">
        <v>30</v>
      </c>
      <c r="D118" t="s">
        <v>16</v>
      </c>
      <c r="E118" s="8">
        <v>44597</v>
      </c>
      <c r="F118" s="7" t="s">
        <v>21</v>
      </c>
      <c r="G118" s="6">
        <v>64000</v>
      </c>
      <c r="H118" t="s">
        <v>207</v>
      </c>
      <c r="I118" s="9">
        <f ca="1">(TODAY()-Staff[[#This Row],[Date Joined]])/365</f>
        <v>1.5397260273972602</v>
      </c>
      <c r="J118" s="6">
        <f ca="1">ROUNDUP(IF(Staff[[#This Row],[Tenure]]&gt;2,Staff[[#This Row],[Salary]]*0.03,Staff[[#This Row],[Salary]]*0.02),0)</f>
        <v>1280</v>
      </c>
      <c r="K118">
        <f>_xlfn.XLOOKUP(Staff[[#This Row],[Rating]],Rating!$B$2:$B$6,Rating!$C$2:$C$6)</f>
        <v>3</v>
      </c>
    </row>
    <row r="119" spans="1:11" x14ac:dyDescent="0.3">
      <c r="A119" s="7" t="s">
        <v>7</v>
      </c>
      <c r="B119" s="7" t="s">
        <v>8</v>
      </c>
      <c r="C119">
        <v>42</v>
      </c>
      <c r="D119" t="s">
        <v>10</v>
      </c>
      <c r="E119" s="8">
        <v>44779</v>
      </c>
      <c r="F119" s="7" t="s">
        <v>9</v>
      </c>
      <c r="G119" s="6">
        <v>75000</v>
      </c>
      <c r="H119" t="s">
        <v>207</v>
      </c>
      <c r="I119" s="9">
        <f ca="1">(TODAY()-Staff[[#This Row],[Date Joined]])/365</f>
        <v>1.0410958904109588</v>
      </c>
      <c r="J119" s="6">
        <f ca="1">ROUNDUP(IF(Staff[[#This Row],[Tenure]]&gt;2,Staff[[#This Row],[Salary]]*0.03,Staff[[#This Row],[Salary]]*0.02),0)</f>
        <v>1500</v>
      </c>
      <c r="K119">
        <f>_xlfn.XLOOKUP(Staff[[#This Row],[Rating]],Rating!$B$2:$B$6,Rating!$C$2:$C$6)</f>
        <v>5</v>
      </c>
    </row>
    <row r="120" spans="1:11" x14ac:dyDescent="0.3">
      <c r="A120" s="7" t="s">
        <v>74</v>
      </c>
      <c r="B120" s="7" t="s">
        <v>8</v>
      </c>
      <c r="C120">
        <v>40</v>
      </c>
      <c r="D120" t="s">
        <v>16</v>
      </c>
      <c r="E120" s="8">
        <v>44337</v>
      </c>
      <c r="F120" s="7" t="s">
        <v>12</v>
      </c>
      <c r="G120" s="6">
        <v>87620</v>
      </c>
      <c r="H120" t="s">
        <v>207</v>
      </c>
      <c r="I120" s="9">
        <f ca="1">(TODAY()-Staff[[#This Row],[Date Joined]])/365</f>
        <v>2.2520547945205478</v>
      </c>
      <c r="J120" s="6">
        <f ca="1">ROUNDUP(IF(Staff[[#This Row],[Tenure]]&gt;2,Staff[[#This Row],[Salary]]*0.03,Staff[[#This Row],[Salary]]*0.02),0)</f>
        <v>2629</v>
      </c>
      <c r="K120">
        <f>_xlfn.XLOOKUP(Staff[[#This Row],[Rating]],Rating!$B$2:$B$6,Rating!$C$2:$C$6)</f>
        <v>3</v>
      </c>
    </row>
    <row r="121" spans="1:11" x14ac:dyDescent="0.3">
      <c r="A121" s="7" t="s">
        <v>44</v>
      </c>
      <c r="B121" s="7" t="s">
        <v>8</v>
      </c>
      <c r="C121">
        <v>29</v>
      </c>
      <c r="D121" t="s">
        <v>16</v>
      </c>
      <c r="E121" s="8">
        <v>44023</v>
      </c>
      <c r="F121" s="7" t="s">
        <v>12</v>
      </c>
      <c r="G121" s="6">
        <v>34980</v>
      </c>
      <c r="H121" t="s">
        <v>207</v>
      </c>
      <c r="I121" s="9">
        <f ca="1">(TODAY()-Staff[[#This Row],[Date Joined]])/365</f>
        <v>3.1123287671232878</v>
      </c>
      <c r="J121" s="6">
        <f ca="1">ROUNDUP(IF(Staff[[#This Row],[Tenure]]&gt;2,Staff[[#This Row],[Salary]]*0.03,Staff[[#This Row],[Salary]]*0.02),0)</f>
        <v>1050</v>
      </c>
      <c r="K121">
        <f>_xlfn.XLOOKUP(Staff[[#This Row],[Rating]],Rating!$B$2:$B$6,Rating!$C$2:$C$6)</f>
        <v>3</v>
      </c>
    </row>
    <row r="122" spans="1:11" x14ac:dyDescent="0.3">
      <c r="A122" s="7" t="s">
        <v>35</v>
      </c>
      <c r="B122" s="7" t="s">
        <v>8</v>
      </c>
      <c r="C122">
        <v>28</v>
      </c>
      <c r="D122" t="s">
        <v>16</v>
      </c>
      <c r="E122" s="8">
        <v>44185</v>
      </c>
      <c r="F122" s="7" t="s">
        <v>21</v>
      </c>
      <c r="G122" s="6">
        <v>75970</v>
      </c>
      <c r="H122" t="s">
        <v>207</v>
      </c>
      <c r="I122" s="9">
        <f ca="1">(TODAY()-Staff[[#This Row],[Date Joined]])/365</f>
        <v>2.6684931506849314</v>
      </c>
      <c r="J122" s="6">
        <f ca="1">ROUNDUP(IF(Staff[[#This Row],[Tenure]]&gt;2,Staff[[#This Row],[Salary]]*0.03,Staff[[#This Row],[Salary]]*0.02),0)</f>
        <v>2280</v>
      </c>
      <c r="K122">
        <f>_xlfn.XLOOKUP(Staff[[#This Row],[Rating]],Rating!$B$2:$B$6,Rating!$C$2:$C$6)</f>
        <v>3</v>
      </c>
    </row>
    <row r="123" spans="1:11" x14ac:dyDescent="0.3">
      <c r="A123" s="7" t="s">
        <v>38</v>
      </c>
      <c r="B123" s="7" t="s">
        <v>8</v>
      </c>
      <c r="C123">
        <v>34</v>
      </c>
      <c r="D123" t="s">
        <v>16</v>
      </c>
      <c r="E123" s="8">
        <v>44612</v>
      </c>
      <c r="F123" s="7" t="s">
        <v>21</v>
      </c>
      <c r="G123" s="6">
        <v>60130</v>
      </c>
      <c r="H123" t="s">
        <v>207</v>
      </c>
      <c r="I123" s="9">
        <f ca="1">(TODAY()-Staff[[#This Row],[Date Joined]])/365</f>
        <v>1.4986301369863013</v>
      </c>
      <c r="J123" s="6">
        <f ca="1">ROUNDUP(IF(Staff[[#This Row],[Tenure]]&gt;2,Staff[[#This Row],[Salary]]*0.03,Staff[[#This Row],[Salary]]*0.02),0)</f>
        <v>1203</v>
      </c>
      <c r="K123">
        <f>_xlfn.XLOOKUP(Staff[[#This Row],[Rating]],Rating!$B$2:$B$6,Rating!$C$2:$C$6)</f>
        <v>3</v>
      </c>
    </row>
    <row r="124" spans="1:11" x14ac:dyDescent="0.3">
      <c r="A124" s="7" t="s">
        <v>41</v>
      </c>
      <c r="B124" s="7" t="s">
        <v>8</v>
      </c>
      <c r="C124">
        <v>33</v>
      </c>
      <c r="D124" t="s">
        <v>42</v>
      </c>
      <c r="E124" s="8">
        <v>44374</v>
      </c>
      <c r="F124" s="7" t="s">
        <v>12</v>
      </c>
      <c r="G124" s="6">
        <v>75480</v>
      </c>
      <c r="H124" t="s">
        <v>207</v>
      </c>
      <c r="I124" s="9">
        <f ca="1">(TODAY()-Staff[[#This Row],[Date Joined]])/365</f>
        <v>2.1506849315068495</v>
      </c>
      <c r="J124" s="6">
        <f ca="1">ROUNDUP(IF(Staff[[#This Row],[Tenure]]&gt;2,Staff[[#This Row],[Salary]]*0.03,Staff[[#This Row],[Salary]]*0.02),0)</f>
        <v>2265</v>
      </c>
      <c r="K124">
        <f>_xlfn.XLOOKUP(Staff[[#This Row],[Rating]],Rating!$B$2:$B$6,Rating!$C$2:$C$6)</f>
        <v>1</v>
      </c>
    </row>
    <row r="125" spans="1:11" x14ac:dyDescent="0.3">
      <c r="A125" s="7" t="s">
        <v>40</v>
      </c>
      <c r="B125" s="7" t="s">
        <v>15</v>
      </c>
      <c r="C125">
        <v>33</v>
      </c>
      <c r="D125" t="s">
        <v>16</v>
      </c>
      <c r="E125" s="8">
        <v>44164</v>
      </c>
      <c r="F125" s="7" t="s">
        <v>9</v>
      </c>
      <c r="G125" s="6">
        <v>115920</v>
      </c>
      <c r="H125" t="s">
        <v>207</v>
      </c>
      <c r="I125" s="9">
        <f ca="1">(TODAY()-Staff[[#This Row],[Date Joined]])/365</f>
        <v>2.7260273972602738</v>
      </c>
      <c r="J125" s="6">
        <f ca="1">ROUNDUP(IF(Staff[[#This Row],[Tenure]]&gt;2,Staff[[#This Row],[Salary]]*0.03,Staff[[#This Row],[Salary]]*0.02),0)</f>
        <v>3478</v>
      </c>
      <c r="K125">
        <f>_xlfn.XLOOKUP(Staff[[#This Row],[Rating]],Rating!$B$2:$B$6,Rating!$C$2:$C$6)</f>
        <v>3</v>
      </c>
    </row>
    <row r="126" spans="1:11" x14ac:dyDescent="0.3">
      <c r="A126" s="7" t="s">
        <v>48</v>
      </c>
      <c r="B126" s="7" t="s">
        <v>8</v>
      </c>
      <c r="C126">
        <v>36</v>
      </c>
      <c r="D126" t="s">
        <v>16</v>
      </c>
      <c r="E126" s="8">
        <v>44494</v>
      </c>
      <c r="F126" s="7" t="s">
        <v>19</v>
      </c>
      <c r="G126" s="6">
        <v>78540</v>
      </c>
      <c r="H126" t="s">
        <v>207</v>
      </c>
      <c r="I126" s="9">
        <f ca="1">(TODAY()-Staff[[#This Row],[Date Joined]])/365</f>
        <v>1.821917808219178</v>
      </c>
      <c r="J126" s="6">
        <f ca="1">ROUNDUP(IF(Staff[[#This Row],[Tenure]]&gt;2,Staff[[#This Row],[Salary]]*0.03,Staff[[#This Row],[Salary]]*0.02),0)</f>
        <v>1571</v>
      </c>
      <c r="K126">
        <f>_xlfn.XLOOKUP(Staff[[#This Row],[Rating]],Rating!$B$2:$B$6,Rating!$C$2:$C$6)</f>
        <v>3</v>
      </c>
    </row>
    <row r="127" spans="1:11" x14ac:dyDescent="0.3">
      <c r="A127" s="7" t="s">
        <v>34</v>
      </c>
      <c r="B127" s="7" t="s">
        <v>15</v>
      </c>
      <c r="C127">
        <v>25</v>
      </c>
      <c r="D127" t="s">
        <v>13</v>
      </c>
      <c r="E127" s="8">
        <v>44726</v>
      </c>
      <c r="F127" s="7" t="s">
        <v>9</v>
      </c>
      <c r="G127" s="6">
        <v>109190</v>
      </c>
      <c r="H127" t="s">
        <v>207</v>
      </c>
      <c r="I127" s="9">
        <f ca="1">(TODAY()-Staff[[#This Row],[Date Joined]])/365</f>
        <v>1.1863013698630136</v>
      </c>
      <c r="J127" s="6">
        <f ca="1">ROUNDUP(IF(Staff[[#This Row],[Tenure]]&gt;2,Staff[[#This Row],[Salary]]*0.03,Staff[[#This Row],[Salary]]*0.02),0)</f>
        <v>2184</v>
      </c>
      <c r="K127">
        <f>_xlfn.XLOOKUP(Staff[[#This Row],[Rating]],Rating!$B$2:$B$6,Rating!$C$2:$C$6)</f>
        <v>4</v>
      </c>
    </row>
    <row r="128" spans="1:11" x14ac:dyDescent="0.3">
      <c r="A128" s="7" t="s">
        <v>73</v>
      </c>
      <c r="B128" s="7" t="s">
        <v>8</v>
      </c>
      <c r="C128">
        <v>34</v>
      </c>
      <c r="D128" t="s">
        <v>24</v>
      </c>
      <c r="E128" s="8">
        <v>44721</v>
      </c>
      <c r="F128" s="7" t="s">
        <v>19</v>
      </c>
      <c r="G128" s="6">
        <v>49630</v>
      </c>
      <c r="H128" t="s">
        <v>207</v>
      </c>
      <c r="I128" s="9">
        <f ca="1">(TODAY()-Staff[[#This Row],[Date Joined]])/365</f>
        <v>1.2</v>
      </c>
      <c r="J128" s="6">
        <f ca="1">ROUNDUP(IF(Staff[[#This Row],[Tenure]]&gt;2,Staff[[#This Row],[Salary]]*0.03,Staff[[#This Row],[Salary]]*0.02),0)</f>
        <v>993</v>
      </c>
      <c r="K128">
        <f>_xlfn.XLOOKUP(Staff[[#This Row],[Rating]],Rating!$B$2:$B$6,Rating!$C$2:$C$6)</f>
        <v>2</v>
      </c>
    </row>
    <row r="129" spans="1:11" x14ac:dyDescent="0.3">
      <c r="A129" s="7" t="s">
        <v>107</v>
      </c>
      <c r="B129" s="7" t="s">
        <v>8</v>
      </c>
      <c r="C129">
        <v>28</v>
      </c>
      <c r="D129" t="s">
        <v>16</v>
      </c>
      <c r="E129" s="8">
        <v>44630</v>
      </c>
      <c r="F129" s="7" t="s">
        <v>9</v>
      </c>
      <c r="G129" s="6">
        <v>99970</v>
      </c>
      <c r="H129" t="s">
        <v>207</v>
      </c>
      <c r="I129" s="9">
        <f ca="1">(TODAY()-Staff[[#This Row],[Date Joined]])/365</f>
        <v>1.4493150684931506</v>
      </c>
      <c r="J129" s="6">
        <f ca="1">ROUNDUP(IF(Staff[[#This Row],[Tenure]]&gt;2,Staff[[#This Row],[Salary]]*0.03,Staff[[#This Row],[Salary]]*0.02),0)</f>
        <v>2000</v>
      </c>
      <c r="K129">
        <f>_xlfn.XLOOKUP(Staff[[#This Row],[Rating]],Rating!$B$2:$B$6,Rating!$C$2:$C$6)</f>
        <v>3</v>
      </c>
    </row>
    <row r="130" spans="1:11" x14ac:dyDescent="0.3">
      <c r="A130" s="7" t="s">
        <v>71</v>
      </c>
      <c r="B130" s="7" t="s">
        <v>8</v>
      </c>
      <c r="C130">
        <v>33</v>
      </c>
      <c r="D130" t="s">
        <v>16</v>
      </c>
      <c r="E130" s="8">
        <v>44190</v>
      </c>
      <c r="F130" s="7" t="s">
        <v>12</v>
      </c>
      <c r="G130" s="6">
        <v>96140</v>
      </c>
      <c r="H130" t="s">
        <v>207</v>
      </c>
      <c r="I130" s="9">
        <f ca="1">(TODAY()-Staff[[#This Row],[Date Joined]])/365</f>
        <v>2.6547945205479451</v>
      </c>
      <c r="J130" s="6">
        <f ca="1">ROUNDUP(IF(Staff[[#This Row],[Tenure]]&gt;2,Staff[[#This Row],[Salary]]*0.03,Staff[[#This Row],[Salary]]*0.02),0)</f>
        <v>2885</v>
      </c>
      <c r="K130">
        <f>_xlfn.XLOOKUP(Staff[[#This Row],[Rating]],Rating!$B$2:$B$6,Rating!$C$2:$C$6)</f>
        <v>3</v>
      </c>
    </row>
    <row r="131" spans="1:11" x14ac:dyDescent="0.3">
      <c r="A131" s="7" t="s">
        <v>50</v>
      </c>
      <c r="B131" s="7" t="s">
        <v>15</v>
      </c>
      <c r="C131">
        <v>31</v>
      </c>
      <c r="D131" t="s">
        <v>16</v>
      </c>
      <c r="E131" s="8">
        <v>44724</v>
      </c>
      <c r="F131" s="7" t="s">
        <v>9</v>
      </c>
      <c r="G131" s="6">
        <v>103550</v>
      </c>
      <c r="H131" t="s">
        <v>207</v>
      </c>
      <c r="I131" s="9">
        <f ca="1">(TODAY()-Staff[[#This Row],[Date Joined]])/365</f>
        <v>1.1917808219178083</v>
      </c>
      <c r="J131" s="6">
        <f ca="1">ROUNDUP(IF(Staff[[#This Row],[Tenure]]&gt;2,Staff[[#This Row],[Salary]]*0.03,Staff[[#This Row],[Salary]]*0.02),0)</f>
        <v>2071</v>
      </c>
      <c r="K131">
        <f>_xlfn.XLOOKUP(Staff[[#This Row],[Rating]],Rating!$B$2:$B$6,Rating!$C$2:$C$6)</f>
        <v>3</v>
      </c>
    </row>
    <row r="132" spans="1:11" x14ac:dyDescent="0.3">
      <c r="A132" s="7" t="s">
        <v>14</v>
      </c>
      <c r="B132" s="7" t="s">
        <v>15</v>
      </c>
      <c r="C132">
        <v>31</v>
      </c>
      <c r="D132" t="s">
        <v>16</v>
      </c>
      <c r="E132" s="8">
        <v>44511</v>
      </c>
      <c r="F132" s="7" t="s">
        <v>12</v>
      </c>
      <c r="G132" s="6">
        <v>48950</v>
      </c>
      <c r="H132" t="s">
        <v>207</v>
      </c>
      <c r="I132" s="9">
        <f ca="1">(TODAY()-Staff[[#This Row],[Date Joined]])/365</f>
        <v>1.7753424657534247</v>
      </c>
      <c r="J132" s="6">
        <f ca="1">ROUNDUP(IF(Staff[[#This Row],[Tenure]]&gt;2,Staff[[#This Row],[Salary]]*0.03,Staff[[#This Row],[Salary]]*0.02),0)</f>
        <v>979</v>
      </c>
      <c r="K132">
        <f>_xlfn.XLOOKUP(Staff[[#This Row],[Rating]],Rating!$B$2:$B$6,Rating!$C$2:$C$6)</f>
        <v>3</v>
      </c>
    </row>
    <row r="133" spans="1:11" x14ac:dyDescent="0.3">
      <c r="A133" s="7" t="s">
        <v>63</v>
      </c>
      <c r="B133" s="7" t="s">
        <v>15</v>
      </c>
      <c r="C133">
        <v>24</v>
      </c>
      <c r="D133" t="s">
        <v>24</v>
      </c>
      <c r="E133" s="8">
        <v>44436</v>
      </c>
      <c r="F133" s="7" t="s">
        <v>21</v>
      </c>
      <c r="G133" s="6">
        <v>52610</v>
      </c>
      <c r="H133" t="s">
        <v>207</v>
      </c>
      <c r="I133" s="9">
        <f ca="1">(TODAY()-Staff[[#This Row],[Date Joined]])/365</f>
        <v>1.9808219178082191</v>
      </c>
      <c r="J133" s="6">
        <f ca="1">ROUNDUP(IF(Staff[[#This Row],[Tenure]]&gt;2,Staff[[#This Row],[Salary]]*0.03,Staff[[#This Row],[Salary]]*0.02),0)</f>
        <v>1053</v>
      </c>
      <c r="K133">
        <f>_xlfn.XLOOKUP(Staff[[#This Row],[Rating]],Rating!$B$2:$B$6,Rating!$C$2:$C$6)</f>
        <v>2</v>
      </c>
    </row>
    <row r="134" spans="1:11" x14ac:dyDescent="0.3">
      <c r="A134" s="7" t="s">
        <v>72</v>
      </c>
      <c r="B134" s="7" t="s">
        <v>8</v>
      </c>
      <c r="C134">
        <v>36</v>
      </c>
      <c r="D134" t="s">
        <v>16</v>
      </c>
      <c r="E134" s="8">
        <v>44529</v>
      </c>
      <c r="F134" s="7" t="s">
        <v>9</v>
      </c>
      <c r="G134" s="6">
        <v>78390</v>
      </c>
      <c r="H134" t="s">
        <v>207</v>
      </c>
      <c r="I134" s="9">
        <f ca="1">(TODAY()-Staff[[#This Row],[Date Joined]])/365</f>
        <v>1.726027397260274</v>
      </c>
      <c r="J134" s="6">
        <f ca="1">ROUNDUP(IF(Staff[[#This Row],[Tenure]]&gt;2,Staff[[#This Row],[Salary]]*0.03,Staff[[#This Row],[Salary]]*0.02),0)</f>
        <v>1568</v>
      </c>
      <c r="K134">
        <f>_xlfn.XLOOKUP(Staff[[#This Row],[Rating]],Rating!$B$2:$B$6,Rating!$C$2:$C$6)</f>
        <v>3</v>
      </c>
    </row>
    <row r="135" spans="1:11" x14ac:dyDescent="0.3">
      <c r="A135" s="7" t="s">
        <v>88</v>
      </c>
      <c r="B135" s="7" t="s">
        <v>8</v>
      </c>
      <c r="C135">
        <v>33</v>
      </c>
      <c r="D135" t="s">
        <v>16</v>
      </c>
      <c r="E135" s="8">
        <v>44809</v>
      </c>
      <c r="F135" s="7" t="s">
        <v>21</v>
      </c>
      <c r="G135" s="6">
        <v>86570</v>
      </c>
      <c r="H135" t="s">
        <v>207</v>
      </c>
      <c r="I135" s="9">
        <f ca="1">(TODAY()-Staff[[#This Row],[Date Joined]])/365</f>
        <v>0.95890410958904104</v>
      </c>
      <c r="J135" s="6">
        <f ca="1">ROUNDUP(IF(Staff[[#This Row],[Tenure]]&gt;2,Staff[[#This Row],[Salary]]*0.03,Staff[[#This Row],[Salary]]*0.02),0)</f>
        <v>1732</v>
      </c>
      <c r="K135">
        <f>_xlfn.XLOOKUP(Staff[[#This Row],[Rating]],Rating!$B$2:$B$6,Rating!$C$2:$C$6)</f>
        <v>3</v>
      </c>
    </row>
    <row r="136" spans="1:11" x14ac:dyDescent="0.3">
      <c r="A136" s="7" t="s">
        <v>92</v>
      </c>
      <c r="B136" s="7" t="s">
        <v>8</v>
      </c>
      <c r="C136">
        <v>27</v>
      </c>
      <c r="D136" t="s">
        <v>16</v>
      </c>
      <c r="E136" s="8">
        <v>44686</v>
      </c>
      <c r="F136" s="7" t="s">
        <v>12</v>
      </c>
      <c r="G136" s="6">
        <v>83750</v>
      </c>
      <c r="H136" t="s">
        <v>207</v>
      </c>
      <c r="I136" s="9">
        <f ca="1">(TODAY()-Staff[[#This Row],[Date Joined]])/365</f>
        <v>1.295890410958904</v>
      </c>
      <c r="J136" s="6">
        <f ca="1">ROUNDUP(IF(Staff[[#This Row],[Tenure]]&gt;2,Staff[[#This Row],[Salary]]*0.03,Staff[[#This Row],[Salary]]*0.02),0)</f>
        <v>1675</v>
      </c>
      <c r="K136">
        <f>_xlfn.XLOOKUP(Staff[[#This Row],[Rating]],Rating!$B$2:$B$6,Rating!$C$2:$C$6)</f>
        <v>3</v>
      </c>
    </row>
    <row r="137" spans="1:11" x14ac:dyDescent="0.3">
      <c r="A137" s="7" t="s">
        <v>102</v>
      </c>
      <c r="B137" s="7" t="s">
        <v>8</v>
      </c>
      <c r="C137">
        <v>34</v>
      </c>
      <c r="D137" t="s">
        <v>16</v>
      </c>
      <c r="E137" s="8">
        <v>44445</v>
      </c>
      <c r="F137" s="7" t="s">
        <v>21</v>
      </c>
      <c r="G137" s="6">
        <v>92450</v>
      </c>
      <c r="H137" t="s">
        <v>207</v>
      </c>
      <c r="I137" s="9">
        <f ca="1">(TODAY()-Staff[[#This Row],[Date Joined]])/365</f>
        <v>1.9561643835616438</v>
      </c>
      <c r="J137" s="6">
        <f ca="1">ROUNDUP(IF(Staff[[#This Row],[Tenure]]&gt;2,Staff[[#This Row],[Salary]]*0.03,Staff[[#This Row],[Salary]]*0.02),0)</f>
        <v>1849</v>
      </c>
      <c r="K137">
        <f>_xlfn.XLOOKUP(Staff[[#This Row],[Rating]],Rating!$B$2:$B$6,Rating!$C$2:$C$6)</f>
        <v>3</v>
      </c>
    </row>
    <row r="138" spans="1:11" x14ac:dyDescent="0.3">
      <c r="A138" s="7" t="s">
        <v>64</v>
      </c>
      <c r="B138" s="7" t="s">
        <v>15</v>
      </c>
      <c r="C138">
        <v>20</v>
      </c>
      <c r="D138" t="s">
        <v>16</v>
      </c>
      <c r="E138" s="8">
        <v>44183</v>
      </c>
      <c r="F138" s="7" t="s">
        <v>12</v>
      </c>
      <c r="G138" s="6">
        <v>112650</v>
      </c>
      <c r="H138" t="s">
        <v>207</v>
      </c>
      <c r="I138" s="9">
        <f ca="1">(TODAY()-Staff[[#This Row],[Date Joined]])/365</f>
        <v>2.6739726027397261</v>
      </c>
      <c r="J138" s="6">
        <f ca="1">ROUNDUP(IF(Staff[[#This Row],[Tenure]]&gt;2,Staff[[#This Row],[Salary]]*0.03,Staff[[#This Row],[Salary]]*0.02),0)</f>
        <v>3380</v>
      </c>
      <c r="K138">
        <f>_xlfn.XLOOKUP(Staff[[#This Row],[Rating]],Rating!$B$2:$B$6,Rating!$C$2:$C$6)</f>
        <v>3</v>
      </c>
    </row>
    <row r="139" spans="1:11" x14ac:dyDescent="0.3">
      <c r="A139" s="7" t="s">
        <v>104</v>
      </c>
      <c r="B139" s="7" t="s">
        <v>15</v>
      </c>
      <c r="C139">
        <v>20</v>
      </c>
      <c r="D139" t="s">
        <v>16</v>
      </c>
      <c r="E139" s="8">
        <v>44744</v>
      </c>
      <c r="F139" s="7" t="s">
        <v>9</v>
      </c>
      <c r="G139" s="6">
        <v>79570</v>
      </c>
      <c r="H139" t="s">
        <v>207</v>
      </c>
      <c r="I139" s="9">
        <f ca="1">(TODAY()-Staff[[#This Row],[Date Joined]])/365</f>
        <v>1.1369863013698631</v>
      </c>
      <c r="J139" s="6">
        <f ca="1">ROUNDUP(IF(Staff[[#This Row],[Tenure]]&gt;2,Staff[[#This Row],[Salary]]*0.03,Staff[[#This Row],[Salary]]*0.02),0)</f>
        <v>1592</v>
      </c>
      <c r="K139">
        <f>_xlfn.XLOOKUP(Staff[[#This Row],[Rating]],Rating!$B$2:$B$6,Rating!$C$2:$C$6)</f>
        <v>3</v>
      </c>
    </row>
    <row r="140" spans="1:11" x14ac:dyDescent="0.3">
      <c r="A140" s="7" t="s">
        <v>91</v>
      </c>
      <c r="B140" s="7" t="s">
        <v>8</v>
      </c>
      <c r="C140">
        <v>20</v>
      </c>
      <c r="D140" t="s">
        <v>24</v>
      </c>
      <c r="E140" s="8">
        <v>44537</v>
      </c>
      <c r="F140" s="7" t="s">
        <v>19</v>
      </c>
      <c r="G140" s="6">
        <v>68900</v>
      </c>
      <c r="H140" t="s">
        <v>207</v>
      </c>
      <c r="I140" s="9">
        <f ca="1">(TODAY()-Staff[[#This Row],[Date Joined]])/365</f>
        <v>1.704109589041096</v>
      </c>
      <c r="J140" s="6">
        <f ca="1">ROUNDUP(IF(Staff[[#This Row],[Tenure]]&gt;2,Staff[[#This Row],[Salary]]*0.03,Staff[[#This Row],[Salary]]*0.02),0)</f>
        <v>1378</v>
      </c>
      <c r="K140">
        <f>_xlfn.XLOOKUP(Staff[[#This Row],[Rating]],Rating!$B$2:$B$6,Rating!$C$2:$C$6)</f>
        <v>2</v>
      </c>
    </row>
    <row r="141" spans="1:11" x14ac:dyDescent="0.3">
      <c r="A141" s="7" t="s">
        <v>39</v>
      </c>
      <c r="B141" s="7" t="s">
        <v>8</v>
      </c>
      <c r="C141">
        <v>25</v>
      </c>
      <c r="D141" t="s">
        <v>13</v>
      </c>
      <c r="E141" s="8">
        <v>44694</v>
      </c>
      <c r="F141" s="7" t="s">
        <v>12</v>
      </c>
      <c r="G141" s="6">
        <v>80700</v>
      </c>
      <c r="H141" t="s">
        <v>207</v>
      </c>
      <c r="I141" s="9">
        <f ca="1">(TODAY()-Staff[[#This Row],[Date Joined]])/365</f>
        <v>1.273972602739726</v>
      </c>
      <c r="J141" s="6">
        <f ca="1">ROUNDUP(IF(Staff[[#This Row],[Tenure]]&gt;2,Staff[[#This Row],[Salary]]*0.03,Staff[[#This Row],[Salary]]*0.02),0)</f>
        <v>1614</v>
      </c>
      <c r="K141">
        <f>_xlfn.XLOOKUP(Staff[[#This Row],[Rating]],Rating!$B$2:$B$6,Rating!$C$2:$C$6)</f>
        <v>4</v>
      </c>
    </row>
    <row r="142" spans="1:11" x14ac:dyDescent="0.3">
      <c r="A142" s="7" t="s">
        <v>100</v>
      </c>
      <c r="B142" s="7" t="s">
        <v>15</v>
      </c>
      <c r="C142">
        <v>19</v>
      </c>
      <c r="D142" t="s">
        <v>16</v>
      </c>
      <c r="E142" s="8">
        <v>44277</v>
      </c>
      <c r="F142" s="7" t="s">
        <v>9</v>
      </c>
      <c r="G142" s="6">
        <v>58960</v>
      </c>
      <c r="H142" t="s">
        <v>207</v>
      </c>
      <c r="I142" s="9">
        <f ca="1">(TODAY()-Staff[[#This Row],[Date Joined]])/365</f>
        <v>2.4164383561643836</v>
      </c>
      <c r="J142" s="6">
        <f ca="1">ROUNDUP(IF(Staff[[#This Row],[Tenure]]&gt;2,Staff[[#This Row],[Salary]]*0.03,Staff[[#This Row],[Salary]]*0.02),0)</f>
        <v>1769</v>
      </c>
      <c r="K142">
        <f>_xlfn.XLOOKUP(Staff[[#This Row],[Rating]],Rating!$B$2:$B$6,Rating!$C$2:$C$6)</f>
        <v>3</v>
      </c>
    </row>
    <row r="143" spans="1:11" x14ac:dyDescent="0.3">
      <c r="A143" s="7" t="s">
        <v>106</v>
      </c>
      <c r="B143" s="7" t="s">
        <v>15</v>
      </c>
      <c r="C143">
        <v>36</v>
      </c>
      <c r="D143" t="s">
        <v>16</v>
      </c>
      <c r="E143" s="8">
        <v>44019</v>
      </c>
      <c r="F143" s="7" t="s">
        <v>12</v>
      </c>
      <c r="G143" s="6">
        <v>118840</v>
      </c>
      <c r="H143" t="s">
        <v>207</v>
      </c>
      <c r="I143" s="9">
        <f ca="1">(TODAY()-Staff[[#This Row],[Date Joined]])/365</f>
        <v>3.1232876712328768</v>
      </c>
      <c r="J143" s="6">
        <f ca="1">ROUNDUP(IF(Staff[[#This Row],[Tenure]]&gt;2,Staff[[#This Row],[Salary]]*0.03,Staff[[#This Row],[Salary]]*0.02),0)</f>
        <v>3566</v>
      </c>
      <c r="K143">
        <f>_xlfn.XLOOKUP(Staff[[#This Row],[Rating]],Rating!$B$2:$B$6,Rating!$C$2:$C$6)</f>
        <v>3</v>
      </c>
    </row>
    <row r="144" spans="1:11" x14ac:dyDescent="0.3">
      <c r="A144" s="7" t="s">
        <v>29</v>
      </c>
      <c r="B144" s="7" t="s">
        <v>15</v>
      </c>
      <c r="C144">
        <v>28</v>
      </c>
      <c r="D144" t="s">
        <v>13</v>
      </c>
      <c r="E144" s="8">
        <v>44041</v>
      </c>
      <c r="F144" s="7" t="s">
        <v>21</v>
      </c>
      <c r="G144" s="6">
        <v>48170</v>
      </c>
      <c r="H144" t="s">
        <v>207</v>
      </c>
      <c r="I144" s="9">
        <f ca="1">(TODAY()-Staff[[#This Row],[Date Joined]])/365</f>
        <v>3.0630136986301371</v>
      </c>
      <c r="J144" s="6">
        <f ca="1">ROUNDUP(IF(Staff[[#This Row],[Tenure]]&gt;2,Staff[[#This Row],[Salary]]*0.03,Staff[[#This Row],[Salary]]*0.02),0)</f>
        <v>1446</v>
      </c>
      <c r="K144">
        <f>_xlfn.XLOOKUP(Staff[[#This Row],[Rating]],Rating!$B$2:$B$6,Rating!$C$2:$C$6)</f>
        <v>4</v>
      </c>
    </row>
    <row r="145" spans="1:11" x14ac:dyDescent="0.3">
      <c r="A145" s="7" t="s">
        <v>108</v>
      </c>
      <c r="B145" s="7" t="s">
        <v>8</v>
      </c>
      <c r="C145">
        <v>32</v>
      </c>
      <c r="D145" t="s">
        <v>16</v>
      </c>
      <c r="E145" s="8">
        <v>44400</v>
      </c>
      <c r="F145" s="7" t="s">
        <v>56</v>
      </c>
      <c r="G145" s="6">
        <v>45510</v>
      </c>
      <c r="H145" t="s">
        <v>207</v>
      </c>
      <c r="I145" s="9">
        <f ca="1">(TODAY()-Staff[[#This Row],[Date Joined]])/365</f>
        <v>2.0794520547945203</v>
      </c>
      <c r="J145" s="6">
        <f ca="1">ROUNDUP(IF(Staff[[#This Row],[Tenure]]&gt;2,Staff[[#This Row],[Salary]]*0.03,Staff[[#This Row],[Salary]]*0.02),0)</f>
        <v>1366</v>
      </c>
      <c r="K145">
        <f>_xlfn.XLOOKUP(Staff[[#This Row],[Rating]],Rating!$B$2:$B$6,Rating!$C$2:$C$6)</f>
        <v>3</v>
      </c>
    </row>
    <row r="146" spans="1:11" x14ac:dyDescent="0.3">
      <c r="A146" s="7" t="s">
        <v>83</v>
      </c>
      <c r="B146" s="7" t="s">
        <v>8</v>
      </c>
      <c r="C146">
        <v>36</v>
      </c>
      <c r="D146" t="s">
        <v>16</v>
      </c>
      <c r="E146" s="8">
        <v>44085</v>
      </c>
      <c r="F146" s="7" t="s">
        <v>9</v>
      </c>
      <c r="G146" s="6">
        <v>114890</v>
      </c>
      <c r="H146" t="s">
        <v>207</v>
      </c>
      <c r="I146" s="9">
        <f ca="1">(TODAY()-Staff[[#This Row],[Date Joined]])/365</f>
        <v>2.9424657534246577</v>
      </c>
      <c r="J146" s="6">
        <f ca="1">ROUNDUP(IF(Staff[[#This Row],[Tenure]]&gt;2,Staff[[#This Row],[Salary]]*0.03,Staff[[#This Row],[Salary]]*0.02),0)</f>
        <v>3447</v>
      </c>
      <c r="K146">
        <f>_xlfn.XLOOKUP(Staff[[#This Row],[Rating]],Rating!$B$2:$B$6,Rating!$C$2:$C$6)</f>
        <v>3</v>
      </c>
    </row>
    <row r="147" spans="1:11" x14ac:dyDescent="0.3">
      <c r="A147" s="7" t="s">
        <v>67</v>
      </c>
      <c r="B147" s="7" t="s">
        <v>15</v>
      </c>
      <c r="C147">
        <v>30</v>
      </c>
      <c r="D147" t="s">
        <v>16</v>
      </c>
      <c r="E147" s="8">
        <v>44850</v>
      </c>
      <c r="F147" s="7" t="s">
        <v>12</v>
      </c>
      <c r="G147" s="6">
        <v>69710</v>
      </c>
      <c r="H147" t="s">
        <v>207</v>
      </c>
      <c r="I147" s="9">
        <f ca="1">(TODAY()-Staff[[#This Row],[Date Joined]])/365</f>
        <v>0.84657534246575339</v>
      </c>
      <c r="J147" s="6">
        <f ca="1">ROUNDUP(IF(Staff[[#This Row],[Tenure]]&gt;2,Staff[[#This Row],[Salary]]*0.03,Staff[[#This Row],[Salary]]*0.02),0)</f>
        <v>1395</v>
      </c>
      <c r="K147">
        <f>_xlfn.XLOOKUP(Staff[[#This Row],[Rating]],Rating!$B$2:$B$6,Rating!$C$2:$C$6)</f>
        <v>3</v>
      </c>
    </row>
    <row r="148" spans="1:11" x14ac:dyDescent="0.3">
      <c r="A148" s="7" t="s">
        <v>94</v>
      </c>
      <c r="B148" s="7" t="s">
        <v>15</v>
      </c>
      <c r="C148">
        <v>36</v>
      </c>
      <c r="D148" t="s">
        <v>16</v>
      </c>
      <c r="E148" s="8">
        <v>44333</v>
      </c>
      <c r="F148" s="7" t="s">
        <v>21</v>
      </c>
      <c r="G148" s="6">
        <v>71380</v>
      </c>
      <c r="H148" t="s">
        <v>207</v>
      </c>
      <c r="I148" s="9">
        <f ca="1">(TODAY()-Staff[[#This Row],[Date Joined]])/365</f>
        <v>2.2630136986301368</v>
      </c>
      <c r="J148" s="6">
        <f ca="1">ROUNDUP(IF(Staff[[#This Row],[Tenure]]&gt;2,Staff[[#This Row],[Salary]]*0.03,Staff[[#This Row],[Salary]]*0.02),0)</f>
        <v>2142</v>
      </c>
      <c r="K148">
        <f>_xlfn.XLOOKUP(Staff[[#This Row],[Rating]],Rating!$B$2:$B$6,Rating!$C$2:$C$6)</f>
        <v>3</v>
      </c>
    </row>
    <row r="149" spans="1:11" x14ac:dyDescent="0.3">
      <c r="A149" s="7" t="s">
        <v>33</v>
      </c>
      <c r="B149" s="7" t="s">
        <v>8</v>
      </c>
      <c r="C149">
        <v>38</v>
      </c>
      <c r="D149" t="s">
        <v>10</v>
      </c>
      <c r="E149" s="8">
        <v>44377</v>
      </c>
      <c r="F149" s="7" t="s">
        <v>19</v>
      </c>
      <c r="G149" s="6">
        <v>109160</v>
      </c>
      <c r="H149" t="s">
        <v>207</v>
      </c>
      <c r="I149" s="9">
        <f ca="1">(TODAY()-Staff[[#This Row],[Date Joined]])/365</f>
        <v>2.1424657534246574</v>
      </c>
      <c r="J149" s="6">
        <f ca="1">ROUNDUP(IF(Staff[[#This Row],[Tenure]]&gt;2,Staff[[#This Row],[Salary]]*0.03,Staff[[#This Row],[Salary]]*0.02),0)</f>
        <v>3275</v>
      </c>
      <c r="K149">
        <f>_xlfn.XLOOKUP(Staff[[#This Row],[Rating]],Rating!$B$2:$B$6,Rating!$C$2:$C$6)</f>
        <v>5</v>
      </c>
    </row>
    <row r="150" spans="1:11" x14ac:dyDescent="0.3">
      <c r="A150" s="7" t="s">
        <v>98</v>
      </c>
      <c r="B150" s="7" t="s">
        <v>15</v>
      </c>
      <c r="C150">
        <v>27</v>
      </c>
      <c r="D150" t="s">
        <v>42</v>
      </c>
      <c r="E150" s="8">
        <v>44609</v>
      </c>
      <c r="F150" s="7" t="s">
        <v>9</v>
      </c>
      <c r="G150" s="6">
        <v>113280</v>
      </c>
      <c r="H150" t="s">
        <v>207</v>
      </c>
      <c r="I150" s="9">
        <f ca="1">(TODAY()-Staff[[#This Row],[Date Joined]])/365</f>
        <v>1.5068493150684932</v>
      </c>
      <c r="J150" s="6">
        <f ca="1">ROUNDUP(IF(Staff[[#This Row],[Tenure]]&gt;2,Staff[[#This Row],[Salary]]*0.03,Staff[[#This Row],[Salary]]*0.02),0)</f>
        <v>2266</v>
      </c>
      <c r="K150">
        <f>_xlfn.XLOOKUP(Staff[[#This Row],[Rating]],Rating!$B$2:$B$6,Rating!$C$2:$C$6)</f>
        <v>1</v>
      </c>
    </row>
    <row r="151" spans="1:11" x14ac:dyDescent="0.3">
      <c r="A151" s="7" t="s">
        <v>25</v>
      </c>
      <c r="B151" s="7" t="s">
        <v>15</v>
      </c>
      <c r="C151">
        <v>30</v>
      </c>
      <c r="D151" t="s">
        <v>16</v>
      </c>
      <c r="E151" s="8">
        <v>44273</v>
      </c>
      <c r="F151" s="7" t="s">
        <v>12</v>
      </c>
      <c r="G151" s="6">
        <v>69120</v>
      </c>
      <c r="H151" t="s">
        <v>207</v>
      </c>
      <c r="I151" s="9">
        <f ca="1">(TODAY()-Staff[[#This Row],[Date Joined]])/365</f>
        <v>2.4273972602739726</v>
      </c>
      <c r="J151" s="6">
        <f ca="1">ROUNDUP(IF(Staff[[#This Row],[Tenure]]&gt;2,Staff[[#This Row],[Salary]]*0.03,Staff[[#This Row],[Salary]]*0.02),0)</f>
        <v>2074</v>
      </c>
      <c r="K151">
        <f>_xlfn.XLOOKUP(Staff[[#This Row],[Rating]],Rating!$B$2:$B$6,Rating!$C$2:$C$6)</f>
        <v>3</v>
      </c>
    </row>
    <row r="152" spans="1:11" x14ac:dyDescent="0.3">
      <c r="A152" s="7" t="s">
        <v>55</v>
      </c>
      <c r="B152" s="7" t="s">
        <v>8</v>
      </c>
      <c r="C152">
        <v>37</v>
      </c>
      <c r="D152" t="s">
        <v>16</v>
      </c>
      <c r="E152" s="8">
        <v>44451</v>
      </c>
      <c r="F152" s="7" t="s">
        <v>56</v>
      </c>
      <c r="G152" s="6">
        <v>118100</v>
      </c>
      <c r="H152" t="s">
        <v>207</v>
      </c>
      <c r="I152" s="9">
        <f ca="1">(TODAY()-Staff[[#This Row],[Date Joined]])/365</f>
        <v>1.9397260273972603</v>
      </c>
      <c r="J152" s="6">
        <f ca="1">ROUNDUP(IF(Staff[[#This Row],[Tenure]]&gt;2,Staff[[#This Row],[Salary]]*0.03,Staff[[#This Row],[Salary]]*0.02),0)</f>
        <v>2362</v>
      </c>
      <c r="K152">
        <f>_xlfn.XLOOKUP(Staff[[#This Row],[Rating]],Rating!$B$2:$B$6,Rating!$C$2:$C$6)</f>
        <v>3</v>
      </c>
    </row>
    <row r="153" spans="1:11" x14ac:dyDescent="0.3">
      <c r="A153" s="7" t="s">
        <v>62</v>
      </c>
      <c r="B153" s="7" t="s">
        <v>8</v>
      </c>
      <c r="C153">
        <v>22</v>
      </c>
      <c r="D153" t="s">
        <v>13</v>
      </c>
      <c r="E153" s="8">
        <v>44450</v>
      </c>
      <c r="F153" s="7" t="s">
        <v>9</v>
      </c>
      <c r="G153" s="6">
        <v>76900</v>
      </c>
      <c r="H153" t="s">
        <v>207</v>
      </c>
      <c r="I153" s="9">
        <f ca="1">(TODAY()-Staff[[#This Row],[Date Joined]])/365</f>
        <v>1.9424657534246574</v>
      </c>
      <c r="J153" s="6">
        <f ca="1">ROUNDUP(IF(Staff[[#This Row],[Tenure]]&gt;2,Staff[[#This Row],[Salary]]*0.03,Staff[[#This Row],[Salary]]*0.02),0)</f>
        <v>1538</v>
      </c>
      <c r="K153">
        <f>_xlfn.XLOOKUP(Staff[[#This Row],[Rating]],Rating!$B$2:$B$6,Rating!$C$2:$C$6)</f>
        <v>4</v>
      </c>
    </row>
    <row r="154" spans="1:11" x14ac:dyDescent="0.3">
      <c r="A154" s="7" t="s">
        <v>17</v>
      </c>
      <c r="B154" s="7" t="s">
        <v>8</v>
      </c>
      <c r="C154">
        <v>43</v>
      </c>
      <c r="D154" t="s">
        <v>16</v>
      </c>
      <c r="E154" s="8">
        <v>45045</v>
      </c>
      <c r="F154" s="7" t="s">
        <v>12</v>
      </c>
      <c r="G154" s="6">
        <v>114870</v>
      </c>
      <c r="H154" t="s">
        <v>207</v>
      </c>
      <c r="I154" s="9">
        <f ca="1">(TODAY()-Staff[[#This Row],[Date Joined]])/365</f>
        <v>0.31232876712328766</v>
      </c>
      <c r="J154" s="6">
        <f ca="1">ROUNDUP(IF(Staff[[#This Row],[Tenure]]&gt;2,Staff[[#This Row],[Salary]]*0.03,Staff[[#This Row],[Salary]]*0.02),0)</f>
        <v>2298</v>
      </c>
      <c r="K154">
        <f>_xlfn.XLOOKUP(Staff[[#This Row],[Rating]],Rating!$B$2:$B$6,Rating!$C$2:$C$6)</f>
        <v>3</v>
      </c>
    </row>
    <row r="155" spans="1:11" x14ac:dyDescent="0.3">
      <c r="A155" s="7" t="s">
        <v>52</v>
      </c>
      <c r="B155" s="7" t="s">
        <v>206</v>
      </c>
      <c r="C155">
        <v>32</v>
      </c>
      <c r="D155" t="s">
        <v>16</v>
      </c>
      <c r="E155" s="8">
        <v>44774</v>
      </c>
      <c r="F155" s="7" t="s">
        <v>12</v>
      </c>
      <c r="G155" s="6">
        <v>91310</v>
      </c>
      <c r="H155" t="s">
        <v>207</v>
      </c>
      <c r="I155" s="9">
        <f ca="1">(TODAY()-Staff[[#This Row],[Date Joined]])/365</f>
        <v>1.0547945205479452</v>
      </c>
      <c r="J155" s="6">
        <f ca="1">ROUNDUP(IF(Staff[[#This Row],[Tenure]]&gt;2,Staff[[#This Row],[Salary]]*0.03,Staff[[#This Row],[Salary]]*0.02),0)</f>
        <v>1827</v>
      </c>
      <c r="K155">
        <f>_xlfn.XLOOKUP(Staff[[#This Row],[Rating]],Rating!$B$2:$B$6,Rating!$C$2:$C$6)</f>
        <v>3</v>
      </c>
    </row>
    <row r="156" spans="1:11" x14ac:dyDescent="0.3">
      <c r="A156" s="7" t="s">
        <v>43</v>
      </c>
      <c r="B156" s="7" t="s">
        <v>8</v>
      </c>
      <c r="C156">
        <v>28</v>
      </c>
      <c r="D156" t="s">
        <v>16</v>
      </c>
      <c r="E156" s="8">
        <v>44486</v>
      </c>
      <c r="F156" s="7" t="s">
        <v>9</v>
      </c>
      <c r="G156" s="6">
        <v>104770</v>
      </c>
      <c r="H156" t="s">
        <v>207</v>
      </c>
      <c r="I156" s="9">
        <f ca="1">(TODAY()-Staff[[#This Row],[Date Joined]])/365</f>
        <v>1.8438356164383563</v>
      </c>
      <c r="J156" s="6">
        <f ca="1">ROUNDUP(IF(Staff[[#This Row],[Tenure]]&gt;2,Staff[[#This Row],[Salary]]*0.03,Staff[[#This Row],[Salary]]*0.02),0)</f>
        <v>2096</v>
      </c>
      <c r="K156">
        <f>_xlfn.XLOOKUP(Staff[[#This Row],[Rating]],Rating!$B$2:$B$6,Rating!$C$2:$C$6)</f>
        <v>3</v>
      </c>
    </row>
    <row r="157" spans="1:11" x14ac:dyDescent="0.3">
      <c r="A157" s="7" t="s">
        <v>89</v>
      </c>
      <c r="B157" s="7" t="s">
        <v>15</v>
      </c>
      <c r="C157">
        <v>27</v>
      </c>
      <c r="D157" t="s">
        <v>16</v>
      </c>
      <c r="E157" s="8">
        <v>44134</v>
      </c>
      <c r="F157" s="7" t="s">
        <v>19</v>
      </c>
      <c r="G157" s="6">
        <v>54970</v>
      </c>
      <c r="H157" t="s">
        <v>207</v>
      </c>
      <c r="I157" s="9">
        <f ca="1">(TODAY()-Staff[[#This Row],[Date Joined]])/365</f>
        <v>2.8082191780821919</v>
      </c>
      <c r="J157" s="6">
        <f ca="1">ROUNDUP(IF(Staff[[#This Row],[Tenure]]&gt;2,Staff[[#This Row],[Salary]]*0.03,Staff[[#This Row],[Salary]]*0.02),0)</f>
        <v>1650</v>
      </c>
      <c r="K157">
        <f>_xlfn.XLOOKUP(Staff[[#This Row],[Rating]],Rating!$B$2:$B$6,Rating!$C$2:$C$6)</f>
        <v>3</v>
      </c>
    </row>
    <row r="158" spans="1:11" x14ac:dyDescent="0.3">
      <c r="A158" s="7" t="s">
        <v>11</v>
      </c>
      <c r="B158" s="7" t="s">
        <v>206</v>
      </c>
      <c r="C158">
        <v>26</v>
      </c>
      <c r="D158" t="s">
        <v>13</v>
      </c>
      <c r="E158" s="8">
        <v>44271</v>
      </c>
      <c r="F158" s="7" t="s">
        <v>12</v>
      </c>
      <c r="G158" s="6">
        <v>90700</v>
      </c>
      <c r="H158" t="s">
        <v>207</v>
      </c>
      <c r="I158" s="9">
        <f ca="1">(TODAY()-Staff[[#This Row],[Date Joined]])/365</f>
        <v>2.4328767123287673</v>
      </c>
      <c r="J158" s="6">
        <f ca="1">ROUNDUP(IF(Staff[[#This Row],[Tenure]]&gt;2,Staff[[#This Row],[Salary]]*0.03,Staff[[#This Row],[Salary]]*0.02),0)</f>
        <v>2721</v>
      </c>
      <c r="K158">
        <f>_xlfn.XLOOKUP(Staff[[#This Row],[Rating]],Rating!$B$2:$B$6,Rating!$C$2:$C$6)</f>
        <v>4</v>
      </c>
    </row>
    <row r="159" spans="1:11" x14ac:dyDescent="0.3">
      <c r="A159" s="7" t="s">
        <v>109</v>
      </c>
      <c r="B159" s="7" t="s">
        <v>8</v>
      </c>
      <c r="C159">
        <v>38</v>
      </c>
      <c r="D159" t="s">
        <v>13</v>
      </c>
      <c r="E159" s="8">
        <v>44329</v>
      </c>
      <c r="F159" s="7" t="s">
        <v>19</v>
      </c>
      <c r="G159" s="6">
        <v>56870</v>
      </c>
      <c r="H159" t="s">
        <v>207</v>
      </c>
      <c r="I159" s="9">
        <f ca="1">(TODAY()-Staff[[#This Row],[Date Joined]])/365</f>
        <v>2.2739726027397262</v>
      </c>
      <c r="J159" s="6">
        <f ca="1">ROUNDUP(IF(Staff[[#This Row],[Tenure]]&gt;2,Staff[[#This Row],[Salary]]*0.03,Staff[[#This Row],[Salary]]*0.02),0)</f>
        <v>1707</v>
      </c>
      <c r="K159">
        <f>_xlfn.XLOOKUP(Staff[[#This Row],[Rating]],Rating!$B$2:$B$6,Rating!$C$2:$C$6)</f>
        <v>4</v>
      </c>
    </row>
    <row r="160" spans="1:11" x14ac:dyDescent="0.3">
      <c r="A160" s="7" t="s">
        <v>77</v>
      </c>
      <c r="B160" s="7" t="s">
        <v>8</v>
      </c>
      <c r="C160">
        <v>25</v>
      </c>
      <c r="D160" t="s">
        <v>16</v>
      </c>
      <c r="E160" s="8">
        <v>44205</v>
      </c>
      <c r="F160" s="7" t="s">
        <v>19</v>
      </c>
      <c r="G160" s="6">
        <v>92700</v>
      </c>
      <c r="H160" t="s">
        <v>207</v>
      </c>
      <c r="I160" s="9">
        <f ca="1">(TODAY()-Staff[[#This Row],[Date Joined]])/365</f>
        <v>2.6136986301369864</v>
      </c>
      <c r="J160" s="6">
        <f ca="1">ROUNDUP(IF(Staff[[#This Row],[Tenure]]&gt;2,Staff[[#This Row],[Salary]]*0.03,Staff[[#This Row],[Salary]]*0.02),0)</f>
        <v>2781</v>
      </c>
      <c r="K160">
        <f>_xlfn.XLOOKUP(Staff[[#This Row],[Rating]],Rating!$B$2:$B$6,Rating!$C$2:$C$6)</f>
        <v>3</v>
      </c>
    </row>
    <row r="161" spans="1:11" x14ac:dyDescent="0.3">
      <c r="A161" s="7" t="s">
        <v>32</v>
      </c>
      <c r="B161" s="7" t="s">
        <v>8</v>
      </c>
      <c r="C161">
        <v>21</v>
      </c>
      <c r="D161" t="s">
        <v>16</v>
      </c>
      <c r="E161" s="8">
        <v>44317</v>
      </c>
      <c r="F161" s="7" t="s">
        <v>21</v>
      </c>
      <c r="G161" s="6">
        <v>65920</v>
      </c>
      <c r="H161" t="s">
        <v>207</v>
      </c>
      <c r="I161" s="9">
        <f ca="1">(TODAY()-Staff[[#This Row],[Date Joined]])/365</f>
        <v>2.3068493150684932</v>
      </c>
      <c r="J161" s="6">
        <f ca="1">ROUNDUP(IF(Staff[[#This Row],[Tenure]]&gt;2,Staff[[#This Row],[Salary]]*0.03,Staff[[#This Row],[Salary]]*0.02),0)</f>
        <v>1978</v>
      </c>
      <c r="K161">
        <f>_xlfn.XLOOKUP(Staff[[#This Row],[Rating]],Rating!$B$2:$B$6,Rating!$C$2:$C$6)</f>
        <v>3</v>
      </c>
    </row>
    <row r="162" spans="1:11" x14ac:dyDescent="0.3">
      <c r="A162" s="7" t="s">
        <v>59</v>
      </c>
      <c r="B162" s="7" t="s">
        <v>15</v>
      </c>
      <c r="C162">
        <v>26</v>
      </c>
      <c r="D162" t="s">
        <v>16</v>
      </c>
      <c r="E162" s="8">
        <v>44225</v>
      </c>
      <c r="F162" s="7" t="s">
        <v>9</v>
      </c>
      <c r="G162" s="6">
        <v>47360</v>
      </c>
      <c r="H162" t="s">
        <v>207</v>
      </c>
      <c r="I162" s="9">
        <f ca="1">(TODAY()-Staff[[#This Row],[Date Joined]])/365</f>
        <v>2.558904109589041</v>
      </c>
      <c r="J162" s="6">
        <f ca="1">ROUNDUP(IF(Staff[[#This Row],[Tenure]]&gt;2,Staff[[#This Row],[Salary]]*0.03,Staff[[#This Row],[Salary]]*0.02),0)</f>
        <v>1421</v>
      </c>
      <c r="K162">
        <f>_xlfn.XLOOKUP(Staff[[#This Row],[Rating]],Rating!$B$2:$B$6,Rating!$C$2:$C$6)</f>
        <v>3</v>
      </c>
    </row>
    <row r="163" spans="1:11" x14ac:dyDescent="0.3">
      <c r="A163" s="7" t="s">
        <v>37</v>
      </c>
      <c r="B163" s="7" t="s">
        <v>15</v>
      </c>
      <c r="C163">
        <v>30</v>
      </c>
      <c r="D163" t="s">
        <v>16</v>
      </c>
      <c r="E163" s="8">
        <v>44666</v>
      </c>
      <c r="F163" s="7" t="s">
        <v>9</v>
      </c>
      <c r="G163" s="6">
        <v>60570</v>
      </c>
      <c r="H163" t="s">
        <v>207</v>
      </c>
      <c r="I163" s="9">
        <f ca="1">(TODAY()-Staff[[#This Row],[Date Joined]])/365</f>
        <v>1.3506849315068492</v>
      </c>
      <c r="J163" s="6">
        <f ca="1">ROUNDUP(IF(Staff[[#This Row],[Tenure]]&gt;2,Staff[[#This Row],[Salary]]*0.03,Staff[[#This Row],[Salary]]*0.02),0)</f>
        <v>1212</v>
      </c>
      <c r="K163">
        <f>_xlfn.XLOOKUP(Staff[[#This Row],[Rating]],Rating!$B$2:$B$6,Rating!$C$2:$C$6)</f>
        <v>3</v>
      </c>
    </row>
    <row r="164" spans="1:11" x14ac:dyDescent="0.3">
      <c r="A164" s="7" t="s">
        <v>96</v>
      </c>
      <c r="B164" s="7" t="s">
        <v>8</v>
      </c>
      <c r="C164">
        <v>28</v>
      </c>
      <c r="D164" t="s">
        <v>16</v>
      </c>
      <c r="E164" s="8">
        <v>44649</v>
      </c>
      <c r="F164" s="7" t="s">
        <v>9</v>
      </c>
      <c r="G164" s="6">
        <v>104120</v>
      </c>
      <c r="H164" t="s">
        <v>207</v>
      </c>
      <c r="I164" s="9">
        <f ca="1">(TODAY()-Staff[[#This Row],[Date Joined]])/365</f>
        <v>1.3972602739726028</v>
      </c>
      <c r="J164" s="6">
        <f ca="1">ROUNDUP(IF(Staff[[#This Row],[Tenure]]&gt;2,Staff[[#This Row],[Salary]]*0.03,Staff[[#This Row],[Salary]]*0.02),0)</f>
        <v>2083</v>
      </c>
      <c r="K164">
        <f>_xlfn.XLOOKUP(Staff[[#This Row],[Rating]],Rating!$B$2:$B$6,Rating!$C$2:$C$6)</f>
        <v>3</v>
      </c>
    </row>
    <row r="165" spans="1:11" x14ac:dyDescent="0.3">
      <c r="A165" s="7" t="s">
        <v>23</v>
      </c>
      <c r="B165" s="7" t="s">
        <v>15</v>
      </c>
      <c r="C165">
        <v>37</v>
      </c>
      <c r="D165" t="s">
        <v>24</v>
      </c>
      <c r="E165" s="8">
        <v>44338</v>
      </c>
      <c r="F165" s="7" t="s">
        <v>12</v>
      </c>
      <c r="G165" s="6">
        <v>88050</v>
      </c>
      <c r="H165" t="s">
        <v>207</v>
      </c>
      <c r="I165" s="9">
        <f ca="1">(TODAY()-Staff[[#This Row],[Date Joined]])/365</f>
        <v>2.2493150684931509</v>
      </c>
      <c r="J165" s="6">
        <f ca="1">ROUNDUP(IF(Staff[[#This Row],[Tenure]]&gt;2,Staff[[#This Row],[Salary]]*0.03,Staff[[#This Row],[Salary]]*0.02),0)</f>
        <v>2642</v>
      </c>
      <c r="K165">
        <f>_xlfn.XLOOKUP(Staff[[#This Row],[Rating]],Rating!$B$2:$B$6,Rating!$C$2:$C$6)</f>
        <v>2</v>
      </c>
    </row>
    <row r="166" spans="1:11" x14ac:dyDescent="0.3">
      <c r="A166" s="7" t="s">
        <v>103</v>
      </c>
      <c r="B166" s="7" t="s">
        <v>15</v>
      </c>
      <c r="C166">
        <v>24</v>
      </c>
      <c r="D166" t="s">
        <v>16</v>
      </c>
      <c r="E166" s="8">
        <v>44686</v>
      </c>
      <c r="F166" s="7" t="s">
        <v>12</v>
      </c>
      <c r="G166" s="6">
        <v>100420</v>
      </c>
      <c r="H166" t="s">
        <v>207</v>
      </c>
      <c r="I166" s="9">
        <f ca="1">(TODAY()-Staff[[#This Row],[Date Joined]])/365</f>
        <v>1.295890410958904</v>
      </c>
      <c r="J166" s="6">
        <f ca="1">ROUNDUP(IF(Staff[[#This Row],[Tenure]]&gt;2,Staff[[#This Row],[Salary]]*0.03,Staff[[#This Row],[Salary]]*0.02),0)</f>
        <v>2009</v>
      </c>
      <c r="K166">
        <f>_xlfn.XLOOKUP(Staff[[#This Row],[Rating]],Rating!$B$2:$B$6,Rating!$C$2:$C$6)</f>
        <v>3</v>
      </c>
    </row>
    <row r="167" spans="1:11" x14ac:dyDescent="0.3">
      <c r="A167" s="7" t="s">
        <v>54</v>
      </c>
      <c r="B167" s="7" t="s">
        <v>8</v>
      </c>
      <c r="C167">
        <v>30</v>
      </c>
      <c r="D167" t="s">
        <v>16</v>
      </c>
      <c r="E167" s="8">
        <v>44850</v>
      </c>
      <c r="F167" s="7" t="s">
        <v>9</v>
      </c>
      <c r="G167" s="6">
        <v>114180</v>
      </c>
      <c r="H167" t="s">
        <v>207</v>
      </c>
      <c r="I167" s="9">
        <f ca="1">(TODAY()-Staff[[#This Row],[Date Joined]])/365</f>
        <v>0.84657534246575339</v>
      </c>
      <c r="J167" s="6">
        <f ca="1">ROUNDUP(IF(Staff[[#This Row],[Tenure]]&gt;2,Staff[[#This Row],[Salary]]*0.03,Staff[[#This Row],[Salary]]*0.02),0)</f>
        <v>2284</v>
      </c>
      <c r="K167">
        <f>_xlfn.XLOOKUP(Staff[[#This Row],[Rating]],Rating!$B$2:$B$6,Rating!$C$2:$C$6)</f>
        <v>3</v>
      </c>
    </row>
    <row r="168" spans="1:11" x14ac:dyDescent="0.3">
      <c r="A168" s="7" t="s">
        <v>86</v>
      </c>
      <c r="B168" s="7" t="s">
        <v>8</v>
      </c>
      <c r="C168">
        <v>21</v>
      </c>
      <c r="D168" t="s">
        <v>16</v>
      </c>
      <c r="E168" s="8">
        <v>44678</v>
      </c>
      <c r="F168" s="7" t="s">
        <v>12</v>
      </c>
      <c r="G168" s="6">
        <v>33920</v>
      </c>
      <c r="H168" t="s">
        <v>207</v>
      </c>
      <c r="I168" s="9">
        <f ca="1">(TODAY()-Staff[[#This Row],[Date Joined]])/365</f>
        <v>1.3178082191780822</v>
      </c>
      <c r="J168" s="6">
        <f ca="1">ROUNDUP(IF(Staff[[#This Row],[Tenure]]&gt;2,Staff[[#This Row],[Salary]]*0.03,Staff[[#This Row],[Salary]]*0.02),0)</f>
        <v>679</v>
      </c>
      <c r="K168">
        <f>_xlfn.XLOOKUP(Staff[[#This Row],[Rating]],Rating!$B$2:$B$6,Rating!$C$2:$C$6)</f>
        <v>3</v>
      </c>
    </row>
    <row r="169" spans="1:11" x14ac:dyDescent="0.3">
      <c r="A169" s="7" t="s">
        <v>69</v>
      </c>
      <c r="B169" s="7" t="s">
        <v>15</v>
      </c>
      <c r="C169">
        <v>23</v>
      </c>
      <c r="D169" t="s">
        <v>16</v>
      </c>
      <c r="E169" s="8">
        <v>44440</v>
      </c>
      <c r="F169" s="7" t="s">
        <v>9</v>
      </c>
      <c r="G169" s="6">
        <v>106460</v>
      </c>
      <c r="H169" t="s">
        <v>207</v>
      </c>
      <c r="I169" s="9">
        <f ca="1">(TODAY()-Staff[[#This Row],[Date Joined]])/365</f>
        <v>1.9698630136986301</v>
      </c>
      <c r="J169" s="6">
        <f ca="1">ROUNDUP(IF(Staff[[#This Row],[Tenure]]&gt;2,Staff[[#This Row],[Salary]]*0.03,Staff[[#This Row],[Salary]]*0.02),0)</f>
        <v>2130</v>
      </c>
      <c r="K169">
        <f>_xlfn.XLOOKUP(Staff[[#This Row],[Rating]],Rating!$B$2:$B$6,Rating!$C$2:$C$6)</f>
        <v>3</v>
      </c>
    </row>
    <row r="170" spans="1:11" x14ac:dyDescent="0.3">
      <c r="A170" s="7" t="s">
        <v>57</v>
      </c>
      <c r="B170" s="7" t="s">
        <v>15</v>
      </c>
      <c r="C170">
        <v>35</v>
      </c>
      <c r="D170" t="s">
        <v>16</v>
      </c>
      <c r="E170" s="8">
        <v>44727</v>
      </c>
      <c r="F170" s="7" t="s">
        <v>9</v>
      </c>
      <c r="G170" s="6">
        <v>40400</v>
      </c>
      <c r="H170" t="s">
        <v>207</v>
      </c>
      <c r="I170" s="9">
        <f ca="1">(TODAY()-Staff[[#This Row],[Date Joined]])/365</f>
        <v>1.1835616438356165</v>
      </c>
      <c r="J170" s="6">
        <f ca="1">ROUNDUP(IF(Staff[[#This Row],[Tenure]]&gt;2,Staff[[#This Row],[Salary]]*0.03,Staff[[#This Row],[Salary]]*0.02),0)</f>
        <v>808</v>
      </c>
      <c r="K170">
        <f>_xlfn.XLOOKUP(Staff[[#This Row],[Rating]],Rating!$B$2:$B$6,Rating!$C$2:$C$6)</f>
        <v>3</v>
      </c>
    </row>
    <row r="171" spans="1:11" x14ac:dyDescent="0.3">
      <c r="A171" s="7" t="s">
        <v>68</v>
      </c>
      <c r="B171" s="7" t="s">
        <v>15</v>
      </c>
      <c r="C171">
        <v>27</v>
      </c>
      <c r="D171" t="s">
        <v>13</v>
      </c>
      <c r="E171" s="8">
        <v>44236</v>
      </c>
      <c r="F171" s="7" t="s">
        <v>21</v>
      </c>
      <c r="G171" s="6">
        <v>91650</v>
      </c>
      <c r="H171" t="s">
        <v>207</v>
      </c>
      <c r="I171" s="9">
        <f ca="1">(TODAY()-Staff[[#This Row],[Date Joined]])/365</f>
        <v>2.5287671232876714</v>
      </c>
      <c r="J171" s="6">
        <f ca="1">ROUNDUP(IF(Staff[[#This Row],[Tenure]]&gt;2,Staff[[#This Row],[Salary]]*0.03,Staff[[#This Row],[Salary]]*0.02),0)</f>
        <v>2750</v>
      </c>
      <c r="K171">
        <f>_xlfn.XLOOKUP(Staff[[#This Row],[Rating]],Rating!$B$2:$B$6,Rating!$C$2:$C$6)</f>
        <v>4</v>
      </c>
    </row>
    <row r="172" spans="1:11" x14ac:dyDescent="0.3">
      <c r="A172" s="7" t="s">
        <v>99</v>
      </c>
      <c r="B172" s="7" t="s">
        <v>15</v>
      </c>
      <c r="C172">
        <v>43</v>
      </c>
      <c r="D172" t="s">
        <v>16</v>
      </c>
      <c r="E172" s="8">
        <v>44620</v>
      </c>
      <c r="F172" s="7" t="s">
        <v>19</v>
      </c>
      <c r="G172" s="6">
        <v>36040</v>
      </c>
      <c r="H172" t="s">
        <v>207</v>
      </c>
      <c r="I172" s="9">
        <f ca="1">(TODAY()-Staff[[#This Row],[Date Joined]])/365</f>
        <v>1.4767123287671233</v>
      </c>
      <c r="J172" s="6">
        <f ca="1">ROUNDUP(IF(Staff[[#This Row],[Tenure]]&gt;2,Staff[[#This Row],[Salary]]*0.03,Staff[[#This Row],[Salary]]*0.02),0)</f>
        <v>721</v>
      </c>
      <c r="K172">
        <f>_xlfn.XLOOKUP(Staff[[#This Row],[Rating]],Rating!$B$2:$B$6,Rating!$C$2:$C$6)</f>
        <v>3</v>
      </c>
    </row>
    <row r="173" spans="1:11" x14ac:dyDescent="0.3">
      <c r="A173" s="7" t="s">
        <v>101</v>
      </c>
      <c r="B173" s="7" t="s">
        <v>8</v>
      </c>
      <c r="C173">
        <v>40</v>
      </c>
      <c r="D173" t="s">
        <v>16</v>
      </c>
      <c r="E173" s="8">
        <v>44381</v>
      </c>
      <c r="F173" s="7" t="s">
        <v>12</v>
      </c>
      <c r="G173" s="6">
        <v>104410</v>
      </c>
      <c r="H173" t="s">
        <v>207</v>
      </c>
      <c r="I173" s="9">
        <f ca="1">(TODAY()-Staff[[#This Row],[Date Joined]])/365</f>
        <v>2.1315068493150684</v>
      </c>
      <c r="J173" s="6">
        <f ca="1">ROUNDUP(IF(Staff[[#This Row],[Tenure]]&gt;2,Staff[[#This Row],[Salary]]*0.03,Staff[[#This Row],[Salary]]*0.02),0)</f>
        <v>3133</v>
      </c>
      <c r="K173">
        <f>_xlfn.XLOOKUP(Staff[[#This Row],[Rating]],Rating!$B$2:$B$6,Rating!$C$2:$C$6)</f>
        <v>3</v>
      </c>
    </row>
    <row r="174" spans="1:11" x14ac:dyDescent="0.3">
      <c r="A174" s="7" t="s">
        <v>85</v>
      </c>
      <c r="B174" s="7" t="s">
        <v>15</v>
      </c>
      <c r="C174">
        <v>30</v>
      </c>
      <c r="D174" t="s">
        <v>16</v>
      </c>
      <c r="E174" s="8">
        <v>44606</v>
      </c>
      <c r="F174" s="7" t="s">
        <v>21</v>
      </c>
      <c r="G174" s="6">
        <v>96800</v>
      </c>
      <c r="H174" t="s">
        <v>207</v>
      </c>
      <c r="I174" s="9">
        <f ca="1">(TODAY()-Staff[[#This Row],[Date Joined]])/365</f>
        <v>1.515068493150685</v>
      </c>
      <c r="J174" s="6">
        <f ca="1">ROUNDUP(IF(Staff[[#This Row],[Tenure]]&gt;2,Staff[[#This Row],[Salary]]*0.03,Staff[[#This Row],[Salary]]*0.02),0)</f>
        <v>1936</v>
      </c>
      <c r="K174">
        <f>_xlfn.XLOOKUP(Staff[[#This Row],[Rating]],Rating!$B$2:$B$6,Rating!$C$2:$C$6)</f>
        <v>3</v>
      </c>
    </row>
    <row r="175" spans="1:11" x14ac:dyDescent="0.3">
      <c r="A175" s="7" t="s">
        <v>28</v>
      </c>
      <c r="B175" s="7" t="s">
        <v>8</v>
      </c>
      <c r="C175">
        <v>34</v>
      </c>
      <c r="D175" t="s">
        <v>16</v>
      </c>
      <c r="E175" s="8">
        <v>44459</v>
      </c>
      <c r="F175" s="7" t="s">
        <v>21</v>
      </c>
      <c r="G175" s="6">
        <v>85000</v>
      </c>
      <c r="H175" t="s">
        <v>207</v>
      </c>
      <c r="I175" s="9">
        <f ca="1">(TODAY()-Staff[[#This Row],[Date Joined]])/365</f>
        <v>1.9178082191780821</v>
      </c>
      <c r="J175" s="6">
        <f ca="1">ROUNDUP(IF(Staff[[#This Row],[Tenure]]&gt;2,Staff[[#This Row],[Salary]]*0.03,Staff[[#This Row],[Salary]]*0.02),0)</f>
        <v>1700</v>
      </c>
      <c r="K175">
        <f>_xlfn.XLOOKUP(Staff[[#This Row],[Rating]],Rating!$B$2:$B$6,Rating!$C$2:$C$6)</f>
        <v>3</v>
      </c>
    </row>
    <row r="176" spans="1:11" x14ac:dyDescent="0.3">
      <c r="A176" s="7" t="s">
        <v>80</v>
      </c>
      <c r="B176" s="7" t="s">
        <v>15</v>
      </c>
      <c r="C176">
        <v>28</v>
      </c>
      <c r="D176" t="s">
        <v>42</v>
      </c>
      <c r="E176" s="8">
        <v>44820</v>
      </c>
      <c r="F176" s="7" t="s">
        <v>19</v>
      </c>
      <c r="G176" s="6">
        <v>43510</v>
      </c>
      <c r="H176" t="s">
        <v>207</v>
      </c>
      <c r="I176" s="9">
        <f ca="1">(TODAY()-Staff[[#This Row],[Date Joined]])/365</f>
        <v>0.92876712328767119</v>
      </c>
      <c r="J176" s="6">
        <f ca="1">ROUNDUP(IF(Staff[[#This Row],[Tenure]]&gt;2,Staff[[#This Row],[Salary]]*0.03,Staff[[#This Row],[Salary]]*0.02),0)</f>
        <v>871</v>
      </c>
      <c r="K176">
        <f>_xlfn.XLOOKUP(Staff[[#This Row],[Rating]],Rating!$B$2:$B$6,Rating!$C$2:$C$6)</f>
        <v>1</v>
      </c>
    </row>
    <row r="177" spans="1:11" x14ac:dyDescent="0.3">
      <c r="A177" s="7" t="s">
        <v>79</v>
      </c>
      <c r="B177" s="7" t="s">
        <v>15</v>
      </c>
      <c r="C177">
        <v>33</v>
      </c>
      <c r="D177" t="s">
        <v>16</v>
      </c>
      <c r="E177" s="8">
        <v>44243</v>
      </c>
      <c r="F177" s="7" t="s">
        <v>21</v>
      </c>
      <c r="G177" s="6">
        <v>59430</v>
      </c>
      <c r="H177" t="s">
        <v>207</v>
      </c>
      <c r="I177" s="9">
        <f ca="1">(TODAY()-Staff[[#This Row],[Date Joined]])/365</f>
        <v>2.5095890410958903</v>
      </c>
      <c r="J177" s="6">
        <f ca="1">ROUNDUP(IF(Staff[[#This Row],[Tenure]]&gt;2,Staff[[#This Row],[Salary]]*0.03,Staff[[#This Row],[Salary]]*0.02),0)</f>
        <v>1783</v>
      </c>
      <c r="K177">
        <f>_xlfn.XLOOKUP(Staff[[#This Row],[Rating]],Rating!$B$2:$B$6,Rating!$C$2:$C$6)</f>
        <v>3</v>
      </c>
    </row>
    <row r="178" spans="1:11" x14ac:dyDescent="0.3">
      <c r="A178" s="7" t="s">
        <v>93</v>
      </c>
      <c r="B178" s="7" t="s">
        <v>8</v>
      </c>
      <c r="C178">
        <v>33</v>
      </c>
      <c r="D178" t="s">
        <v>16</v>
      </c>
      <c r="E178" s="8">
        <v>44067</v>
      </c>
      <c r="F178" s="7" t="s">
        <v>21</v>
      </c>
      <c r="G178" s="6">
        <v>65360</v>
      </c>
      <c r="H178" t="s">
        <v>207</v>
      </c>
      <c r="I178" s="9">
        <f ca="1">(TODAY()-Staff[[#This Row],[Date Joined]])/365</f>
        <v>2.9917808219178084</v>
      </c>
      <c r="J178" s="6">
        <f ca="1">ROUNDUP(IF(Staff[[#This Row],[Tenure]]&gt;2,Staff[[#This Row],[Salary]]*0.03,Staff[[#This Row],[Salary]]*0.02),0)</f>
        <v>1961</v>
      </c>
      <c r="K178">
        <f>_xlfn.XLOOKUP(Staff[[#This Row],[Rating]],Rating!$B$2:$B$6,Rating!$C$2:$C$6)</f>
        <v>3</v>
      </c>
    </row>
    <row r="179" spans="1:11" x14ac:dyDescent="0.3">
      <c r="A179" s="7" t="s">
        <v>66</v>
      </c>
      <c r="B179" s="7" t="s">
        <v>8</v>
      </c>
      <c r="C179">
        <v>32</v>
      </c>
      <c r="D179" t="s">
        <v>16</v>
      </c>
      <c r="E179" s="8">
        <v>44611</v>
      </c>
      <c r="F179" s="7" t="s">
        <v>9</v>
      </c>
      <c r="G179" s="6">
        <v>41570</v>
      </c>
      <c r="H179" t="s">
        <v>207</v>
      </c>
      <c r="I179" s="9">
        <f ca="1">(TODAY()-Staff[[#This Row],[Date Joined]])/365</f>
        <v>1.5013698630136987</v>
      </c>
      <c r="J179" s="6">
        <f ca="1">ROUNDUP(IF(Staff[[#This Row],[Tenure]]&gt;2,Staff[[#This Row],[Salary]]*0.03,Staff[[#This Row],[Salary]]*0.02),0)</f>
        <v>832</v>
      </c>
      <c r="K179">
        <f>_xlfn.XLOOKUP(Staff[[#This Row],[Rating]],Rating!$B$2:$B$6,Rating!$C$2:$C$6)</f>
        <v>3</v>
      </c>
    </row>
    <row r="180" spans="1:11" x14ac:dyDescent="0.3">
      <c r="A180" s="7" t="s">
        <v>95</v>
      </c>
      <c r="B180" s="7" t="s">
        <v>8</v>
      </c>
      <c r="C180">
        <v>33</v>
      </c>
      <c r="D180" t="s">
        <v>16</v>
      </c>
      <c r="E180" s="8">
        <v>44312</v>
      </c>
      <c r="F180" s="7" t="s">
        <v>12</v>
      </c>
      <c r="G180" s="6">
        <v>75280</v>
      </c>
      <c r="H180" t="s">
        <v>207</v>
      </c>
      <c r="I180" s="9">
        <f ca="1">(TODAY()-Staff[[#This Row],[Date Joined]])/365</f>
        <v>2.3205479452054796</v>
      </c>
      <c r="J180" s="6">
        <f ca="1">ROUNDUP(IF(Staff[[#This Row],[Tenure]]&gt;2,Staff[[#This Row],[Salary]]*0.03,Staff[[#This Row],[Salary]]*0.02),0)</f>
        <v>2259</v>
      </c>
      <c r="K180">
        <f>_xlfn.XLOOKUP(Staff[[#This Row],[Rating]],Rating!$B$2:$B$6,Rating!$C$2:$C$6)</f>
        <v>3</v>
      </c>
    </row>
    <row r="181" spans="1:11" x14ac:dyDescent="0.3">
      <c r="A181" s="7" t="s">
        <v>18</v>
      </c>
      <c r="B181" s="7" t="s">
        <v>15</v>
      </c>
      <c r="C181">
        <v>33</v>
      </c>
      <c r="D181" t="s">
        <v>16</v>
      </c>
      <c r="E181" s="8">
        <v>44385</v>
      </c>
      <c r="F181" s="7" t="s">
        <v>19</v>
      </c>
      <c r="G181" s="6">
        <v>74550</v>
      </c>
      <c r="H181" t="s">
        <v>207</v>
      </c>
      <c r="I181" s="9">
        <f ca="1">(TODAY()-Staff[[#This Row],[Date Joined]])/365</f>
        <v>2.1205479452054794</v>
      </c>
      <c r="J181" s="6">
        <f ca="1">ROUNDUP(IF(Staff[[#This Row],[Tenure]]&gt;2,Staff[[#This Row],[Salary]]*0.03,Staff[[#This Row],[Salary]]*0.02),0)</f>
        <v>2237</v>
      </c>
      <c r="K181">
        <f>_xlfn.XLOOKUP(Staff[[#This Row],[Rating]],Rating!$B$2:$B$6,Rating!$C$2:$C$6)</f>
        <v>3</v>
      </c>
    </row>
    <row r="182" spans="1:11" x14ac:dyDescent="0.3">
      <c r="A182" s="7" t="s">
        <v>45</v>
      </c>
      <c r="B182" s="7" t="s">
        <v>15</v>
      </c>
      <c r="C182">
        <v>30</v>
      </c>
      <c r="D182" t="s">
        <v>16</v>
      </c>
      <c r="E182" s="8">
        <v>44701</v>
      </c>
      <c r="F182" s="7" t="s">
        <v>9</v>
      </c>
      <c r="G182" s="6">
        <v>67950</v>
      </c>
      <c r="H182" t="s">
        <v>207</v>
      </c>
      <c r="I182" s="9">
        <f ca="1">(TODAY()-Staff[[#This Row],[Date Joined]])/365</f>
        <v>1.2547945205479452</v>
      </c>
      <c r="J182" s="6">
        <f ca="1">ROUNDUP(IF(Staff[[#This Row],[Tenure]]&gt;2,Staff[[#This Row],[Salary]]*0.03,Staff[[#This Row],[Salary]]*0.02),0)</f>
        <v>1359</v>
      </c>
      <c r="K182">
        <f>_xlfn.XLOOKUP(Staff[[#This Row],[Rating]],Rating!$B$2:$B$6,Rating!$C$2:$C$6)</f>
        <v>3</v>
      </c>
    </row>
    <row r="183" spans="1:11" x14ac:dyDescent="0.3">
      <c r="A183" s="7" t="s">
        <v>90</v>
      </c>
      <c r="B183" s="7" t="s">
        <v>15</v>
      </c>
      <c r="C183">
        <v>42</v>
      </c>
      <c r="D183" t="s">
        <v>24</v>
      </c>
      <c r="E183" s="8">
        <v>44731</v>
      </c>
      <c r="F183" s="7" t="s">
        <v>21</v>
      </c>
      <c r="G183" s="6">
        <v>70270</v>
      </c>
      <c r="H183" t="s">
        <v>207</v>
      </c>
      <c r="I183" s="9">
        <f ca="1">(TODAY()-Staff[[#This Row],[Date Joined]])/365</f>
        <v>1.1726027397260275</v>
      </c>
      <c r="J183" s="6">
        <f ca="1">ROUNDUP(IF(Staff[[#This Row],[Tenure]]&gt;2,Staff[[#This Row],[Salary]]*0.03,Staff[[#This Row],[Salary]]*0.02),0)</f>
        <v>1406</v>
      </c>
      <c r="K183">
        <f>_xlfn.XLOOKUP(Staff[[#This Row],[Rating]],Rating!$B$2:$B$6,Rating!$C$2:$C$6)</f>
        <v>2</v>
      </c>
    </row>
    <row r="184" spans="1:11" x14ac:dyDescent="0.3">
      <c r="A184" s="7" t="s">
        <v>46</v>
      </c>
      <c r="B184" s="7" t="s">
        <v>15</v>
      </c>
      <c r="C184">
        <v>26</v>
      </c>
      <c r="D184" t="s">
        <v>16</v>
      </c>
      <c r="E184" s="8">
        <v>44411</v>
      </c>
      <c r="F184" s="7" t="s">
        <v>9</v>
      </c>
      <c r="G184" s="6">
        <v>53540</v>
      </c>
      <c r="H184" t="s">
        <v>207</v>
      </c>
      <c r="I184" s="9">
        <f ca="1">(TODAY()-Staff[[#This Row],[Date Joined]])/365</f>
        <v>2.0493150684931507</v>
      </c>
      <c r="J184" s="6">
        <f ca="1">ROUNDUP(IF(Staff[[#This Row],[Tenure]]&gt;2,Staff[[#This Row],[Salary]]*0.03,Staff[[#This Row],[Salary]]*0.02),0)</f>
        <v>1607</v>
      </c>
      <c r="K184">
        <f>_xlfn.XLOOKUP(Staff[[#This Row],[Rating]],Rating!$B$2:$B$6,Rating!$C$2:$C$6)</f>
        <v>3</v>
      </c>
    </row>
  </sheetData>
  <mergeCells count="2">
    <mergeCell ref="M11:N11"/>
    <mergeCell ref="M23:N23"/>
  </mergeCells>
  <dataValidations count="1">
    <dataValidation type="list" allowBlank="1" showInputMessage="1" showErrorMessage="1" sqref="M12" xr:uid="{0D60CCF7-4431-4817-BEF6-F2E303C8224B}">
      <formula1>$A$2:$A$184</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25AD3-9470-478F-9466-B373D7B5F6C2}">
  <dimension ref="C3:N22"/>
  <sheetViews>
    <sheetView showGridLines="0" tabSelected="1" workbookViewId="0">
      <selection activeCell="S5" sqref="S5"/>
    </sheetView>
  </sheetViews>
  <sheetFormatPr defaultRowHeight="14.4" x14ac:dyDescent="0.3"/>
  <cols>
    <col min="3" max="3" width="15.6640625" customWidth="1"/>
    <col min="4" max="4" width="2.5546875" customWidth="1"/>
    <col min="5" max="5" width="16.44140625" customWidth="1"/>
    <col min="6" max="6" width="3" customWidth="1"/>
    <col min="7" max="7" width="15.44140625" customWidth="1"/>
    <col min="10" max="10" width="15.44140625" customWidth="1"/>
    <col min="11" max="11" width="3" customWidth="1"/>
    <col min="12" max="12" width="16.44140625" customWidth="1"/>
    <col min="13" max="13" width="3.33203125" customWidth="1"/>
    <col min="14" max="14" width="15.44140625" customWidth="1"/>
  </cols>
  <sheetData>
    <row r="3" spans="3:14" ht="32.4" x14ac:dyDescent="0.7">
      <c r="C3" s="31" t="s">
        <v>254</v>
      </c>
      <c r="D3" s="31"/>
      <c r="E3" s="31"/>
      <c r="F3" s="31"/>
      <c r="G3" s="31"/>
      <c r="J3" s="32" t="s">
        <v>255</v>
      </c>
      <c r="K3" s="32"/>
      <c r="L3" s="32"/>
      <c r="M3" s="32"/>
      <c r="N3" s="32"/>
    </row>
    <row r="4" spans="3:14" ht="57.6" customHeight="1" x14ac:dyDescent="1.1000000000000001">
      <c r="C4" s="33">
        <f>COUNTIFS(Staff[Country],"NZ")</f>
        <v>91</v>
      </c>
      <c r="E4" s="34">
        <f>COUNTIFS(Staff[Country],"NZ", Staff[Gender],"Female")/C4</f>
        <v>0.47252747252747251</v>
      </c>
      <c r="G4" s="35">
        <f>AVERAGEIFS(Staff[Salary],Staff[Country],"NZ")</f>
        <v>76978.791208791212</v>
      </c>
      <c r="J4" s="40">
        <f>COUNTIFS(Staff[Country],"IND")</f>
        <v>92</v>
      </c>
      <c r="L4" s="39">
        <f>COUNTIFS(Staff[Country],"IND", Staff[Gender],"Female")/J4</f>
        <v>0.46739130434782611</v>
      </c>
      <c r="N4" s="38">
        <f>AVERAGEIFS(Staff[Salary],Staff[Country],"IND")</f>
        <v>77366.521739130432</v>
      </c>
    </row>
    <row r="5" spans="3:14" ht="36.6" customHeight="1" x14ac:dyDescent="0.3">
      <c r="C5" s="36" t="s">
        <v>251</v>
      </c>
      <c r="E5" s="36" t="s">
        <v>257</v>
      </c>
      <c r="G5" s="36" t="s">
        <v>256</v>
      </c>
      <c r="J5" s="37" t="s">
        <v>251</v>
      </c>
      <c r="L5" s="37" t="s">
        <v>257</v>
      </c>
      <c r="N5" s="37" t="s">
        <v>256</v>
      </c>
    </row>
    <row r="7" spans="3:14" ht="25.8" customHeight="1" x14ac:dyDescent="0.3">
      <c r="C7" s="30" t="s">
        <v>253</v>
      </c>
      <c r="D7" s="30"/>
      <c r="E7" s="30"/>
      <c r="F7" s="30"/>
      <c r="G7" s="30"/>
      <c r="H7" s="30"/>
      <c r="I7" s="30"/>
      <c r="J7" s="30"/>
      <c r="K7" s="30"/>
      <c r="L7" s="30"/>
      <c r="M7" s="30"/>
      <c r="N7" s="30"/>
    </row>
    <row r="8" spans="3:14" ht="16.8" x14ac:dyDescent="0.4">
      <c r="C8" s="28"/>
      <c r="D8" s="28"/>
      <c r="E8" s="28"/>
      <c r="F8" s="28"/>
      <c r="G8" s="29"/>
      <c r="J8" s="28"/>
      <c r="K8" s="28"/>
      <c r="L8" s="28"/>
      <c r="M8" s="28"/>
      <c r="N8" s="28"/>
    </row>
    <row r="9" spans="3:14" x14ac:dyDescent="0.3">
      <c r="C9" s="28"/>
      <c r="D9" s="28"/>
      <c r="E9" s="28"/>
      <c r="F9" s="28"/>
      <c r="G9" s="28"/>
      <c r="J9" s="28"/>
      <c r="K9" s="28"/>
      <c r="L9" s="28"/>
      <c r="M9" s="28"/>
      <c r="N9" s="28"/>
    </row>
    <row r="10" spans="3:14" x14ac:dyDescent="0.3">
      <c r="C10" s="28"/>
      <c r="D10" s="28"/>
      <c r="E10" s="28"/>
      <c r="F10" s="28"/>
      <c r="G10" s="28"/>
      <c r="J10" s="28"/>
      <c r="K10" s="28"/>
      <c r="L10" s="28"/>
      <c r="M10" s="28"/>
      <c r="N10" s="28"/>
    </row>
    <row r="11" spans="3:14" x14ac:dyDescent="0.3">
      <c r="C11" s="28"/>
      <c r="D11" s="28"/>
      <c r="E11" s="28"/>
      <c r="F11" s="28"/>
      <c r="G11" s="28"/>
      <c r="J11" s="28"/>
      <c r="K11" s="28"/>
      <c r="L11" s="28"/>
      <c r="M11" s="28"/>
      <c r="N11" s="28"/>
    </row>
    <row r="12" spans="3:14" x14ac:dyDescent="0.3">
      <c r="C12" s="28"/>
      <c r="D12" s="28"/>
      <c r="E12" s="28"/>
      <c r="F12" s="28"/>
      <c r="G12" s="28"/>
      <c r="J12" s="28"/>
      <c r="K12" s="28"/>
      <c r="L12" s="28"/>
      <c r="M12" s="28"/>
      <c r="N12" s="28"/>
    </row>
    <row r="13" spans="3:14" x14ac:dyDescent="0.3">
      <c r="C13" s="28"/>
      <c r="D13" s="28"/>
      <c r="E13" s="28"/>
      <c r="F13" s="28"/>
      <c r="G13" s="28"/>
      <c r="J13" s="28"/>
      <c r="K13" s="28"/>
      <c r="L13" s="28"/>
      <c r="M13" s="28"/>
      <c r="N13" s="28"/>
    </row>
    <row r="14" spans="3:14" x14ac:dyDescent="0.3">
      <c r="C14" s="28"/>
      <c r="D14" s="28"/>
      <c r="E14" s="28"/>
      <c r="F14" s="28"/>
      <c r="G14" s="28"/>
      <c r="J14" s="28"/>
      <c r="K14" s="28"/>
      <c r="L14" s="28"/>
      <c r="M14" s="28"/>
      <c r="N14" s="28"/>
    </row>
    <row r="15" spans="3:14" x14ac:dyDescent="0.3">
      <c r="C15" s="28"/>
      <c r="D15" s="28"/>
      <c r="E15" s="28"/>
      <c r="F15" s="28"/>
      <c r="G15" s="28"/>
      <c r="J15" s="28"/>
      <c r="K15" s="28"/>
      <c r="L15" s="28"/>
      <c r="M15" s="28"/>
      <c r="N15" s="28"/>
    </row>
    <row r="16" spans="3:14" x14ac:dyDescent="0.3">
      <c r="C16" s="28"/>
      <c r="D16" s="28"/>
      <c r="E16" s="28"/>
      <c r="F16" s="28"/>
      <c r="G16" s="28"/>
      <c r="J16" s="28"/>
      <c r="K16" s="28"/>
      <c r="L16" s="28"/>
      <c r="M16" s="28"/>
      <c r="N16" s="28"/>
    </row>
    <row r="17" spans="3:14" x14ac:dyDescent="0.3">
      <c r="C17" s="28"/>
      <c r="D17" s="28"/>
      <c r="E17" s="28"/>
      <c r="F17" s="28"/>
      <c r="G17" s="28"/>
      <c r="J17" s="28"/>
      <c r="K17" s="28"/>
      <c r="L17" s="28"/>
      <c r="M17" s="28"/>
      <c r="N17" s="28"/>
    </row>
    <row r="18" spans="3:14" x14ac:dyDescent="0.3">
      <c r="C18" s="28"/>
      <c r="D18" s="28"/>
      <c r="E18" s="28"/>
      <c r="F18" s="28"/>
      <c r="G18" s="28"/>
      <c r="J18" s="28"/>
      <c r="K18" s="28"/>
      <c r="L18" s="28"/>
      <c r="M18" s="28"/>
      <c r="N18" s="28"/>
    </row>
    <row r="19" spans="3:14" x14ac:dyDescent="0.3">
      <c r="C19" s="28"/>
      <c r="D19" s="28"/>
      <c r="E19" s="28"/>
      <c r="F19" s="28"/>
      <c r="G19" s="28"/>
      <c r="J19" s="28"/>
      <c r="K19" s="28"/>
      <c r="L19" s="28"/>
      <c r="M19" s="28"/>
      <c r="N19" s="28"/>
    </row>
    <row r="20" spans="3:14" x14ac:dyDescent="0.3">
      <c r="C20" s="28"/>
      <c r="D20" s="28"/>
      <c r="E20" s="28"/>
      <c r="F20" s="28"/>
      <c r="G20" s="28"/>
      <c r="J20" s="28"/>
      <c r="K20" s="28"/>
      <c r="L20" s="28"/>
      <c r="M20" s="28"/>
      <c r="N20" s="28"/>
    </row>
    <row r="21" spans="3:14" x14ac:dyDescent="0.3">
      <c r="C21" s="28"/>
      <c r="D21" s="28"/>
      <c r="E21" s="28"/>
      <c r="F21" s="28"/>
      <c r="G21" s="28"/>
      <c r="J21" s="28"/>
      <c r="K21" s="28"/>
      <c r="L21" s="28"/>
      <c r="M21" s="28"/>
      <c r="N21" s="28"/>
    </row>
    <row r="22" spans="3:14" x14ac:dyDescent="0.3">
      <c r="C22" s="28"/>
      <c r="D22" s="28"/>
      <c r="E22" s="28"/>
      <c r="F22" s="28"/>
      <c r="G22" s="28"/>
      <c r="J22" s="28"/>
      <c r="K22" s="28"/>
      <c r="L22" s="28"/>
      <c r="M22" s="28"/>
      <c r="N22" s="28"/>
    </row>
  </sheetData>
  <mergeCells count="3">
    <mergeCell ref="C7:N7"/>
    <mergeCell ref="C3:G3"/>
    <mergeCell ref="J3:N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59ECE-CF28-40E9-AF1F-291C1166C620}">
  <dimension ref="B1:F9"/>
  <sheetViews>
    <sheetView workbookViewId="0">
      <selection activeCell="P9" sqref="P9"/>
    </sheetView>
  </sheetViews>
  <sheetFormatPr defaultRowHeight="14.4" x14ac:dyDescent="0.3"/>
  <cols>
    <col min="2" max="2" width="12.5546875" bestFit="1" customWidth="1"/>
    <col min="3" max="3" width="13.88671875" bestFit="1" customWidth="1"/>
    <col min="5" max="5" width="12.5546875" bestFit="1" customWidth="1"/>
    <col min="6" max="6" width="13.88671875" bestFit="1" customWidth="1"/>
  </cols>
  <sheetData>
    <row r="1" spans="2:6" x14ac:dyDescent="0.3">
      <c r="B1" s="22" t="s">
        <v>204</v>
      </c>
      <c r="C1" t="s" vm="1">
        <v>205</v>
      </c>
      <c r="E1" s="22" t="s">
        <v>204</v>
      </c>
      <c r="F1" t="s" vm="2">
        <v>207</v>
      </c>
    </row>
    <row r="3" spans="2:6" x14ac:dyDescent="0.3">
      <c r="B3" s="22" t="s">
        <v>223</v>
      </c>
      <c r="C3" t="s">
        <v>226</v>
      </c>
      <c r="E3" s="22" t="s">
        <v>223</v>
      </c>
      <c r="F3" t="s">
        <v>226</v>
      </c>
    </row>
    <row r="4" spans="2:6" x14ac:dyDescent="0.3">
      <c r="B4" s="14" t="s">
        <v>9</v>
      </c>
      <c r="C4" s="7">
        <v>28</v>
      </c>
      <c r="E4" s="14" t="s">
        <v>12</v>
      </c>
      <c r="F4" s="7">
        <v>27</v>
      </c>
    </row>
    <row r="5" spans="2:6" x14ac:dyDescent="0.3">
      <c r="B5" s="14" t="s">
        <v>12</v>
      </c>
      <c r="C5" s="7">
        <v>27</v>
      </c>
      <c r="E5" s="14" t="s">
        <v>9</v>
      </c>
      <c r="F5" s="7">
        <v>27</v>
      </c>
    </row>
    <row r="6" spans="2:6" x14ac:dyDescent="0.3">
      <c r="B6" s="14" t="s">
        <v>21</v>
      </c>
      <c r="C6" s="7">
        <v>19</v>
      </c>
      <c r="E6" s="14" t="s">
        <v>21</v>
      </c>
      <c r="F6" s="7">
        <v>19</v>
      </c>
    </row>
    <row r="7" spans="2:6" x14ac:dyDescent="0.3">
      <c r="B7" s="14" t="s">
        <v>19</v>
      </c>
      <c r="C7" s="7">
        <v>14</v>
      </c>
      <c r="E7" s="14" t="s">
        <v>19</v>
      </c>
      <c r="F7" s="7">
        <v>14</v>
      </c>
    </row>
    <row r="8" spans="2:6" x14ac:dyDescent="0.3">
      <c r="B8" s="14" t="s">
        <v>56</v>
      </c>
      <c r="C8" s="7">
        <v>4</v>
      </c>
      <c r="E8" s="14" t="s">
        <v>56</v>
      </c>
      <c r="F8" s="7">
        <v>4</v>
      </c>
    </row>
    <row r="9" spans="2:6" x14ac:dyDescent="0.3">
      <c r="B9" s="14" t="s">
        <v>224</v>
      </c>
      <c r="C9" s="7">
        <v>92</v>
      </c>
      <c r="E9" s="14" t="s">
        <v>224</v>
      </c>
      <c r="F9" s="7">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E8BF-6343-4E04-BEED-46A9F127B9F6}">
  <sheetPr>
    <tabColor theme="3"/>
  </sheetPr>
  <dimension ref="A2:S39"/>
  <sheetViews>
    <sheetView workbookViewId="0">
      <selection activeCell="D27" sqref="D27"/>
    </sheetView>
  </sheetViews>
  <sheetFormatPr defaultRowHeight="14.4" x14ac:dyDescent="0.3"/>
  <cols>
    <col min="1" max="1" width="12.5546875" bestFit="1" customWidth="1"/>
    <col min="2" max="2" width="13.88671875" bestFit="1" customWidth="1"/>
    <col min="18" max="18" width="9.88671875" bestFit="1" customWidth="1"/>
    <col min="19" max="19" width="12.109375" bestFit="1" customWidth="1"/>
  </cols>
  <sheetData>
    <row r="2" spans="1:19" x14ac:dyDescent="0.3">
      <c r="A2" s="22" t="s">
        <v>223</v>
      </c>
      <c r="B2" t="s">
        <v>226</v>
      </c>
      <c r="Q2" t="s">
        <v>250</v>
      </c>
      <c r="R2" t="s">
        <v>251</v>
      </c>
      <c r="S2" t="s">
        <v>252</v>
      </c>
    </row>
    <row r="3" spans="1:19" x14ac:dyDescent="0.3">
      <c r="A3" s="14" t="s">
        <v>234</v>
      </c>
      <c r="B3" s="7"/>
      <c r="P3" cm="1">
        <f t="array" ref="P3:P38">_xlfn.SEQUENCE(36)</f>
        <v>1</v>
      </c>
      <c r="Q3" s="27" cm="1">
        <f t="array" ref="Q3:Q38">EDATE(DATE(2020,4,1),_xlfn.ANCHORARRAY(P3)+0)</f>
        <v>43952</v>
      </c>
      <c r="R3">
        <f>COUNTIFS(Staff[Date Joined],"&gt;="&amp;Q3,Staff[Date Joined],"&lt;="&amp;EOMONTH(Q3,0))</f>
        <v>3</v>
      </c>
      <c r="S3">
        <f>SUM($R$3:R3)</f>
        <v>3</v>
      </c>
    </row>
    <row r="4" spans="1:19" x14ac:dyDescent="0.3">
      <c r="A4" s="26" t="s">
        <v>235</v>
      </c>
      <c r="B4" s="7">
        <v>3</v>
      </c>
      <c r="P4">
        <v>2</v>
      </c>
      <c r="Q4" s="27">
        <v>43983</v>
      </c>
      <c r="R4">
        <f>COUNTIFS(Staff[Date Joined],"&gt;="&amp;Q4,Staff[Date Joined],"&lt;="&amp;EOMONTH(Q4,0))</f>
        <v>1</v>
      </c>
      <c r="S4">
        <f>SUM($R$3:R4)</f>
        <v>4</v>
      </c>
    </row>
    <row r="5" spans="1:19" x14ac:dyDescent="0.3">
      <c r="A5" s="26" t="s">
        <v>236</v>
      </c>
      <c r="B5" s="7">
        <v>4</v>
      </c>
      <c r="P5">
        <v>3</v>
      </c>
      <c r="Q5" s="27">
        <v>44013</v>
      </c>
      <c r="R5">
        <f>COUNTIFS(Staff[Date Joined],"&gt;="&amp;Q5,Staff[Date Joined],"&lt;="&amp;EOMONTH(Q5,0))</f>
        <v>5</v>
      </c>
      <c r="S5">
        <f>SUM($R$3:R5)</f>
        <v>9</v>
      </c>
    </row>
    <row r="6" spans="1:19" x14ac:dyDescent="0.3">
      <c r="A6" s="26" t="s">
        <v>237</v>
      </c>
      <c r="B6" s="7">
        <v>9</v>
      </c>
      <c r="P6">
        <v>4</v>
      </c>
      <c r="Q6" s="27">
        <v>44044</v>
      </c>
      <c r="R6">
        <f>COUNTIFS(Staff[Date Joined],"&gt;="&amp;Q6,Staff[Date Joined],"&lt;="&amp;EOMONTH(Q6,0))</f>
        <v>3</v>
      </c>
      <c r="S6">
        <f>SUM($R$3:R6)</f>
        <v>12</v>
      </c>
    </row>
    <row r="7" spans="1:19" x14ac:dyDescent="0.3">
      <c r="A7" s="26" t="s">
        <v>238</v>
      </c>
      <c r="B7" s="7">
        <v>12</v>
      </c>
      <c r="P7">
        <v>5</v>
      </c>
      <c r="Q7" s="27">
        <v>44075</v>
      </c>
      <c r="R7">
        <f>COUNTIFS(Staff[Date Joined],"&gt;="&amp;Q7,Staff[Date Joined],"&lt;="&amp;EOMONTH(Q7,0))</f>
        <v>6</v>
      </c>
      <c r="S7">
        <f>SUM($R$3:R7)</f>
        <v>18</v>
      </c>
    </row>
    <row r="8" spans="1:19" x14ac:dyDescent="0.3">
      <c r="A8" s="26" t="s">
        <v>239</v>
      </c>
      <c r="B8" s="7">
        <v>18</v>
      </c>
      <c r="P8">
        <v>6</v>
      </c>
      <c r="Q8" s="27">
        <v>44105</v>
      </c>
      <c r="R8">
        <f>COUNTIFS(Staff[Date Joined],"&gt;="&amp;Q8,Staff[Date Joined],"&lt;="&amp;EOMONTH(Q8,0))</f>
        <v>6</v>
      </c>
      <c r="S8">
        <f>SUM($R$3:R8)</f>
        <v>24</v>
      </c>
    </row>
    <row r="9" spans="1:19" x14ac:dyDescent="0.3">
      <c r="A9" s="26" t="s">
        <v>240</v>
      </c>
      <c r="B9" s="7">
        <v>24</v>
      </c>
      <c r="P9">
        <v>7</v>
      </c>
      <c r="Q9" s="27">
        <v>44136</v>
      </c>
      <c r="R9">
        <f>COUNTIFS(Staff[Date Joined],"&gt;="&amp;Q9,Staff[Date Joined],"&lt;="&amp;EOMONTH(Q9,0))</f>
        <v>6</v>
      </c>
      <c r="S9">
        <f>SUM($R$3:R9)</f>
        <v>30</v>
      </c>
    </row>
    <row r="10" spans="1:19" x14ac:dyDescent="0.3">
      <c r="A10" s="26" t="s">
        <v>241</v>
      </c>
      <c r="B10" s="7">
        <v>30</v>
      </c>
      <c r="P10">
        <v>8</v>
      </c>
      <c r="Q10" s="27">
        <v>44166</v>
      </c>
      <c r="R10">
        <f>COUNTIFS(Staff[Date Joined],"&gt;="&amp;Q10,Staff[Date Joined],"&lt;="&amp;EOMONTH(Q10,0))</f>
        <v>7</v>
      </c>
      <c r="S10">
        <f>SUM($R$3:R10)</f>
        <v>37</v>
      </c>
    </row>
    <row r="11" spans="1:19" x14ac:dyDescent="0.3">
      <c r="A11" s="26" t="s">
        <v>242</v>
      </c>
      <c r="B11" s="7">
        <v>37</v>
      </c>
      <c r="P11">
        <v>9</v>
      </c>
      <c r="Q11" s="27">
        <v>44197</v>
      </c>
      <c r="R11">
        <f>COUNTIFS(Staff[Date Joined],"&gt;="&amp;Q11,Staff[Date Joined],"&lt;="&amp;EOMONTH(Q11,0))</f>
        <v>6</v>
      </c>
      <c r="S11">
        <f>SUM($R$3:R11)</f>
        <v>43</v>
      </c>
    </row>
    <row r="12" spans="1:19" x14ac:dyDescent="0.3">
      <c r="A12" s="14" t="s">
        <v>243</v>
      </c>
      <c r="B12" s="7"/>
      <c r="P12">
        <v>10</v>
      </c>
      <c r="Q12" s="27">
        <v>44228</v>
      </c>
      <c r="R12">
        <f>COUNTIFS(Staff[Date Joined],"&gt;="&amp;Q12,Staff[Date Joined],"&lt;="&amp;EOMONTH(Q12,0))</f>
        <v>4</v>
      </c>
      <c r="S12">
        <f>SUM($R$3:R12)</f>
        <v>47</v>
      </c>
    </row>
    <row r="13" spans="1:19" x14ac:dyDescent="0.3">
      <c r="A13" s="26" t="s">
        <v>244</v>
      </c>
      <c r="B13" s="7">
        <v>6</v>
      </c>
      <c r="P13">
        <v>11</v>
      </c>
      <c r="Q13" s="27">
        <v>44256</v>
      </c>
      <c r="R13">
        <f>COUNTIFS(Staff[Date Joined],"&gt;="&amp;Q13,Staff[Date Joined],"&lt;="&amp;EOMONTH(Q13,0))</f>
        <v>9</v>
      </c>
      <c r="S13">
        <f>SUM($R$3:R13)</f>
        <v>56</v>
      </c>
    </row>
    <row r="14" spans="1:19" x14ac:dyDescent="0.3">
      <c r="A14" s="26" t="s">
        <v>245</v>
      </c>
      <c r="B14" s="7">
        <v>10</v>
      </c>
      <c r="P14">
        <v>12</v>
      </c>
      <c r="Q14" s="27">
        <v>44287</v>
      </c>
      <c r="R14">
        <f>COUNTIFS(Staff[Date Joined],"&gt;="&amp;Q14,Staff[Date Joined],"&lt;="&amp;EOMONTH(Q14,0))</f>
        <v>5</v>
      </c>
      <c r="S14">
        <f>SUM($R$3:R14)</f>
        <v>61</v>
      </c>
    </row>
    <row r="15" spans="1:19" x14ac:dyDescent="0.3">
      <c r="A15" s="26" t="s">
        <v>246</v>
      </c>
      <c r="B15" s="7">
        <v>19</v>
      </c>
      <c r="P15">
        <v>13</v>
      </c>
      <c r="Q15" s="27">
        <v>44317</v>
      </c>
      <c r="R15">
        <f>COUNTIFS(Staff[Date Joined],"&gt;="&amp;Q15,Staff[Date Joined],"&lt;="&amp;EOMONTH(Q15,0))</f>
        <v>10</v>
      </c>
      <c r="S15">
        <f>SUM($R$3:R15)</f>
        <v>71</v>
      </c>
    </row>
    <row r="16" spans="1:19" x14ac:dyDescent="0.3">
      <c r="A16" s="26" t="s">
        <v>247</v>
      </c>
      <c r="B16" s="7">
        <v>24</v>
      </c>
      <c r="P16">
        <v>14</v>
      </c>
      <c r="Q16" s="27">
        <v>44348</v>
      </c>
      <c r="R16">
        <f>COUNTIFS(Staff[Date Joined],"&gt;="&amp;Q16,Staff[Date Joined],"&lt;="&amp;EOMONTH(Q16,0))</f>
        <v>6</v>
      </c>
      <c r="S16">
        <f>SUM($R$3:R16)</f>
        <v>77</v>
      </c>
    </row>
    <row r="17" spans="1:19" x14ac:dyDescent="0.3">
      <c r="A17" s="26" t="s">
        <v>235</v>
      </c>
      <c r="B17" s="7">
        <v>34</v>
      </c>
      <c r="P17">
        <v>15</v>
      </c>
      <c r="Q17" s="27">
        <v>44378</v>
      </c>
      <c r="R17">
        <f>COUNTIFS(Staff[Date Joined],"&gt;="&amp;Q17,Staff[Date Joined],"&lt;="&amp;EOMONTH(Q17,0))</f>
        <v>13</v>
      </c>
      <c r="S17">
        <f>SUM($R$3:R17)</f>
        <v>90</v>
      </c>
    </row>
    <row r="18" spans="1:19" x14ac:dyDescent="0.3">
      <c r="A18" s="26" t="s">
        <v>236</v>
      </c>
      <c r="B18" s="7">
        <v>40</v>
      </c>
      <c r="P18">
        <v>16</v>
      </c>
      <c r="Q18" s="27">
        <v>44409</v>
      </c>
      <c r="R18">
        <f>COUNTIFS(Staff[Date Joined],"&gt;="&amp;Q18,Staff[Date Joined],"&lt;="&amp;EOMONTH(Q18,0))</f>
        <v>4</v>
      </c>
      <c r="S18">
        <f>SUM($R$3:R18)</f>
        <v>94</v>
      </c>
    </row>
    <row r="19" spans="1:19" x14ac:dyDescent="0.3">
      <c r="A19" s="26" t="s">
        <v>237</v>
      </c>
      <c r="B19" s="7">
        <v>53</v>
      </c>
      <c r="P19">
        <v>17</v>
      </c>
      <c r="Q19" s="27">
        <v>44440</v>
      </c>
      <c r="R19">
        <f>COUNTIFS(Staff[Date Joined],"&gt;="&amp;Q19,Staff[Date Joined],"&lt;="&amp;EOMONTH(Q19,0))</f>
        <v>11</v>
      </c>
      <c r="S19">
        <f>SUM($R$3:R19)</f>
        <v>105</v>
      </c>
    </row>
    <row r="20" spans="1:19" x14ac:dyDescent="0.3">
      <c r="A20" s="26" t="s">
        <v>238</v>
      </c>
      <c r="B20" s="7">
        <v>57</v>
      </c>
      <c r="P20">
        <v>18</v>
      </c>
      <c r="Q20" s="27">
        <v>44470</v>
      </c>
      <c r="R20">
        <f>COUNTIFS(Staff[Date Joined],"&gt;="&amp;Q20,Staff[Date Joined],"&lt;="&amp;EOMONTH(Q20,0))</f>
        <v>3</v>
      </c>
      <c r="S20">
        <f>SUM($R$3:R20)</f>
        <v>108</v>
      </c>
    </row>
    <row r="21" spans="1:19" x14ac:dyDescent="0.3">
      <c r="A21" s="26" t="s">
        <v>239</v>
      </c>
      <c r="B21" s="7">
        <v>68</v>
      </c>
      <c r="P21">
        <v>19</v>
      </c>
      <c r="Q21" s="27">
        <v>44501</v>
      </c>
      <c r="R21">
        <f>COUNTIFS(Staff[Date Joined],"&gt;="&amp;Q21,Staff[Date Joined],"&lt;="&amp;EOMONTH(Q21,0))</f>
        <v>4</v>
      </c>
      <c r="S21">
        <f>SUM($R$3:R21)</f>
        <v>112</v>
      </c>
    </row>
    <row r="22" spans="1:19" x14ac:dyDescent="0.3">
      <c r="A22" s="26" t="s">
        <v>240</v>
      </c>
      <c r="B22" s="7">
        <v>71</v>
      </c>
      <c r="P22">
        <v>20</v>
      </c>
      <c r="Q22" s="27">
        <v>44531</v>
      </c>
      <c r="R22">
        <f>COUNTIFS(Staff[Date Joined],"&gt;="&amp;Q22,Staff[Date Joined],"&lt;="&amp;EOMONTH(Q22,0))</f>
        <v>7</v>
      </c>
      <c r="S22">
        <f>SUM($R$3:R22)</f>
        <v>119</v>
      </c>
    </row>
    <row r="23" spans="1:19" x14ac:dyDescent="0.3">
      <c r="A23" s="26" t="s">
        <v>241</v>
      </c>
      <c r="B23" s="7">
        <v>75</v>
      </c>
      <c r="P23">
        <v>21</v>
      </c>
      <c r="Q23" s="27">
        <v>44562</v>
      </c>
      <c r="R23">
        <f>COUNTIFS(Staff[Date Joined],"&gt;="&amp;Q23,Staff[Date Joined],"&lt;="&amp;EOMONTH(Q23,0))</f>
        <v>3</v>
      </c>
      <c r="S23">
        <f>SUM($R$3:R23)</f>
        <v>122</v>
      </c>
    </row>
    <row r="24" spans="1:19" x14ac:dyDescent="0.3">
      <c r="A24" s="26" t="s">
        <v>242</v>
      </c>
      <c r="B24" s="7">
        <v>82</v>
      </c>
      <c r="P24">
        <v>22</v>
      </c>
      <c r="Q24" s="27">
        <v>44593</v>
      </c>
      <c r="R24">
        <f>COUNTIFS(Staff[Date Joined],"&gt;="&amp;Q24,Staff[Date Joined],"&lt;="&amp;EOMONTH(Q24,0))</f>
        <v>10</v>
      </c>
      <c r="S24">
        <f>SUM($R$3:R24)</f>
        <v>132</v>
      </c>
    </row>
    <row r="25" spans="1:19" x14ac:dyDescent="0.3">
      <c r="A25" s="14" t="s">
        <v>248</v>
      </c>
      <c r="B25" s="7"/>
      <c r="P25">
        <v>23</v>
      </c>
      <c r="Q25" s="27">
        <v>44621</v>
      </c>
      <c r="R25">
        <f>COUNTIFS(Staff[Date Joined],"&gt;="&amp;Q25,Staff[Date Joined],"&lt;="&amp;EOMONTH(Q25,0))</f>
        <v>9</v>
      </c>
      <c r="S25">
        <f>SUM($R$3:R25)</f>
        <v>141</v>
      </c>
    </row>
    <row r="26" spans="1:19" x14ac:dyDescent="0.3">
      <c r="A26" s="26" t="s">
        <v>244</v>
      </c>
      <c r="B26" s="7">
        <v>3</v>
      </c>
      <c r="P26">
        <v>24</v>
      </c>
      <c r="Q26" s="27">
        <v>44652</v>
      </c>
      <c r="R26">
        <f>COUNTIFS(Staff[Date Joined],"&gt;="&amp;Q26,Staff[Date Joined],"&lt;="&amp;EOMONTH(Q26,0))</f>
        <v>9</v>
      </c>
      <c r="S26">
        <f>SUM($R$3:R26)</f>
        <v>150</v>
      </c>
    </row>
    <row r="27" spans="1:19" x14ac:dyDescent="0.3">
      <c r="A27" s="26" t="s">
        <v>245</v>
      </c>
      <c r="B27" s="7">
        <v>13</v>
      </c>
      <c r="P27">
        <v>25</v>
      </c>
      <c r="Q27" s="27">
        <v>44682</v>
      </c>
      <c r="R27">
        <f>COUNTIFS(Staff[Date Joined],"&gt;="&amp;Q27,Staff[Date Joined],"&lt;="&amp;EOMONTH(Q27,0))</f>
        <v>9</v>
      </c>
      <c r="S27">
        <f>SUM($R$3:R27)</f>
        <v>159</v>
      </c>
    </row>
    <row r="28" spans="1:19" x14ac:dyDescent="0.3">
      <c r="A28" s="26" t="s">
        <v>246</v>
      </c>
      <c r="B28" s="7">
        <v>22</v>
      </c>
      <c r="P28">
        <v>26</v>
      </c>
      <c r="Q28" s="27">
        <v>44713</v>
      </c>
      <c r="R28">
        <f>COUNTIFS(Staff[Date Joined],"&gt;="&amp;Q28,Staff[Date Joined],"&lt;="&amp;EOMONTH(Q28,0))</f>
        <v>7</v>
      </c>
      <c r="S28">
        <f>SUM($R$3:R28)</f>
        <v>166</v>
      </c>
    </row>
    <row r="29" spans="1:19" x14ac:dyDescent="0.3">
      <c r="A29" s="26" t="s">
        <v>247</v>
      </c>
      <c r="B29" s="7">
        <v>31</v>
      </c>
      <c r="P29">
        <v>27</v>
      </c>
      <c r="Q29" s="27">
        <v>44743</v>
      </c>
      <c r="R29">
        <f>COUNTIFS(Staff[Date Joined],"&gt;="&amp;Q29,Staff[Date Joined],"&lt;="&amp;EOMONTH(Q29,0))</f>
        <v>5</v>
      </c>
      <c r="S29">
        <f>SUM($R$3:R29)</f>
        <v>171</v>
      </c>
    </row>
    <row r="30" spans="1:19" x14ac:dyDescent="0.3">
      <c r="A30" s="26" t="s">
        <v>235</v>
      </c>
      <c r="B30" s="7">
        <v>40</v>
      </c>
      <c r="P30">
        <v>28</v>
      </c>
      <c r="Q30" s="27">
        <v>44774</v>
      </c>
      <c r="R30">
        <f>COUNTIFS(Staff[Date Joined],"&gt;="&amp;Q30,Staff[Date Joined],"&lt;="&amp;EOMONTH(Q30,0))</f>
        <v>5</v>
      </c>
      <c r="S30">
        <f>SUM($R$3:R30)</f>
        <v>176</v>
      </c>
    </row>
    <row r="31" spans="1:19" x14ac:dyDescent="0.3">
      <c r="A31" s="26" t="s">
        <v>236</v>
      </c>
      <c r="B31" s="7">
        <v>47</v>
      </c>
      <c r="P31">
        <v>29</v>
      </c>
      <c r="Q31" s="27">
        <v>44805</v>
      </c>
      <c r="R31">
        <f>COUNTIFS(Staff[Date Joined],"&gt;="&amp;Q31,Staff[Date Joined],"&lt;="&amp;EOMONTH(Q31,0))</f>
        <v>2</v>
      </c>
      <c r="S31">
        <f>SUM($R$3:R31)</f>
        <v>178</v>
      </c>
    </row>
    <row r="32" spans="1:19" x14ac:dyDescent="0.3">
      <c r="A32" s="26" t="s">
        <v>237</v>
      </c>
      <c r="B32" s="7">
        <v>52</v>
      </c>
      <c r="P32">
        <v>30</v>
      </c>
      <c r="Q32" s="27">
        <v>44835</v>
      </c>
      <c r="R32">
        <f>COUNTIFS(Staff[Date Joined],"&gt;="&amp;Q32,Staff[Date Joined],"&lt;="&amp;EOMONTH(Q32,0))</f>
        <v>3</v>
      </c>
      <c r="S32">
        <f>SUM($R$3:R32)</f>
        <v>181</v>
      </c>
    </row>
    <row r="33" spans="1:19" x14ac:dyDescent="0.3">
      <c r="A33" s="26" t="s">
        <v>238</v>
      </c>
      <c r="B33" s="7">
        <v>57</v>
      </c>
      <c r="P33">
        <v>31</v>
      </c>
      <c r="Q33" s="27">
        <v>44866</v>
      </c>
      <c r="R33">
        <f>COUNTIFS(Staff[Date Joined],"&gt;="&amp;Q33,Staff[Date Joined],"&lt;="&amp;EOMONTH(Q33,0))</f>
        <v>0</v>
      </c>
      <c r="S33">
        <f>SUM($R$3:R33)</f>
        <v>181</v>
      </c>
    </row>
    <row r="34" spans="1:19" x14ac:dyDescent="0.3">
      <c r="A34" s="26" t="s">
        <v>239</v>
      </c>
      <c r="B34" s="7">
        <v>59</v>
      </c>
      <c r="P34">
        <v>32</v>
      </c>
      <c r="Q34" s="27">
        <v>44896</v>
      </c>
      <c r="R34">
        <f>COUNTIFS(Staff[Date Joined],"&gt;="&amp;Q34,Staff[Date Joined],"&lt;="&amp;EOMONTH(Q34,0))</f>
        <v>0</v>
      </c>
      <c r="S34">
        <f>SUM($R$3:R34)</f>
        <v>181</v>
      </c>
    </row>
    <row r="35" spans="1:19" x14ac:dyDescent="0.3">
      <c r="A35" s="26" t="s">
        <v>240</v>
      </c>
      <c r="B35" s="7">
        <v>62</v>
      </c>
      <c r="P35">
        <v>33</v>
      </c>
      <c r="Q35" s="27">
        <v>44927</v>
      </c>
      <c r="R35">
        <f>COUNTIFS(Staff[Date Joined],"&gt;="&amp;Q35,Staff[Date Joined],"&lt;="&amp;EOMONTH(Q35,0))</f>
        <v>0</v>
      </c>
      <c r="S35">
        <f>SUM($R$3:R35)</f>
        <v>181</v>
      </c>
    </row>
    <row r="36" spans="1:19" x14ac:dyDescent="0.3">
      <c r="A36" s="14" t="s">
        <v>249</v>
      </c>
      <c r="B36" s="7"/>
      <c r="P36">
        <v>34</v>
      </c>
      <c r="Q36" s="27">
        <v>44958</v>
      </c>
      <c r="R36">
        <f>COUNTIFS(Staff[Date Joined],"&gt;="&amp;Q36,Staff[Date Joined],"&lt;="&amp;EOMONTH(Q36,0))</f>
        <v>1</v>
      </c>
      <c r="S36">
        <f>SUM($R$3:R36)</f>
        <v>182</v>
      </c>
    </row>
    <row r="37" spans="1:19" x14ac:dyDescent="0.3">
      <c r="A37" s="26" t="s">
        <v>245</v>
      </c>
      <c r="B37" s="7">
        <v>1</v>
      </c>
      <c r="P37">
        <v>35</v>
      </c>
      <c r="Q37" s="27">
        <v>44986</v>
      </c>
      <c r="R37">
        <f>COUNTIFS(Staff[Date Joined],"&gt;="&amp;Q37,Staff[Date Joined],"&lt;="&amp;EOMONTH(Q37,0))</f>
        <v>0</v>
      </c>
      <c r="S37">
        <f>SUM($R$3:R37)</f>
        <v>182</v>
      </c>
    </row>
    <row r="38" spans="1:19" x14ac:dyDescent="0.3">
      <c r="A38" s="26" t="s">
        <v>247</v>
      </c>
      <c r="B38" s="7">
        <v>2</v>
      </c>
      <c r="P38">
        <v>36</v>
      </c>
      <c r="Q38" s="27">
        <v>45017</v>
      </c>
      <c r="R38">
        <f>COUNTIFS(Staff[Date Joined],"&gt;="&amp;Q38,Staff[Date Joined],"&lt;="&amp;EOMONTH(Q38,0))</f>
        <v>1</v>
      </c>
      <c r="S38">
        <f>SUM($R$3:R38)</f>
        <v>183</v>
      </c>
    </row>
    <row r="39" spans="1:19" x14ac:dyDescent="0.3">
      <c r="A39" s="14" t="s">
        <v>224</v>
      </c>
      <c r="B39" s="7"/>
      <c r="Q39" s="27"/>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F60CB-2C88-4854-B082-9D3873F86420}">
  <sheetPr>
    <tabColor theme="3"/>
  </sheetPr>
  <dimension ref="B2:D45"/>
  <sheetViews>
    <sheetView workbookViewId="0">
      <selection activeCell="B3" sqref="B3"/>
    </sheetView>
  </sheetViews>
  <sheetFormatPr defaultRowHeight="14.4" x14ac:dyDescent="0.3"/>
  <cols>
    <col min="2" max="2" width="27.21875" bestFit="1" customWidth="1"/>
    <col min="3" max="3" width="7" bestFit="1" customWidth="1"/>
    <col min="4" max="4" width="13.109375" bestFit="1" customWidth="1"/>
  </cols>
  <sheetData>
    <row r="2" spans="2:4" x14ac:dyDescent="0.3">
      <c r="B2" s="13" t="s">
        <v>222</v>
      </c>
      <c r="C2" s="13"/>
      <c r="D2" s="13"/>
    </row>
    <row r="4" spans="2:4" x14ac:dyDescent="0.3">
      <c r="B4" s="21" t="s">
        <v>219</v>
      </c>
      <c r="C4" s="20" t="s">
        <v>21</v>
      </c>
      <c r="D4" s="20"/>
    </row>
    <row r="6" spans="2:4" x14ac:dyDescent="0.3">
      <c r="B6" t="s">
        <v>220</v>
      </c>
      <c r="C6">
        <f>COUNTIFS(Staff[Department],C4)</f>
        <v>38</v>
      </c>
    </row>
    <row r="8" spans="2:4" x14ac:dyDescent="0.3">
      <c r="B8" t="str" cm="1">
        <f t="array" aca="1" ref="B8:D45" ca="1">_xlfn._xlws.SORT(_xlfn.CHOOSECOLS(_xlfn._xlws.FILTER(Staff[],Staff[Department]=C4),1,7,4),2,-1)</f>
        <v>Sahila Chandrasekhar</v>
      </c>
      <c r="C8">
        <f ca="1"/>
        <v>115440</v>
      </c>
      <c r="D8" t="str">
        <f ca="1"/>
        <v>Poor</v>
      </c>
    </row>
    <row r="9" spans="2:4" x14ac:dyDescent="0.3">
      <c r="B9" t="str">
        <f ca="1"/>
        <v>Benny Karolovsky</v>
      </c>
      <c r="C9">
        <f ca="1"/>
        <v>115440</v>
      </c>
      <c r="D9" t="str">
        <f ca="1"/>
        <v>Poor</v>
      </c>
    </row>
    <row r="10" spans="2:4" x14ac:dyDescent="0.3">
      <c r="B10" t="str">
        <f ca="1"/>
        <v>Mithil Nadkarni</v>
      </c>
      <c r="C10">
        <f ca="1"/>
        <v>96800</v>
      </c>
      <c r="D10" t="str">
        <f ca="1"/>
        <v>Average</v>
      </c>
    </row>
    <row r="11" spans="2:4" x14ac:dyDescent="0.3">
      <c r="B11" t="str">
        <f ca="1"/>
        <v>Constantino Espley</v>
      </c>
      <c r="C11">
        <f ca="1"/>
        <v>96800</v>
      </c>
      <c r="D11" t="str">
        <f ca="1"/>
        <v>Average</v>
      </c>
    </row>
    <row r="12" spans="2:4" x14ac:dyDescent="0.3">
      <c r="B12" t="str">
        <f ca="1"/>
        <v>Deepit Ranjana</v>
      </c>
      <c r="C12">
        <f ca="1"/>
        <v>92450</v>
      </c>
      <c r="D12" t="str">
        <f ca="1"/>
        <v>Average</v>
      </c>
    </row>
    <row r="13" spans="2:4" x14ac:dyDescent="0.3">
      <c r="B13" t="str">
        <f ca="1"/>
        <v>Leilah Yesinin</v>
      </c>
      <c r="C13">
        <f ca="1"/>
        <v>92450</v>
      </c>
      <c r="D13" t="str">
        <f ca="1"/>
        <v>Average</v>
      </c>
    </row>
    <row r="14" spans="2:4" x14ac:dyDescent="0.3">
      <c r="B14" t="str">
        <f ca="1"/>
        <v>Kamalakshi Mukundan</v>
      </c>
      <c r="C14">
        <f ca="1"/>
        <v>91650</v>
      </c>
      <c r="D14" t="str">
        <f ca="1"/>
        <v>Above average</v>
      </c>
    </row>
    <row r="15" spans="2:4" x14ac:dyDescent="0.3">
      <c r="B15" t="str">
        <f ca="1"/>
        <v>Enoch Dowrey</v>
      </c>
      <c r="C15">
        <f ca="1"/>
        <v>91650</v>
      </c>
      <c r="D15" t="str">
        <f ca="1"/>
        <v>Above average</v>
      </c>
    </row>
    <row r="16" spans="2:4" x14ac:dyDescent="0.3">
      <c r="B16" t="str">
        <f ca="1"/>
        <v>Madhumati Gazala Soumitra</v>
      </c>
      <c r="C16">
        <f ca="1"/>
        <v>86570</v>
      </c>
      <c r="D16" t="str">
        <f ca="1"/>
        <v>Average</v>
      </c>
    </row>
    <row r="17" spans="2:4" x14ac:dyDescent="0.3">
      <c r="B17" t="str">
        <f ca="1"/>
        <v>Sibyl Dunkirk</v>
      </c>
      <c r="C17">
        <f ca="1"/>
        <v>86570</v>
      </c>
      <c r="D17" t="str">
        <f ca="1"/>
        <v>Average</v>
      </c>
    </row>
    <row r="18" spans="2:4" x14ac:dyDescent="0.3">
      <c r="B18" t="str">
        <f ca="1"/>
        <v>Tarala Vishaal</v>
      </c>
      <c r="C18">
        <f ca="1"/>
        <v>85000</v>
      </c>
      <c r="D18" t="str">
        <f ca="1"/>
        <v>Average</v>
      </c>
    </row>
    <row r="19" spans="2:4" x14ac:dyDescent="0.3">
      <c r="B19" t="str">
        <f ca="1"/>
        <v>Karlen McCaffrey</v>
      </c>
      <c r="C19">
        <f ca="1"/>
        <v>85000</v>
      </c>
      <c r="D19" t="str">
        <f ca="1"/>
        <v>Average</v>
      </c>
    </row>
    <row r="20" spans="2:4" x14ac:dyDescent="0.3">
      <c r="B20" t="str">
        <f ca="1"/>
        <v>Indu Varada Sumedh</v>
      </c>
      <c r="C20">
        <f ca="1"/>
        <v>75970</v>
      </c>
      <c r="D20" t="str">
        <f ca="1"/>
        <v>Average</v>
      </c>
    </row>
    <row r="21" spans="2:4" x14ac:dyDescent="0.3">
      <c r="B21" t="str">
        <f ca="1"/>
        <v>Beverie Moffet</v>
      </c>
      <c r="C21">
        <f ca="1"/>
        <v>75970</v>
      </c>
      <c r="D21" t="str">
        <f ca="1"/>
        <v>Average</v>
      </c>
    </row>
    <row r="22" spans="2:4" x14ac:dyDescent="0.3">
      <c r="B22" t="str">
        <f ca="1"/>
        <v>Kulbhushan Moorthy</v>
      </c>
      <c r="C22">
        <f ca="1"/>
        <v>71380</v>
      </c>
      <c r="D22" t="str">
        <f ca="1"/>
        <v>Average</v>
      </c>
    </row>
    <row r="23" spans="2:4" x14ac:dyDescent="0.3">
      <c r="B23" t="str">
        <f ca="1"/>
        <v>Bennie Pepis</v>
      </c>
      <c r="C23">
        <f ca="1"/>
        <v>71380</v>
      </c>
      <c r="D23" t="str">
        <f ca="1"/>
        <v>Average</v>
      </c>
    </row>
    <row r="24" spans="2:4" x14ac:dyDescent="0.3">
      <c r="B24" t="str">
        <f ca="1"/>
        <v>Chandana Sannidhi Surnilla</v>
      </c>
      <c r="C24">
        <f ca="1"/>
        <v>70270</v>
      </c>
      <c r="D24" t="str">
        <f ca="1"/>
        <v>Poor</v>
      </c>
    </row>
    <row r="25" spans="2:4" x14ac:dyDescent="0.3">
      <c r="B25" t="str">
        <f ca="1"/>
        <v>Shayne Stegel</v>
      </c>
      <c r="C25">
        <f ca="1"/>
        <v>70270</v>
      </c>
      <c r="D25" t="str">
        <f ca="1"/>
        <v>Poor</v>
      </c>
    </row>
    <row r="26" spans="2:4" x14ac:dyDescent="0.3">
      <c r="B26" t="str">
        <f ca="1"/>
        <v>Kantimoy Pritish</v>
      </c>
      <c r="C26">
        <f ca="1"/>
        <v>67910</v>
      </c>
      <c r="D26" t="str">
        <f ca="1"/>
        <v>Poor</v>
      </c>
    </row>
    <row r="27" spans="2:4" x14ac:dyDescent="0.3">
      <c r="B27" t="str">
        <f ca="1"/>
        <v>Husein Augar</v>
      </c>
      <c r="C27">
        <f ca="1"/>
        <v>67910</v>
      </c>
      <c r="D27" t="str">
        <f ca="1"/>
        <v>Poor</v>
      </c>
    </row>
    <row r="28" spans="2:4" x14ac:dyDescent="0.3">
      <c r="B28" t="str">
        <f ca="1"/>
        <v>Agrata Rajarama</v>
      </c>
      <c r="C28">
        <f ca="1"/>
        <v>65920</v>
      </c>
      <c r="D28" t="str">
        <f ca="1"/>
        <v>Average</v>
      </c>
    </row>
    <row r="29" spans="2:4" x14ac:dyDescent="0.3">
      <c r="B29" t="str">
        <f ca="1"/>
        <v>Marney O'Breen</v>
      </c>
      <c r="C29">
        <f ca="1"/>
        <v>65920</v>
      </c>
      <c r="D29" t="str">
        <f ca="1"/>
        <v>Average</v>
      </c>
    </row>
    <row r="30" spans="2:4" x14ac:dyDescent="0.3">
      <c r="B30" t="str">
        <f ca="1"/>
        <v>Kevalkumar Solanki</v>
      </c>
      <c r="C30">
        <f ca="1"/>
        <v>65360</v>
      </c>
      <c r="D30" t="str">
        <f ca="1"/>
        <v>Average</v>
      </c>
    </row>
    <row r="31" spans="2:4" x14ac:dyDescent="0.3">
      <c r="B31" t="str">
        <f ca="1"/>
        <v>Teressa Udden</v>
      </c>
      <c r="C31">
        <f ca="1"/>
        <v>65360</v>
      </c>
      <c r="D31" t="str">
        <f ca="1"/>
        <v>Average</v>
      </c>
    </row>
    <row r="32" spans="2:4" x14ac:dyDescent="0.3">
      <c r="B32" t="str">
        <f ca="1"/>
        <v>Upendra Swati</v>
      </c>
      <c r="C32">
        <f ca="1"/>
        <v>64000</v>
      </c>
      <c r="D32" t="str">
        <f ca="1"/>
        <v>Average</v>
      </c>
    </row>
    <row r="33" spans="2:4" x14ac:dyDescent="0.3">
      <c r="B33" t="str">
        <f ca="1"/>
        <v>Curtice Advani</v>
      </c>
      <c r="C33">
        <f ca="1"/>
        <v>64000</v>
      </c>
      <c r="D33" t="str">
        <f ca="1"/>
        <v>Average</v>
      </c>
    </row>
    <row r="34" spans="2:4" x14ac:dyDescent="0.3">
      <c r="B34" t="str">
        <f ca="1"/>
        <v>Lalit Kothari</v>
      </c>
      <c r="C34">
        <f ca="1"/>
        <v>60130</v>
      </c>
      <c r="D34" t="str">
        <f ca="1"/>
        <v>Average</v>
      </c>
    </row>
    <row r="35" spans="2:4" x14ac:dyDescent="0.3">
      <c r="B35" t="str">
        <f ca="1"/>
        <v>Jehu Rudeforth</v>
      </c>
      <c r="C35">
        <f ca="1"/>
        <v>60130</v>
      </c>
      <c r="D35" t="str">
        <f ca="1"/>
        <v>Average</v>
      </c>
    </row>
    <row r="36" spans="2:4" x14ac:dyDescent="0.3">
      <c r="B36" t="str">
        <f ca="1"/>
        <v>Asija Pothireddy</v>
      </c>
      <c r="C36">
        <f ca="1"/>
        <v>59430</v>
      </c>
      <c r="D36" t="str">
        <f ca="1"/>
        <v>Average</v>
      </c>
    </row>
    <row r="37" spans="2:4" x14ac:dyDescent="0.3">
      <c r="B37" t="str">
        <f ca="1"/>
        <v>My Hanscome</v>
      </c>
      <c r="C37">
        <f ca="1"/>
        <v>59430</v>
      </c>
      <c r="D37" t="str">
        <f ca="1"/>
        <v>Average</v>
      </c>
    </row>
    <row r="38" spans="2:4" x14ac:dyDescent="0.3">
      <c r="B38" t="str">
        <f ca="1"/>
        <v>Krittika Gaekwad</v>
      </c>
      <c r="C38">
        <f ca="1"/>
        <v>58940</v>
      </c>
      <c r="D38" t="str">
        <f ca="1"/>
        <v>Average</v>
      </c>
    </row>
    <row r="39" spans="2:4" x14ac:dyDescent="0.3">
      <c r="B39" t="str">
        <f ca="1"/>
        <v>Oby Sorrel</v>
      </c>
      <c r="C39">
        <f ca="1"/>
        <v>58940</v>
      </c>
      <c r="D39" t="str">
        <f ca="1"/>
        <v>Average</v>
      </c>
    </row>
    <row r="40" spans="2:4" x14ac:dyDescent="0.3">
      <c r="B40" t="str">
        <f ca="1"/>
        <v>Gumwant Veera</v>
      </c>
      <c r="C40">
        <f ca="1"/>
        <v>52610</v>
      </c>
      <c r="D40" t="str">
        <f ca="1"/>
        <v>Poor</v>
      </c>
    </row>
    <row r="41" spans="2:4" x14ac:dyDescent="0.3">
      <c r="B41" t="str">
        <f ca="1"/>
        <v>Kaye Crocroft</v>
      </c>
      <c r="C41">
        <f ca="1"/>
        <v>52610</v>
      </c>
      <c r="D41" t="str">
        <f ca="1"/>
        <v>Poor</v>
      </c>
    </row>
    <row r="42" spans="2:4" x14ac:dyDescent="0.3">
      <c r="B42" t="str">
        <f ca="1"/>
        <v>Vanmala Shriharsha</v>
      </c>
      <c r="C42">
        <f ca="1"/>
        <v>48980</v>
      </c>
      <c r="D42" t="str">
        <f ca="1"/>
        <v>Average</v>
      </c>
    </row>
    <row r="43" spans="2:4" x14ac:dyDescent="0.3">
      <c r="B43" t="str">
        <f ca="1"/>
        <v>Esmaria Denecamp</v>
      </c>
      <c r="C43">
        <f ca="1"/>
        <v>48980</v>
      </c>
      <c r="D43" t="str">
        <f ca="1"/>
        <v>Average</v>
      </c>
    </row>
    <row r="44" spans="2:4" x14ac:dyDescent="0.3">
      <c r="B44" t="str">
        <f ca="1"/>
        <v>Ardhendu Abhichandra Jayakar</v>
      </c>
      <c r="C44">
        <f ca="1"/>
        <v>48170</v>
      </c>
      <c r="D44" t="str">
        <f ca="1"/>
        <v>Above average</v>
      </c>
    </row>
    <row r="45" spans="2:4" x14ac:dyDescent="0.3">
      <c r="B45" t="str">
        <f ca="1"/>
        <v>Jan Morforth</v>
      </c>
      <c r="C45">
        <f ca="1"/>
        <v>48170</v>
      </c>
      <c r="D45" t="str">
        <f ca="1"/>
        <v>Above average</v>
      </c>
    </row>
  </sheetData>
  <mergeCells count="2">
    <mergeCell ref="B2:D2"/>
    <mergeCell ref="C4:D4"/>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F9D5DB2-DF25-48E3-888E-CEE03301D7BC}">
          <x14:formula1>
            <xm:f>'All Staff'!$M$24:$M$28</xm:f>
          </x14:formula1>
          <xm:sqref>C4:D4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A003-F460-46C2-9496-8F6621648EB0}">
  <sheetPr>
    <tabColor theme="3"/>
  </sheetPr>
  <dimension ref="A1:C8"/>
  <sheetViews>
    <sheetView workbookViewId="0">
      <selection activeCell="D13" sqref="D13"/>
    </sheetView>
  </sheetViews>
  <sheetFormatPr defaultRowHeight="14.4" x14ac:dyDescent="0.3"/>
  <cols>
    <col min="1" max="1" width="16" bestFit="1" customWidth="1"/>
    <col min="2" max="2" width="15.5546875" bestFit="1" customWidth="1"/>
    <col min="3" max="3" width="7.44140625" bestFit="1" customWidth="1"/>
    <col min="4" max="4" width="10.77734375" bestFit="1" customWidth="1"/>
    <col min="5" max="5" width="12" bestFit="1" customWidth="1"/>
    <col min="6" max="6" width="15.5546875" bestFit="1" customWidth="1"/>
    <col min="7" max="8" width="18.6640625" bestFit="1" customWidth="1"/>
  </cols>
  <sheetData>
    <row r="1" spans="1:3" x14ac:dyDescent="0.3">
      <c r="A1" s="24" t="s">
        <v>231</v>
      </c>
      <c r="B1" s="24"/>
      <c r="C1" s="24"/>
    </row>
    <row r="3" spans="1:3" x14ac:dyDescent="0.3">
      <c r="B3" s="22" t="s">
        <v>225</v>
      </c>
    </row>
    <row r="4" spans="1:3" x14ac:dyDescent="0.3">
      <c r="A4" s="22" t="s">
        <v>228</v>
      </c>
      <c r="B4" t="s">
        <v>8</v>
      </c>
      <c r="C4" t="s">
        <v>15</v>
      </c>
    </row>
    <row r="5" spans="1:3" x14ac:dyDescent="0.3">
      <c r="A5" s="14" t="s">
        <v>226</v>
      </c>
      <c r="B5" s="7">
        <v>43</v>
      </c>
      <c r="C5" s="7">
        <v>44</v>
      </c>
    </row>
    <row r="6" spans="1:3" x14ac:dyDescent="0.3">
      <c r="A6" s="14" t="s">
        <v>227</v>
      </c>
      <c r="B6" s="10">
        <v>31.395348837209301</v>
      </c>
      <c r="C6" s="10">
        <v>29.34090909090909</v>
      </c>
    </row>
    <row r="7" spans="1:3" x14ac:dyDescent="0.3">
      <c r="A7" s="14" t="s">
        <v>229</v>
      </c>
      <c r="B7" s="23">
        <v>78284.186046511633</v>
      </c>
      <c r="C7" s="23">
        <v>74486.363636363632</v>
      </c>
    </row>
    <row r="8" spans="1:3" x14ac:dyDescent="0.3">
      <c r="A8" s="14" t="s">
        <v>230</v>
      </c>
      <c r="B8" s="10">
        <v>1.9081236062440265</v>
      </c>
      <c r="C8" s="10">
        <v>1.9051681195516807</v>
      </c>
    </row>
  </sheetData>
  <mergeCells count="1">
    <mergeCell ref="A1:C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05BAE-5B51-4CC9-8C86-FC07585FBF04}">
  <sheetPr>
    <tabColor theme="9"/>
  </sheetPr>
  <dimension ref="A1"/>
  <sheetViews>
    <sheetView workbookViewId="0">
      <selection activeCell="U7" sqref="U7"/>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A45CA-2E49-48E3-9035-EEC890D8A5C2}">
  <sheetPr>
    <tabColor theme="9"/>
  </sheetPr>
  <dimension ref="A1:C7"/>
  <sheetViews>
    <sheetView workbookViewId="0">
      <selection activeCell="E30" sqref="E30"/>
    </sheetView>
  </sheetViews>
  <sheetFormatPr defaultRowHeight="14.4" x14ac:dyDescent="0.3"/>
  <cols>
    <col min="1" max="1" width="13.109375" bestFit="1" customWidth="1"/>
    <col min="2" max="2" width="13.88671875" bestFit="1" customWidth="1"/>
    <col min="3" max="3" width="15.77734375" bestFit="1" customWidth="1"/>
  </cols>
  <sheetData>
    <row r="1" spans="1:3" x14ac:dyDescent="0.3">
      <c r="A1" s="22" t="s">
        <v>223</v>
      </c>
      <c r="B1" t="s">
        <v>226</v>
      </c>
      <c r="C1" t="s">
        <v>229</v>
      </c>
    </row>
    <row r="2" spans="1:3" x14ac:dyDescent="0.3">
      <c r="A2" s="14" t="s">
        <v>10</v>
      </c>
      <c r="B2" s="7">
        <v>4</v>
      </c>
      <c r="C2" s="25">
        <v>92080</v>
      </c>
    </row>
    <row r="3" spans="1:3" x14ac:dyDescent="0.3">
      <c r="A3" s="14" t="s">
        <v>13</v>
      </c>
      <c r="B3" s="7">
        <v>20</v>
      </c>
      <c r="C3" s="25">
        <v>75933</v>
      </c>
    </row>
    <row r="4" spans="1:3" x14ac:dyDescent="0.3">
      <c r="A4" s="14" t="s">
        <v>16</v>
      </c>
      <c r="B4" s="7">
        <v>137</v>
      </c>
      <c r="C4" s="25">
        <v>76798.759124087592</v>
      </c>
    </row>
    <row r="5" spans="1:3" x14ac:dyDescent="0.3">
      <c r="A5" s="14" t="s">
        <v>24</v>
      </c>
      <c r="B5" s="7">
        <v>16</v>
      </c>
      <c r="C5" s="25">
        <v>78115</v>
      </c>
    </row>
    <row r="6" spans="1:3" x14ac:dyDescent="0.3">
      <c r="A6" s="14" t="s">
        <v>42</v>
      </c>
      <c r="B6" s="7">
        <v>6</v>
      </c>
      <c r="C6" s="25">
        <v>77423.333333333328</v>
      </c>
    </row>
    <row r="7" spans="1:3" x14ac:dyDescent="0.3">
      <c r="A7" s="14" t="s">
        <v>224</v>
      </c>
      <c r="B7" s="7">
        <v>183</v>
      </c>
      <c r="C7" s="25">
        <v>77173.715846994543</v>
      </c>
    </row>
  </sheetData>
  <conditionalFormatting pivot="1" sqref="C2:C7">
    <cfRule type="dataBar" priority="1">
      <dataBar>
        <cfvo type="min"/>
        <cfvo type="max"/>
        <color rgb="FF638EC6"/>
      </dataBar>
      <extLst>
        <ext xmlns:x14="http://schemas.microsoft.com/office/spreadsheetml/2009/9/main" uri="{B025F937-C7B1-47D3-B67F-A62EFF666E3E}">
          <x14:id>{F3305CE8-1A0B-4EA0-A52E-ECD64555A1AD}</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F3305CE8-1A0B-4EA0-A52E-ECD64555A1AD}">
            <x14:dataBar minLength="0" maxLength="100" gradient="0">
              <x14:cfvo type="autoMin"/>
              <x14:cfvo type="autoMax"/>
              <x14:negativeFillColor rgb="FFFF0000"/>
              <x14:axisColor rgb="FF000000"/>
            </x14:dataBar>
          </x14:cfRule>
          <xm:sqref>C2:C7</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75A-0DE0-4A3D-83A4-7E0753BEDAE7}">
  <dimension ref="B2:C6"/>
  <sheetViews>
    <sheetView workbookViewId="0">
      <selection activeCell="C7" sqref="C7"/>
    </sheetView>
  </sheetViews>
  <sheetFormatPr defaultRowHeight="14.4" x14ac:dyDescent="0.3"/>
  <cols>
    <col min="2" max="2" width="13.109375" bestFit="1" customWidth="1"/>
  </cols>
  <sheetData>
    <row r="2" spans="2:3" x14ac:dyDescent="0.3">
      <c r="B2" s="14" t="s">
        <v>10</v>
      </c>
      <c r="C2">
        <v>5</v>
      </c>
    </row>
    <row r="3" spans="2:3" x14ac:dyDescent="0.3">
      <c r="B3" s="14" t="s">
        <v>13</v>
      </c>
      <c r="C3">
        <v>4</v>
      </c>
    </row>
    <row r="4" spans="2:3" x14ac:dyDescent="0.3">
      <c r="B4" s="14" t="s">
        <v>16</v>
      </c>
      <c r="C4">
        <v>3</v>
      </c>
    </row>
    <row r="5" spans="2:3" x14ac:dyDescent="0.3">
      <c r="B5" s="14" t="s">
        <v>24</v>
      </c>
      <c r="C5">
        <v>2</v>
      </c>
    </row>
    <row r="6" spans="2:3" x14ac:dyDescent="0.3">
      <c r="B6" s="14" t="s">
        <v>42</v>
      </c>
      <c r="C6">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workbookViewId="0">
      <selection activeCell="C6" sqref="C6"/>
    </sheetView>
  </sheetViews>
  <sheetFormatPr defaultRowHeight="14.4" x14ac:dyDescent="0.3"/>
  <cols>
    <col min="1" max="1" width="1.6640625" customWidth="1"/>
    <col min="2" max="2" width="3.6640625" customWidth="1"/>
    <col min="3" max="3" width="23.5546875" customWidth="1"/>
    <col min="4" max="4" width="11.109375" customWidth="1"/>
    <col min="5" max="5" width="15.5546875" customWidth="1"/>
    <col min="6" max="6" width="9" customWidth="1"/>
    <col min="7" max="7" width="12.33203125" customWidth="1"/>
    <col min="8" max="8" width="14.109375" style="6" customWidth="1"/>
    <col min="9" max="9" width="14.88671875" customWidth="1"/>
  </cols>
  <sheetData>
    <row r="1" spans="1:9" s="2" customFormat="1" ht="52.5" customHeight="1" x14ac:dyDescent="0.3">
      <c r="A1" s="1"/>
      <c r="C1" s="3" t="s">
        <v>110</v>
      </c>
      <c r="H1" s="5"/>
    </row>
    <row r="5" spans="1:9" x14ac:dyDescent="0.3">
      <c r="C5" t="s">
        <v>0</v>
      </c>
      <c r="D5" t="s">
        <v>1</v>
      </c>
      <c r="E5" t="s">
        <v>2</v>
      </c>
      <c r="F5" t="s">
        <v>3</v>
      </c>
      <c r="G5" s="4" t="s">
        <v>4</v>
      </c>
      <c r="H5" s="6" t="s">
        <v>5</v>
      </c>
      <c r="I5" t="s">
        <v>6</v>
      </c>
    </row>
    <row r="6" spans="1:9" x14ac:dyDescent="0.3">
      <c r="C6" t="s">
        <v>58</v>
      </c>
      <c r="D6" t="s">
        <v>15</v>
      </c>
      <c r="E6" t="s">
        <v>19</v>
      </c>
      <c r="F6">
        <v>22</v>
      </c>
      <c r="G6" s="4">
        <v>44446</v>
      </c>
      <c r="H6" s="6">
        <v>112780</v>
      </c>
      <c r="I6" t="s">
        <v>13</v>
      </c>
    </row>
    <row r="7" spans="1:9" x14ac:dyDescent="0.3">
      <c r="C7" t="s">
        <v>70</v>
      </c>
      <c r="D7" t="s">
        <v>15</v>
      </c>
      <c r="E7" t="s">
        <v>9</v>
      </c>
      <c r="F7">
        <v>46</v>
      </c>
      <c r="G7" s="4">
        <v>44758</v>
      </c>
      <c r="H7" s="6">
        <v>70610</v>
      </c>
      <c r="I7" t="s">
        <v>16</v>
      </c>
    </row>
    <row r="8" spans="1:9" x14ac:dyDescent="0.3">
      <c r="C8" t="s">
        <v>75</v>
      </c>
      <c r="D8" t="s">
        <v>8</v>
      </c>
      <c r="E8" t="s">
        <v>19</v>
      </c>
      <c r="F8">
        <v>28</v>
      </c>
      <c r="G8" s="4">
        <v>44357</v>
      </c>
      <c r="H8" s="6">
        <v>53240</v>
      </c>
      <c r="I8" t="s">
        <v>16</v>
      </c>
    </row>
    <row r="9" spans="1:9" x14ac:dyDescent="0.3">
      <c r="C9" t="s">
        <v>49</v>
      </c>
      <c r="E9" t="s">
        <v>21</v>
      </c>
      <c r="F9">
        <v>37</v>
      </c>
      <c r="G9" s="4">
        <v>44146</v>
      </c>
      <c r="H9" s="6">
        <v>115440</v>
      </c>
      <c r="I9" t="s">
        <v>24</v>
      </c>
    </row>
    <row r="10" spans="1:9" x14ac:dyDescent="0.3">
      <c r="C10" t="s">
        <v>65</v>
      </c>
      <c r="D10" t="s">
        <v>15</v>
      </c>
      <c r="E10" t="s">
        <v>19</v>
      </c>
      <c r="F10">
        <v>32</v>
      </c>
      <c r="G10" s="4">
        <v>44465</v>
      </c>
      <c r="H10" s="6">
        <v>53540</v>
      </c>
      <c r="I10" t="s">
        <v>16</v>
      </c>
    </row>
    <row r="11" spans="1:9" x14ac:dyDescent="0.3">
      <c r="C11" t="s">
        <v>81</v>
      </c>
      <c r="D11" t="s">
        <v>8</v>
      </c>
      <c r="E11" t="s">
        <v>9</v>
      </c>
      <c r="F11">
        <v>30</v>
      </c>
      <c r="G11" s="4">
        <v>44861</v>
      </c>
      <c r="H11" s="6">
        <v>112570</v>
      </c>
      <c r="I11" t="s">
        <v>16</v>
      </c>
    </row>
    <row r="12" spans="1:9" x14ac:dyDescent="0.3">
      <c r="C12" t="s">
        <v>51</v>
      </c>
      <c r="D12" t="s">
        <v>15</v>
      </c>
      <c r="E12" t="s">
        <v>9</v>
      </c>
      <c r="F12">
        <v>33</v>
      </c>
      <c r="G12" s="4">
        <v>44701</v>
      </c>
      <c r="H12" s="6">
        <v>48530</v>
      </c>
      <c r="I12" t="s">
        <v>13</v>
      </c>
    </row>
    <row r="13" spans="1:9" x14ac:dyDescent="0.3">
      <c r="C13" t="s">
        <v>61</v>
      </c>
      <c r="D13" t="s">
        <v>8</v>
      </c>
      <c r="E13" t="s">
        <v>12</v>
      </c>
      <c r="F13">
        <v>24</v>
      </c>
      <c r="G13" s="4">
        <v>44148</v>
      </c>
      <c r="H13" s="6">
        <v>62780</v>
      </c>
      <c r="I13" t="s">
        <v>16</v>
      </c>
    </row>
    <row r="14" spans="1:9" x14ac:dyDescent="0.3">
      <c r="C14" t="s">
        <v>82</v>
      </c>
      <c r="D14" t="s">
        <v>15</v>
      </c>
      <c r="E14" t="s">
        <v>12</v>
      </c>
      <c r="F14">
        <v>33</v>
      </c>
      <c r="G14" s="4">
        <v>44509</v>
      </c>
      <c r="H14" s="6">
        <v>53870</v>
      </c>
      <c r="I14" t="s">
        <v>16</v>
      </c>
    </row>
    <row r="15" spans="1:9" x14ac:dyDescent="0.3">
      <c r="C15" t="s">
        <v>60</v>
      </c>
      <c r="D15" t="s">
        <v>8</v>
      </c>
      <c r="E15" t="s">
        <v>56</v>
      </c>
      <c r="F15">
        <v>27</v>
      </c>
      <c r="G15" s="4">
        <v>44122</v>
      </c>
      <c r="H15" s="6">
        <v>119110</v>
      </c>
      <c r="I15" t="s">
        <v>16</v>
      </c>
    </row>
    <row r="16" spans="1:9" x14ac:dyDescent="0.3">
      <c r="C16" t="s">
        <v>87</v>
      </c>
      <c r="D16" t="s">
        <v>15</v>
      </c>
      <c r="E16" t="s">
        <v>12</v>
      </c>
      <c r="F16">
        <v>29</v>
      </c>
      <c r="G16" s="4">
        <v>44180</v>
      </c>
      <c r="H16" s="6">
        <v>112110</v>
      </c>
      <c r="I16" t="s">
        <v>24</v>
      </c>
    </row>
    <row r="17" spans="3:9" x14ac:dyDescent="0.3">
      <c r="C17" t="s">
        <v>76</v>
      </c>
      <c r="D17" t="s">
        <v>15</v>
      </c>
      <c r="E17" t="s">
        <v>19</v>
      </c>
      <c r="F17">
        <v>25</v>
      </c>
      <c r="G17" s="4">
        <v>44383</v>
      </c>
      <c r="H17" s="6">
        <v>65700</v>
      </c>
      <c r="I17" t="s">
        <v>16</v>
      </c>
    </row>
    <row r="18" spans="3:9" x14ac:dyDescent="0.3">
      <c r="C18" t="s">
        <v>97</v>
      </c>
      <c r="D18" t="s">
        <v>15</v>
      </c>
      <c r="E18" t="s">
        <v>12</v>
      </c>
      <c r="F18">
        <v>37</v>
      </c>
      <c r="G18" s="4">
        <v>44701</v>
      </c>
      <c r="H18" s="6">
        <v>69070</v>
      </c>
      <c r="I18" t="s">
        <v>16</v>
      </c>
    </row>
    <row r="19" spans="3:9" x14ac:dyDescent="0.3">
      <c r="C19" t="s">
        <v>22</v>
      </c>
      <c r="D19" t="s">
        <v>15</v>
      </c>
      <c r="E19" t="s">
        <v>12</v>
      </c>
      <c r="F19">
        <v>20</v>
      </c>
      <c r="G19" s="4">
        <v>44459</v>
      </c>
      <c r="H19" s="6">
        <v>107700</v>
      </c>
      <c r="I19" t="s">
        <v>16</v>
      </c>
    </row>
    <row r="20" spans="3:9" x14ac:dyDescent="0.3">
      <c r="C20" t="s">
        <v>84</v>
      </c>
      <c r="D20" t="s">
        <v>8</v>
      </c>
      <c r="E20" t="s">
        <v>12</v>
      </c>
      <c r="F20">
        <v>32</v>
      </c>
      <c r="G20" s="4">
        <v>44354</v>
      </c>
      <c r="H20" s="6">
        <v>43840</v>
      </c>
      <c r="I20" t="s">
        <v>13</v>
      </c>
    </row>
    <row r="21" spans="3:9" x14ac:dyDescent="0.3">
      <c r="C21" t="s">
        <v>105</v>
      </c>
      <c r="D21" t="s">
        <v>15</v>
      </c>
      <c r="E21" t="s">
        <v>9</v>
      </c>
      <c r="F21">
        <v>40</v>
      </c>
      <c r="G21" s="4">
        <v>44263</v>
      </c>
      <c r="H21" s="6">
        <v>99750</v>
      </c>
      <c r="I21" t="s">
        <v>16</v>
      </c>
    </row>
    <row r="22" spans="3:9" x14ac:dyDescent="0.3">
      <c r="C22" t="s">
        <v>47</v>
      </c>
      <c r="D22" t="s">
        <v>15</v>
      </c>
      <c r="E22" t="s">
        <v>9</v>
      </c>
      <c r="F22">
        <v>21</v>
      </c>
      <c r="G22" s="4">
        <v>44104</v>
      </c>
      <c r="H22" s="6">
        <v>37920</v>
      </c>
      <c r="I22" t="s">
        <v>16</v>
      </c>
    </row>
    <row r="23" spans="3:9" x14ac:dyDescent="0.3">
      <c r="C23" t="s">
        <v>31</v>
      </c>
      <c r="D23" t="s">
        <v>15</v>
      </c>
      <c r="E23" t="s">
        <v>9</v>
      </c>
      <c r="F23">
        <v>21</v>
      </c>
      <c r="G23" s="4">
        <v>44762</v>
      </c>
      <c r="H23" s="6">
        <v>57090</v>
      </c>
      <c r="I23" t="s">
        <v>16</v>
      </c>
    </row>
    <row r="24" spans="3:9" x14ac:dyDescent="0.3">
      <c r="C24" t="s">
        <v>30</v>
      </c>
      <c r="D24" t="s">
        <v>8</v>
      </c>
      <c r="E24" t="s">
        <v>12</v>
      </c>
      <c r="F24">
        <v>31</v>
      </c>
      <c r="G24" s="4">
        <v>44145</v>
      </c>
      <c r="H24" s="6">
        <v>41980</v>
      </c>
      <c r="I24" t="s">
        <v>16</v>
      </c>
    </row>
    <row r="25" spans="3:9" x14ac:dyDescent="0.3">
      <c r="C25" t="s">
        <v>78</v>
      </c>
      <c r="D25" t="s">
        <v>15</v>
      </c>
      <c r="E25" t="s">
        <v>56</v>
      </c>
      <c r="F25">
        <v>21</v>
      </c>
      <c r="G25" s="4">
        <v>44242</v>
      </c>
      <c r="H25" s="6">
        <v>75880</v>
      </c>
      <c r="I25" t="s">
        <v>16</v>
      </c>
    </row>
    <row r="26" spans="3:9" x14ac:dyDescent="0.3">
      <c r="C26" t="s">
        <v>36</v>
      </c>
      <c r="D26" t="s">
        <v>8</v>
      </c>
      <c r="E26" t="s">
        <v>21</v>
      </c>
      <c r="F26">
        <v>34</v>
      </c>
      <c r="G26" s="4">
        <v>44653</v>
      </c>
      <c r="H26" s="6">
        <v>58940</v>
      </c>
      <c r="I26" t="s">
        <v>16</v>
      </c>
    </row>
    <row r="27" spans="3:9" x14ac:dyDescent="0.3">
      <c r="C27" t="s">
        <v>27</v>
      </c>
      <c r="D27" t="s">
        <v>8</v>
      </c>
      <c r="E27" t="s">
        <v>21</v>
      </c>
      <c r="F27">
        <v>30</v>
      </c>
      <c r="G27" s="4">
        <v>44389</v>
      </c>
      <c r="H27" s="6">
        <v>67910</v>
      </c>
      <c r="I27" t="s">
        <v>24</v>
      </c>
    </row>
    <row r="28" spans="3:9" x14ac:dyDescent="0.3">
      <c r="C28" t="s">
        <v>26</v>
      </c>
      <c r="D28" t="s">
        <v>8</v>
      </c>
      <c r="E28" t="s">
        <v>12</v>
      </c>
      <c r="F28">
        <v>31</v>
      </c>
      <c r="G28" s="4">
        <v>44663</v>
      </c>
      <c r="H28" s="6">
        <v>58100</v>
      </c>
      <c r="I28" t="s">
        <v>16</v>
      </c>
    </row>
    <row r="29" spans="3:9" x14ac:dyDescent="0.3">
      <c r="C29" t="s">
        <v>53</v>
      </c>
      <c r="D29" t="s">
        <v>15</v>
      </c>
      <c r="E29" t="s">
        <v>21</v>
      </c>
      <c r="F29">
        <v>27</v>
      </c>
      <c r="G29" s="4">
        <v>44567</v>
      </c>
      <c r="H29" s="6">
        <v>48980</v>
      </c>
      <c r="I29" t="s">
        <v>16</v>
      </c>
    </row>
    <row r="30" spans="3:9" x14ac:dyDescent="0.3">
      <c r="C30" t="s">
        <v>20</v>
      </c>
      <c r="E30" t="s">
        <v>21</v>
      </c>
      <c r="F30">
        <v>30</v>
      </c>
      <c r="G30" s="4">
        <v>44597</v>
      </c>
      <c r="H30" s="6">
        <v>64000</v>
      </c>
      <c r="I30" t="s">
        <v>16</v>
      </c>
    </row>
    <row r="31" spans="3:9" x14ac:dyDescent="0.3">
      <c r="C31" t="s">
        <v>7</v>
      </c>
      <c r="D31" t="s">
        <v>8</v>
      </c>
      <c r="E31" t="s">
        <v>9</v>
      </c>
      <c r="F31">
        <v>42</v>
      </c>
      <c r="G31" s="4">
        <v>44779</v>
      </c>
      <c r="H31" s="6">
        <v>75000</v>
      </c>
      <c r="I31" t="s">
        <v>10</v>
      </c>
    </row>
    <row r="32" spans="3:9" x14ac:dyDescent="0.3">
      <c r="C32" t="s">
        <v>74</v>
      </c>
      <c r="D32" t="s">
        <v>8</v>
      </c>
      <c r="E32" t="s">
        <v>12</v>
      </c>
      <c r="F32">
        <v>40</v>
      </c>
      <c r="G32" s="4">
        <v>44337</v>
      </c>
      <c r="H32" s="6">
        <v>87620</v>
      </c>
      <c r="I32" t="s">
        <v>16</v>
      </c>
    </row>
    <row r="33" spans="3:9" x14ac:dyDescent="0.3">
      <c r="C33" t="s">
        <v>44</v>
      </c>
      <c r="D33" t="s">
        <v>8</v>
      </c>
      <c r="E33" t="s">
        <v>12</v>
      </c>
      <c r="F33">
        <v>29</v>
      </c>
      <c r="G33" s="4">
        <v>44023</v>
      </c>
      <c r="H33" s="6">
        <v>34980</v>
      </c>
      <c r="I33" t="s">
        <v>16</v>
      </c>
    </row>
    <row r="34" spans="3:9" x14ac:dyDescent="0.3">
      <c r="C34" t="s">
        <v>35</v>
      </c>
      <c r="D34" t="s">
        <v>8</v>
      </c>
      <c r="E34" t="s">
        <v>21</v>
      </c>
      <c r="F34">
        <v>28</v>
      </c>
      <c r="G34" s="4">
        <v>44185</v>
      </c>
      <c r="H34" s="6">
        <v>75970</v>
      </c>
      <c r="I34" t="s">
        <v>16</v>
      </c>
    </row>
    <row r="35" spans="3:9" x14ac:dyDescent="0.3">
      <c r="C35" t="s">
        <v>38</v>
      </c>
      <c r="D35" t="s">
        <v>8</v>
      </c>
      <c r="E35" t="s">
        <v>21</v>
      </c>
      <c r="F35">
        <v>34</v>
      </c>
      <c r="G35" s="4">
        <v>44612</v>
      </c>
      <c r="H35" s="6">
        <v>60130</v>
      </c>
      <c r="I35" t="s">
        <v>16</v>
      </c>
    </row>
    <row r="36" spans="3:9" x14ac:dyDescent="0.3">
      <c r="C36" t="s">
        <v>41</v>
      </c>
      <c r="D36" t="s">
        <v>8</v>
      </c>
      <c r="E36" t="s">
        <v>12</v>
      </c>
      <c r="F36">
        <v>33</v>
      </c>
      <c r="G36" s="4">
        <v>44374</v>
      </c>
      <c r="H36" s="6">
        <v>75480</v>
      </c>
      <c r="I36" t="s">
        <v>42</v>
      </c>
    </row>
    <row r="37" spans="3:9" x14ac:dyDescent="0.3">
      <c r="C37" t="s">
        <v>40</v>
      </c>
      <c r="D37" t="s">
        <v>15</v>
      </c>
      <c r="E37" t="s">
        <v>9</v>
      </c>
      <c r="F37">
        <v>33</v>
      </c>
      <c r="G37" s="4">
        <v>44164</v>
      </c>
      <c r="H37" s="6">
        <v>115920</v>
      </c>
      <c r="I37" t="s">
        <v>16</v>
      </c>
    </row>
    <row r="38" spans="3:9" x14ac:dyDescent="0.3">
      <c r="C38" t="s">
        <v>48</v>
      </c>
      <c r="D38" t="s">
        <v>8</v>
      </c>
      <c r="E38" t="s">
        <v>19</v>
      </c>
      <c r="F38">
        <v>36</v>
      </c>
      <c r="G38" s="4">
        <v>44494</v>
      </c>
      <c r="H38" s="6">
        <v>78540</v>
      </c>
      <c r="I38" t="s">
        <v>16</v>
      </c>
    </row>
    <row r="39" spans="3:9" x14ac:dyDescent="0.3">
      <c r="C39" t="s">
        <v>34</v>
      </c>
      <c r="D39" t="s">
        <v>15</v>
      </c>
      <c r="E39" t="s">
        <v>9</v>
      </c>
      <c r="F39">
        <v>25</v>
      </c>
      <c r="G39" s="4">
        <v>44726</v>
      </c>
      <c r="H39" s="6">
        <v>109190</v>
      </c>
      <c r="I39" t="s">
        <v>13</v>
      </c>
    </row>
    <row r="40" spans="3:9" x14ac:dyDescent="0.3">
      <c r="C40" t="s">
        <v>73</v>
      </c>
      <c r="D40" t="s">
        <v>8</v>
      </c>
      <c r="E40" t="s">
        <v>19</v>
      </c>
      <c r="F40">
        <v>34</v>
      </c>
      <c r="G40" s="4">
        <v>44721</v>
      </c>
      <c r="H40" s="6">
        <v>49630</v>
      </c>
      <c r="I40" t="s">
        <v>24</v>
      </c>
    </row>
    <row r="41" spans="3:9" x14ac:dyDescent="0.3">
      <c r="C41" t="s">
        <v>107</v>
      </c>
      <c r="D41" t="s">
        <v>8</v>
      </c>
      <c r="E41" t="s">
        <v>9</v>
      </c>
      <c r="F41">
        <v>28</v>
      </c>
      <c r="G41" s="4">
        <v>44630</v>
      </c>
      <c r="H41" s="6">
        <v>99970</v>
      </c>
      <c r="I41" t="s">
        <v>16</v>
      </c>
    </row>
    <row r="42" spans="3:9" x14ac:dyDescent="0.3">
      <c r="C42" t="s">
        <v>71</v>
      </c>
      <c r="D42" t="s">
        <v>8</v>
      </c>
      <c r="E42" t="s">
        <v>12</v>
      </c>
      <c r="F42">
        <v>33</v>
      </c>
      <c r="G42" s="4">
        <v>44190</v>
      </c>
      <c r="H42" s="6">
        <v>96140</v>
      </c>
      <c r="I42" t="s">
        <v>16</v>
      </c>
    </row>
    <row r="43" spans="3:9" x14ac:dyDescent="0.3">
      <c r="C43" t="s">
        <v>50</v>
      </c>
      <c r="D43" t="s">
        <v>15</v>
      </c>
      <c r="E43" t="s">
        <v>9</v>
      </c>
      <c r="F43">
        <v>31</v>
      </c>
      <c r="G43" s="4">
        <v>44724</v>
      </c>
      <c r="H43" s="6">
        <v>103550</v>
      </c>
      <c r="I43" t="s">
        <v>16</v>
      </c>
    </row>
    <row r="44" spans="3:9" x14ac:dyDescent="0.3">
      <c r="C44" t="s">
        <v>14</v>
      </c>
      <c r="D44" t="s">
        <v>15</v>
      </c>
      <c r="E44" t="s">
        <v>12</v>
      </c>
      <c r="F44">
        <v>31</v>
      </c>
      <c r="G44" s="4">
        <v>44511</v>
      </c>
      <c r="H44" s="6">
        <v>48950</v>
      </c>
      <c r="I44" t="s">
        <v>16</v>
      </c>
    </row>
    <row r="45" spans="3:9" x14ac:dyDescent="0.3">
      <c r="C45" t="s">
        <v>63</v>
      </c>
      <c r="D45" t="s">
        <v>15</v>
      </c>
      <c r="E45" t="s">
        <v>21</v>
      </c>
      <c r="F45">
        <v>24</v>
      </c>
      <c r="G45" s="4">
        <v>44436</v>
      </c>
      <c r="H45" s="6">
        <v>52610</v>
      </c>
      <c r="I45" t="s">
        <v>24</v>
      </c>
    </row>
    <row r="46" spans="3:9" x14ac:dyDescent="0.3">
      <c r="C46" t="s">
        <v>72</v>
      </c>
      <c r="D46" t="s">
        <v>8</v>
      </c>
      <c r="E46" t="s">
        <v>9</v>
      </c>
      <c r="F46">
        <v>36</v>
      </c>
      <c r="G46" s="4">
        <v>44529</v>
      </c>
      <c r="H46" s="6">
        <v>78390</v>
      </c>
      <c r="I46" t="s">
        <v>16</v>
      </c>
    </row>
    <row r="47" spans="3:9" x14ac:dyDescent="0.3">
      <c r="C47" t="s">
        <v>88</v>
      </c>
      <c r="D47" t="s">
        <v>8</v>
      </c>
      <c r="E47" t="s">
        <v>21</v>
      </c>
      <c r="F47">
        <v>33</v>
      </c>
      <c r="G47" s="4">
        <v>44809</v>
      </c>
      <c r="H47" s="6">
        <v>86570</v>
      </c>
      <c r="I47" t="s">
        <v>16</v>
      </c>
    </row>
    <row r="48" spans="3:9" x14ac:dyDescent="0.3">
      <c r="C48" t="s">
        <v>92</v>
      </c>
      <c r="D48" t="s">
        <v>8</v>
      </c>
      <c r="E48" t="s">
        <v>12</v>
      </c>
      <c r="F48">
        <v>27</v>
      </c>
      <c r="G48" s="4">
        <v>44686</v>
      </c>
      <c r="H48" s="6">
        <v>83750</v>
      </c>
      <c r="I48" t="s">
        <v>16</v>
      </c>
    </row>
    <row r="49" spans="3:9" x14ac:dyDescent="0.3">
      <c r="C49" t="s">
        <v>102</v>
      </c>
      <c r="D49" t="s">
        <v>8</v>
      </c>
      <c r="E49" t="s">
        <v>21</v>
      </c>
      <c r="F49">
        <v>34</v>
      </c>
      <c r="G49" s="4">
        <v>44445</v>
      </c>
      <c r="H49" s="6">
        <v>92450</v>
      </c>
      <c r="I49" t="s">
        <v>16</v>
      </c>
    </row>
    <row r="50" spans="3:9" x14ac:dyDescent="0.3">
      <c r="C50" t="s">
        <v>64</v>
      </c>
      <c r="D50" t="s">
        <v>15</v>
      </c>
      <c r="E50" t="s">
        <v>12</v>
      </c>
      <c r="F50">
        <v>20</v>
      </c>
      <c r="G50" s="4">
        <v>44183</v>
      </c>
      <c r="H50" s="6">
        <v>112650</v>
      </c>
      <c r="I50" t="s">
        <v>16</v>
      </c>
    </row>
    <row r="51" spans="3:9" x14ac:dyDescent="0.3">
      <c r="C51" t="s">
        <v>104</v>
      </c>
      <c r="D51" t="s">
        <v>15</v>
      </c>
      <c r="E51" t="s">
        <v>9</v>
      </c>
      <c r="F51">
        <v>20</v>
      </c>
      <c r="G51" s="4">
        <v>44744</v>
      </c>
      <c r="H51" s="6">
        <v>79570</v>
      </c>
      <c r="I51" t="s">
        <v>16</v>
      </c>
    </row>
    <row r="52" spans="3:9" x14ac:dyDescent="0.3">
      <c r="C52" t="s">
        <v>91</v>
      </c>
      <c r="D52" t="s">
        <v>8</v>
      </c>
      <c r="E52" t="s">
        <v>19</v>
      </c>
      <c r="F52">
        <v>20</v>
      </c>
      <c r="G52" s="4">
        <v>44537</v>
      </c>
      <c r="H52" s="6">
        <v>68900</v>
      </c>
      <c r="I52" t="s">
        <v>24</v>
      </c>
    </row>
    <row r="53" spans="3:9" x14ac:dyDescent="0.3">
      <c r="C53" t="s">
        <v>39</v>
      </c>
      <c r="D53" t="s">
        <v>8</v>
      </c>
      <c r="E53" t="s">
        <v>12</v>
      </c>
      <c r="F53">
        <v>25</v>
      </c>
      <c r="G53" s="4">
        <v>44694</v>
      </c>
      <c r="H53" s="6">
        <v>80700</v>
      </c>
      <c r="I53" t="s">
        <v>13</v>
      </c>
    </row>
    <row r="54" spans="3:9" x14ac:dyDescent="0.3">
      <c r="C54" t="s">
        <v>100</v>
      </c>
      <c r="D54" t="s">
        <v>15</v>
      </c>
      <c r="E54" t="s">
        <v>9</v>
      </c>
      <c r="F54">
        <v>19</v>
      </c>
      <c r="G54" s="4">
        <v>44277</v>
      </c>
      <c r="H54" s="6">
        <v>58960</v>
      </c>
      <c r="I54" t="s">
        <v>16</v>
      </c>
    </row>
    <row r="55" spans="3:9" x14ac:dyDescent="0.3">
      <c r="C55" t="s">
        <v>106</v>
      </c>
      <c r="D55" t="s">
        <v>15</v>
      </c>
      <c r="E55" t="s">
        <v>12</v>
      </c>
      <c r="F55">
        <v>36</v>
      </c>
      <c r="G55" s="4">
        <v>44019</v>
      </c>
      <c r="H55" s="6">
        <v>118840</v>
      </c>
      <c r="I55" t="s">
        <v>16</v>
      </c>
    </row>
    <row r="56" spans="3:9" x14ac:dyDescent="0.3">
      <c r="C56" t="s">
        <v>29</v>
      </c>
      <c r="D56" t="s">
        <v>15</v>
      </c>
      <c r="E56" t="s">
        <v>21</v>
      </c>
      <c r="F56">
        <v>28</v>
      </c>
      <c r="G56" s="4">
        <v>44041</v>
      </c>
      <c r="H56" s="6">
        <v>48170</v>
      </c>
      <c r="I56" t="s">
        <v>13</v>
      </c>
    </row>
    <row r="57" spans="3:9" x14ac:dyDescent="0.3">
      <c r="C57" t="s">
        <v>108</v>
      </c>
      <c r="D57" t="s">
        <v>8</v>
      </c>
      <c r="E57" t="s">
        <v>56</v>
      </c>
      <c r="F57">
        <v>32</v>
      </c>
      <c r="G57" s="4">
        <v>44400</v>
      </c>
      <c r="H57" s="6">
        <v>45510</v>
      </c>
      <c r="I57" t="s">
        <v>16</v>
      </c>
    </row>
    <row r="58" spans="3:9" x14ac:dyDescent="0.3">
      <c r="C58" t="s">
        <v>64</v>
      </c>
      <c r="D58" t="s">
        <v>15</v>
      </c>
      <c r="E58" t="s">
        <v>9</v>
      </c>
      <c r="F58">
        <v>34</v>
      </c>
      <c r="G58" s="4">
        <v>44703</v>
      </c>
      <c r="H58" s="6">
        <v>112650</v>
      </c>
      <c r="I58" t="s">
        <v>16</v>
      </c>
    </row>
    <row r="59" spans="3:9" x14ac:dyDescent="0.3">
      <c r="C59" t="s">
        <v>83</v>
      </c>
      <c r="D59" t="s">
        <v>8</v>
      </c>
      <c r="E59" t="s">
        <v>9</v>
      </c>
      <c r="F59">
        <v>36</v>
      </c>
      <c r="G59" s="4">
        <v>44085</v>
      </c>
      <c r="H59" s="6">
        <v>114890</v>
      </c>
      <c r="I59" t="s">
        <v>16</v>
      </c>
    </row>
    <row r="60" spans="3:9" x14ac:dyDescent="0.3">
      <c r="C60" t="s">
        <v>67</v>
      </c>
      <c r="D60" t="s">
        <v>15</v>
      </c>
      <c r="E60" t="s">
        <v>12</v>
      </c>
      <c r="F60">
        <v>30</v>
      </c>
      <c r="G60" s="4">
        <v>44850</v>
      </c>
      <c r="H60" s="6">
        <v>69710</v>
      </c>
      <c r="I60" t="s">
        <v>16</v>
      </c>
    </row>
    <row r="61" spans="3:9" x14ac:dyDescent="0.3">
      <c r="C61" t="s">
        <v>94</v>
      </c>
      <c r="D61" t="s">
        <v>15</v>
      </c>
      <c r="E61" t="s">
        <v>21</v>
      </c>
      <c r="F61">
        <v>36</v>
      </c>
      <c r="G61" s="4">
        <v>44333</v>
      </c>
      <c r="H61" s="6">
        <v>71380</v>
      </c>
      <c r="I61" t="s">
        <v>16</v>
      </c>
    </row>
    <row r="62" spans="3:9" x14ac:dyDescent="0.3">
      <c r="C62" t="s">
        <v>33</v>
      </c>
      <c r="D62" t="s">
        <v>8</v>
      </c>
      <c r="E62" t="s">
        <v>19</v>
      </c>
      <c r="F62">
        <v>38</v>
      </c>
      <c r="G62" s="4">
        <v>44377</v>
      </c>
      <c r="H62" s="6">
        <v>109160</v>
      </c>
      <c r="I62" t="s">
        <v>10</v>
      </c>
    </row>
    <row r="63" spans="3:9" x14ac:dyDescent="0.3">
      <c r="C63" t="s">
        <v>98</v>
      </c>
      <c r="D63" t="s">
        <v>15</v>
      </c>
      <c r="E63" t="s">
        <v>9</v>
      </c>
      <c r="F63">
        <v>27</v>
      </c>
      <c r="G63" s="4">
        <v>44609</v>
      </c>
      <c r="H63" s="6">
        <v>113280</v>
      </c>
      <c r="I63" t="s">
        <v>42</v>
      </c>
    </row>
    <row r="64" spans="3:9" x14ac:dyDescent="0.3">
      <c r="C64" t="s">
        <v>25</v>
      </c>
      <c r="D64" t="s">
        <v>15</v>
      </c>
      <c r="E64" t="s">
        <v>12</v>
      </c>
      <c r="F64">
        <v>30</v>
      </c>
      <c r="G64" s="4">
        <v>44273</v>
      </c>
      <c r="H64" s="6">
        <v>69120</v>
      </c>
      <c r="I64" t="s">
        <v>16</v>
      </c>
    </row>
    <row r="65" spans="3:9" x14ac:dyDescent="0.3">
      <c r="C65" t="s">
        <v>55</v>
      </c>
      <c r="D65" t="s">
        <v>8</v>
      </c>
      <c r="E65" t="s">
        <v>56</v>
      </c>
      <c r="F65">
        <v>37</v>
      </c>
      <c r="G65" s="4">
        <v>44451</v>
      </c>
      <c r="H65" s="6">
        <v>118100</v>
      </c>
      <c r="I65" t="s">
        <v>16</v>
      </c>
    </row>
    <row r="66" spans="3:9" x14ac:dyDescent="0.3">
      <c r="C66" t="s">
        <v>62</v>
      </c>
      <c r="D66" t="s">
        <v>8</v>
      </c>
      <c r="E66" t="s">
        <v>9</v>
      </c>
      <c r="F66">
        <v>22</v>
      </c>
      <c r="G66" s="4">
        <v>44450</v>
      </c>
      <c r="H66" s="6">
        <v>76900</v>
      </c>
      <c r="I66" t="s">
        <v>13</v>
      </c>
    </row>
    <row r="67" spans="3:9" x14ac:dyDescent="0.3">
      <c r="C67" t="s">
        <v>17</v>
      </c>
      <c r="D67" t="s">
        <v>8</v>
      </c>
      <c r="E67" t="s">
        <v>12</v>
      </c>
      <c r="F67">
        <v>43</v>
      </c>
      <c r="G67" s="4">
        <v>45045</v>
      </c>
      <c r="H67" s="6">
        <v>114870</v>
      </c>
      <c r="I67" t="s">
        <v>16</v>
      </c>
    </row>
    <row r="68" spans="3:9" x14ac:dyDescent="0.3">
      <c r="C68" t="s">
        <v>52</v>
      </c>
      <c r="E68" t="s">
        <v>12</v>
      </c>
      <c r="F68">
        <v>32</v>
      </c>
      <c r="G68" s="4">
        <v>44774</v>
      </c>
      <c r="H68" s="6">
        <v>91310</v>
      </c>
      <c r="I68" t="s">
        <v>16</v>
      </c>
    </row>
    <row r="69" spans="3:9" x14ac:dyDescent="0.3">
      <c r="C69" t="s">
        <v>43</v>
      </c>
      <c r="D69" t="s">
        <v>8</v>
      </c>
      <c r="E69" t="s">
        <v>9</v>
      </c>
      <c r="F69">
        <v>28</v>
      </c>
      <c r="G69" s="4">
        <v>44486</v>
      </c>
      <c r="H69" s="6">
        <v>104770</v>
      </c>
      <c r="I69" t="s">
        <v>16</v>
      </c>
    </row>
    <row r="70" spans="3:9" x14ac:dyDescent="0.3">
      <c r="C70" t="s">
        <v>89</v>
      </c>
      <c r="D70" t="s">
        <v>15</v>
      </c>
      <c r="E70" t="s">
        <v>19</v>
      </c>
      <c r="F70">
        <v>27</v>
      </c>
      <c r="G70" s="4">
        <v>44134</v>
      </c>
      <c r="H70" s="6">
        <v>54970</v>
      </c>
      <c r="I70" t="s">
        <v>16</v>
      </c>
    </row>
    <row r="71" spans="3:9" x14ac:dyDescent="0.3">
      <c r="C71" t="s">
        <v>11</v>
      </c>
      <c r="E71" t="s">
        <v>12</v>
      </c>
      <c r="F71">
        <v>26</v>
      </c>
      <c r="G71" s="4">
        <v>44271</v>
      </c>
      <c r="H71" s="6">
        <v>90700</v>
      </c>
      <c r="I71" t="s">
        <v>13</v>
      </c>
    </row>
    <row r="72" spans="3:9" x14ac:dyDescent="0.3">
      <c r="C72" t="s">
        <v>109</v>
      </c>
      <c r="D72" t="s">
        <v>8</v>
      </c>
      <c r="E72" t="s">
        <v>19</v>
      </c>
      <c r="F72">
        <v>38</v>
      </c>
      <c r="G72" s="4">
        <v>44329</v>
      </c>
      <c r="H72" s="6">
        <v>56870</v>
      </c>
      <c r="I72" t="s">
        <v>13</v>
      </c>
    </row>
    <row r="73" spans="3:9" x14ac:dyDescent="0.3">
      <c r="C73" t="s">
        <v>77</v>
      </c>
      <c r="D73" t="s">
        <v>8</v>
      </c>
      <c r="E73" t="s">
        <v>19</v>
      </c>
      <c r="F73">
        <v>25</v>
      </c>
      <c r="G73" s="4">
        <v>44205</v>
      </c>
      <c r="H73" s="6">
        <v>92700</v>
      </c>
      <c r="I73" t="s">
        <v>16</v>
      </c>
    </row>
    <row r="74" spans="3:9" x14ac:dyDescent="0.3">
      <c r="C74" t="s">
        <v>32</v>
      </c>
      <c r="D74" t="s">
        <v>8</v>
      </c>
      <c r="E74" t="s">
        <v>21</v>
      </c>
      <c r="F74">
        <v>21</v>
      </c>
      <c r="G74" s="4">
        <v>44317</v>
      </c>
      <c r="H74" s="6">
        <v>65920</v>
      </c>
      <c r="I74" t="s">
        <v>16</v>
      </c>
    </row>
    <row r="75" spans="3:9" x14ac:dyDescent="0.3">
      <c r="C75" t="s">
        <v>59</v>
      </c>
      <c r="D75" t="s">
        <v>15</v>
      </c>
      <c r="E75" t="s">
        <v>9</v>
      </c>
      <c r="F75">
        <v>26</v>
      </c>
      <c r="G75" s="4">
        <v>44225</v>
      </c>
      <c r="H75" s="6">
        <v>47360</v>
      </c>
      <c r="I75" t="s">
        <v>16</v>
      </c>
    </row>
    <row r="76" spans="3:9" x14ac:dyDescent="0.3">
      <c r="C76" t="s">
        <v>37</v>
      </c>
      <c r="D76" t="s">
        <v>15</v>
      </c>
      <c r="E76" t="s">
        <v>9</v>
      </c>
      <c r="F76">
        <v>30</v>
      </c>
      <c r="G76" s="4">
        <v>44666</v>
      </c>
      <c r="H76" s="6">
        <v>60570</v>
      </c>
      <c r="I76" t="s">
        <v>16</v>
      </c>
    </row>
    <row r="77" spans="3:9" x14ac:dyDescent="0.3">
      <c r="C77" t="s">
        <v>96</v>
      </c>
      <c r="D77" t="s">
        <v>8</v>
      </c>
      <c r="E77" t="s">
        <v>9</v>
      </c>
      <c r="F77">
        <v>28</v>
      </c>
      <c r="G77" s="4">
        <v>44649</v>
      </c>
      <c r="H77" s="6">
        <v>104120</v>
      </c>
      <c r="I77" t="s">
        <v>16</v>
      </c>
    </row>
    <row r="78" spans="3:9" x14ac:dyDescent="0.3">
      <c r="C78" t="s">
        <v>23</v>
      </c>
      <c r="D78" t="s">
        <v>15</v>
      </c>
      <c r="E78" t="s">
        <v>12</v>
      </c>
      <c r="F78">
        <v>37</v>
      </c>
      <c r="G78" s="4">
        <v>44338</v>
      </c>
      <c r="H78" s="6">
        <v>88050</v>
      </c>
      <c r="I78" t="s">
        <v>24</v>
      </c>
    </row>
    <row r="79" spans="3:9" x14ac:dyDescent="0.3">
      <c r="C79" t="s">
        <v>103</v>
      </c>
      <c r="D79" t="s">
        <v>15</v>
      </c>
      <c r="E79" t="s">
        <v>12</v>
      </c>
      <c r="F79">
        <v>24</v>
      </c>
      <c r="G79" s="4">
        <v>44686</v>
      </c>
      <c r="H79" s="6">
        <v>100420</v>
      </c>
      <c r="I79" t="s">
        <v>16</v>
      </c>
    </row>
    <row r="80" spans="3:9" x14ac:dyDescent="0.3">
      <c r="C80" t="s">
        <v>54</v>
      </c>
      <c r="D80" t="s">
        <v>8</v>
      </c>
      <c r="E80" t="s">
        <v>9</v>
      </c>
      <c r="F80">
        <v>30</v>
      </c>
      <c r="G80" s="4">
        <v>44850</v>
      </c>
      <c r="H80" s="6">
        <v>114180</v>
      </c>
      <c r="I80" t="s">
        <v>16</v>
      </c>
    </row>
    <row r="81" spans="3:9" x14ac:dyDescent="0.3">
      <c r="C81" t="s">
        <v>86</v>
      </c>
      <c r="D81" t="s">
        <v>8</v>
      </c>
      <c r="E81" t="s">
        <v>12</v>
      </c>
      <c r="F81">
        <v>21</v>
      </c>
      <c r="G81" s="4">
        <v>44678</v>
      </c>
      <c r="H81" s="6">
        <v>33920</v>
      </c>
      <c r="I81" t="s">
        <v>16</v>
      </c>
    </row>
    <row r="82" spans="3:9" x14ac:dyDescent="0.3">
      <c r="C82" t="s">
        <v>69</v>
      </c>
      <c r="D82" t="s">
        <v>15</v>
      </c>
      <c r="E82" t="s">
        <v>9</v>
      </c>
      <c r="F82">
        <v>23</v>
      </c>
      <c r="G82" s="4">
        <v>44440</v>
      </c>
      <c r="H82" s="6">
        <v>106460</v>
      </c>
      <c r="I82" t="s">
        <v>16</v>
      </c>
    </row>
    <row r="83" spans="3:9" x14ac:dyDescent="0.3">
      <c r="C83" t="s">
        <v>57</v>
      </c>
      <c r="D83" t="s">
        <v>15</v>
      </c>
      <c r="E83" t="s">
        <v>9</v>
      </c>
      <c r="F83">
        <v>35</v>
      </c>
      <c r="G83" s="4">
        <v>44727</v>
      </c>
      <c r="H83" s="6">
        <v>40400</v>
      </c>
      <c r="I83" t="s">
        <v>16</v>
      </c>
    </row>
    <row r="84" spans="3:9" x14ac:dyDescent="0.3">
      <c r="C84" t="s">
        <v>68</v>
      </c>
      <c r="D84" t="s">
        <v>15</v>
      </c>
      <c r="E84" t="s">
        <v>21</v>
      </c>
      <c r="F84">
        <v>27</v>
      </c>
      <c r="G84" s="4">
        <v>44236</v>
      </c>
      <c r="H84" s="6">
        <v>91650</v>
      </c>
      <c r="I84" t="s">
        <v>13</v>
      </c>
    </row>
    <row r="85" spans="3:9" x14ac:dyDescent="0.3">
      <c r="C85" t="s">
        <v>99</v>
      </c>
      <c r="D85" t="s">
        <v>15</v>
      </c>
      <c r="E85" t="s">
        <v>19</v>
      </c>
      <c r="F85">
        <v>43</v>
      </c>
      <c r="G85" s="4">
        <v>44620</v>
      </c>
      <c r="H85" s="6">
        <v>36040</v>
      </c>
      <c r="I85" t="s">
        <v>16</v>
      </c>
    </row>
    <row r="86" spans="3:9" x14ac:dyDescent="0.3">
      <c r="C86" t="s">
        <v>101</v>
      </c>
      <c r="D86" t="s">
        <v>8</v>
      </c>
      <c r="E86" t="s">
        <v>12</v>
      </c>
      <c r="F86">
        <v>40</v>
      </c>
      <c r="G86" s="4">
        <v>44381</v>
      </c>
      <c r="H86" s="6">
        <v>104410</v>
      </c>
      <c r="I86" t="s">
        <v>16</v>
      </c>
    </row>
    <row r="87" spans="3:9" x14ac:dyDescent="0.3">
      <c r="C87" t="s">
        <v>85</v>
      </c>
      <c r="D87" t="s">
        <v>15</v>
      </c>
      <c r="E87" t="s">
        <v>21</v>
      </c>
      <c r="F87">
        <v>30</v>
      </c>
      <c r="G87" s="4">
        <v>44606</v>
      </c>
      <c r="H87" s="6">
        <v>96800</v>
      </c>
      <c r="I87" t="s">
        <v>16</v>
      </c>
    </row>
    <row r="88" spans="3:9" x14ac:dyDescent="0.3">
      <c r="C88" t="s">
        <v>28</v>
      </c>
      <c r="D88" t="s">
        <v>8</v>
      </c>
      <c r="E88" t="s">
        <v>21</v>
      </c>
      <c r="F88">
        <v>34</v>
      </c>
      <c r="G88" s="4">
        <v>44459</v>
      </c>
      <c r="H88" s="6">
        <v>85000</v>
      </c>
      <c r="I88" t="s">
        <v>16</v>
      </c>
    </row>
    <row r="89" spans="3:9" x14ac:dyDescent="0.3">
      <c r="C89" t="s">
        <v>80</v>
      </c>
      <c r="D89" t="s">
        <v>15</v>
      </c>
      <c r="E89" t="s">
        <v>19</v>
      </c>
      <c r="F89">
        <v>28</v>
      </c>
      <c r="G89" s="4">
        <v>44820</v>
      </c>
      <c r="H89" s="6">
        <v>43510</v>
      </c>
      <c r="I89" t="s">
        <v>42</v>
      </c>
    </row>
    <row r="90" spans="3:9" x14ac:dyDescent="0.3">
      <c r="C90" t="s">
        <v>79</v>
      </c>
      <c r="D90" t="s">
        <v>15</v>
      </c>
      <c r="E90" t="s">
        <v>21</v>
      </c>
      <c r="F90">
        <v>33</v>
      </c>
      <c r="G90" s="4">
        <v>44243</v>
      </c>
      <c r="H90" s="6">
        <v>59430</v>
      </c>
      <c r="I90" t="s">
        <v>16</v>
      </c>
    </row>
    <row r="91" spans="3:9" x14ac:dyDescent="0.3">
      <c r="C91" t="s">
        <v>93</v>
      </c>
      <c r="D91" t="s">
        <v>8</v>
      </c>
      <c r="E91" t="s">
        <v>21</v>
      </c>
      <c r="F91">
        <v>33</v>
      </c>
      <c r="G91" s="4">
        <v>44067</v>
      </c>
      <c r="H91" s="6">
        <v>65360</v>
      </c>
      <c r="I91" t="s">
        <v>16</v>
      </c>
    </row>
    <row r="92" spans="3:9" x14ac:dyDescent="0.3">
      <c r="C92" t="s">
        <v>66</v>
      </c>
      <c r="D92" t="s">
        <v>8</v>
      </c>
      <c r="E92" t="s">
        <v>9</v>
      </c>
      <c r="F92">
        <v>32</v>
      </c>
      <c r="G92" s="4">
        <v>44611</v>
      </c>
      <c r="H92" s="6">
        <v>41570</v>
      </c>
      <c r="I92" t="s">
        <v>16</v>
      </c>
    </row>
    <row r="93" spans="3:9" x14ac:dyDescent="0.3">
      <c r="C93" t="s">
        <v>95</v>
      </c>
      <c r="D93" t="s">
        <v>8</v>
      </c>
      <c r="E93" t="s">
        <v>12</v>
      </c>
      <c r="F93">
        <v>33</v>
      </c>
      <c r="G93" s="4">
        <v>44312</v>
      </c>
      <c r="H93" s="6">
        <v>75280</v>
      </c>
      <c r="I93" t="s">
        <v>16</v>
      </c>
    </row>
    <row r="94" spans="3:9" x14ac:dyDescent="0.3">
      <c r="C94" t="s">
        <v>18</v>
      </c>
      <c r="D94" t="s">
        <v>15</v>
      </c>
      <c r="E94" t="s">
        <v>19</v>
      </c>
      <c r="F94">
        <v>33</v>
      </c>
      <c r="G94" s="4">
        <v>44385</v>
      </c>
      <c r="H94" s="6">
        <v>74550</v>
      </c>
      <c r="I94" t="s">
        <v>16</v>
      </c>
    </row>
    <row r="95" spans="3:9" x14ac:dyDescent="0.3">
      <c r="C95" t="s">
        <v>45</v>
      </c>
      <c r="D95" t="s">
        <v>15</v>
      </c>
      <c r="E95" t="s">
        <v>9</v>
      </c>
      <c r="F95">
        <v>30</v>
      </c>
      <c r="G95" s="4">
        <v>44701</v>
      </c>
      <c r="H95" s="6">
        <v>67950</v>
      </c>
      <c r="I95" t="s">
        <v>16</v>
      </c>
    </row>
    <row r="96" spans="3:9" x14ac:dyDescent="0.3">
      <c r="C96" t="s">
        <v>90</v>
      </c>
      <c r="D96" t="s">
        <v>15</v>
      </c>
      <c r="E96" t="s">
        <v>21</v>
      </c>
      <c r="F96">
        <v>42</v>
      </c>
      <c r="G96" s="4">
        <v>44731</v>
      </c>
      <c r="H96" s="6">
        <v>70270</v>
      </c>
      <c r="I96" t="s">
        <v>24</v>
      </c>
    </row>
    <row r="97" spans="3:9" x14ac:dyDescent="0.3">
      <c r="C97" t="s">
        <v>46</v>
      </c>
      <c r="D97" t="s">
        <v>15</v>
      </c>
      <c r="E97" t="s">
        <v>9</v>
      </c>
      <c r="F97">
        <v>26</v>
      </c>
      <c r="G97" s="4">
        <v>44411</v>
      </c>
      <c r="H97" s="6">
        <v>53540</v>
      </c>
      <c r="I97" t="s">
        <v>16</v>
      </c>
    </row>
    <row r="98" spans="3:9" x14ac:dyDescent="0.3">
      <c r="C98" t="s">
        <v>58</v>
      </c>
      <c r="D98" t="s">
        <v>15</v>
      </c>
      <c r="E98" t="s">
        <v>19</v>
      </c>
      <c r="F98">
        <v>22</v>
      </c>
      <c r="G98" s="4">
        <v>44446</v>
      </c>
      <c r="H98" s="6">
        <v>112780</v>
      </c>
      <c r="I98" t="s">
        <v>13</v>
      </c>
    </row>
    <row r="99" spans="3:9" x14ac:dyDescent="0.3">
      <c r="C99" t="s">
        <v>70</v>
      </c>
      <c r="D99" t="s">
        <v>15</v>
      </c>
      <c r="E99" t="s">
        <v>9</v>
      </c>
      <c r="F99">
        <v>46</v>
      </c>
      <c r="G99" s="4">
        <v>44758</v>
      </c>
      <c r="H99" s="6">
        <v>70610</v>
      </c>
      <c r="I99" t="s">
        <v>16</v>
      </c>
    </row>
    <row r="100" spans="3:9" x14ac:dyDescent="0.3">
      <c r="C100" t="s">
        <v>75</v>
      </c>
      <c r="D100" t="s">
        <v>8</v>
      </c>
      <c r="E100" t="s">
        <v>19</v>
      </c>
      <c r="F100">
        <v>28</v>
      </c>
      <c r="G100" s="4">
        <v>44357</v>
      </c>
      <c r="H100" s="6">
        <v>53240</v>
      </c>
      <c r="I100" t="s">
        <v>16</v>
      </c>
    </row>
    <row r="101" spans="3:9" x14ac:dyDescent="0.3">
      <c r="C101" t="s">
        <v>49</v>
      </c>
      <c r="E101" t="s">
        <v>21</v>
      </c>
      <c r="F101">
        <v>37</v>
      </c>
      <c r="G101" s="4">
        <v>44146</v>
      </c>
      <c r="H101" s="6">
        <v>115440</v>
      </c>
      <c r="I101" t="s">
        <v>24</v>
      </c>
    </row>
    <row r="102" spans="3:9" x14ac:dyDescent="0.3">
      <c r="C102" t="s">
        <v>65</v>
      </c>
      <c r="D102" t="s">
        <v>15</v>
      </c>
      <c r="E102" t="s">
        <v>19</v>
      </c>
      <c r="F102">
        <v>32</v>
      </c>
      <c r="G102" s="4">
        <v>44465</v>
      </c>
      <c r="H102" s="6">
        <v>53540</v>
      </c>
      <c r="I102" t="s">
        <v>16</v>
      </c>
    </row>
    <row r="103" spans="3:9" x14ac:dyDescent="0.3">
      <c r="C103" t="s">
        <v>81</v>
      </c>
      <c r="D103" t="s">
        <v>8</v>
      </c>
      <c r="E103" t="s">
        <v>9</v>
      </c>
      <c r="F103">
        <v>30</v>
      </c>
      <c r="G103" s="4">
        <v>44861</v>
      </c>
      <c r="H103" s="6">
        <v>112570</v>
      </c>
      <c r="I103" t="s">
        <v>16</v>
      </c>
    </row>
    <row r="104" spans="3:9" x14ac:dyDescent="0.3">
      <c r="C104" t="s">
        <v>51</v>
      </c>
      <c r="D104" t="s">
        <v>15</v>
      </c>
      <c r="E104" t="s">
        <v>9</v>
      </c>
      <c r="F104">
        <v>33</v>
      </c>
      <c r="G104" s="4">
        <v>44701</v>
      </c>
      <c r="H104" s="6">
        <v>48530</v>
      </c>
      <c r="I104" t="s">
        <v>13</v>
      </c>
    </row>
    <row r="105" spans="3:9" x14ac:dyDescent="0.3">
      <c r="C105" t="s">
        <v>61</v>
      </c>
      <c r="D105" t="s">
        <v>8</v>
      </c>
      <c r="E105" t="s">
        <v>12</v>
      </c>
      <c r="F105">
        <v>24</v>
      </c>
      <c r="G105" s="4">
        <v>44148</v>
      </c>
      <c r="H105" s="6">
        <v>62780</v>
      </c>
      <c r="I105" t="s">
        <v>16</v>
      </c>
    </row>
    <row r="106" spans="3:9" x14ac:dyDescent="0.3">
      <c r="C106" t="s">
        <v>203</v>
      </c>
      <c r="F106">
        <f>SUBTOTAL(101,nz_staff[Age])</f>
        <v>30.52</v>
      </c>
      <c r="H106" s="6">
        <f>SUBTOTAL(101,nz_staff[Salary])</f>
        <v>77472.100000000006</v>
      </c>
      <c r="I106">
        <f>SUBTOTAL(103,nz_staff[Rating])</f>
        <v>100</v>
      </c>
    </row>
  </sheetData>
  <conditionalFormatting sqref="C6:C105">
    <cfRule type="duplicateValues" dxfId="0" priority="1"/>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J27" sqref="J27"/>
    </sheetView>
  </sheetViews>
  <sheetFormatPr defaultRowHeight="14.4" x14ac:dyDescent="0.3"/>
  <cols>
    <col min="2" max="2" width="27.21875" bestFit="1" customWidth="1"/>
    <col min="3" max="3" width="9" customWidth="1"/>
    <col min="4" max="4" width="6.109375" customWidth="1"/>
    <col min="5" max="5" width="13.109375" bestFit="1" customWidth="1"/>
    <col min="6" max="6" width="12.6640625" customWidth="1"/>
    <col min="7" max="7" width="13" customWidth="1"/>
    <col min="8" max="8" width="8"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43840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4979F3-11EF-45CD-AA6C-A5D6C24AC8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 Staff</vt:lpstr>
      <vt:lpstr>Report</vt:lpstr>
      <vt:lpstr>Sheet9</vt:lpstr>
      <vt:lpstr>Headcount</vt:lpstr>
      <vt:lpstr>Dept Finder</vt:lpstr>
      <vt:lpstr>Male vs. Female</vt:lpstr>
      <vt:lpstr>Salary Spread</vt:lpstr>
      <vt:lpstr>Salary vs. Rating</vt:lpstr>
      <vt:lpstr>Rating</vt:lpstr>
      <vt:lpstr>New Zealand</vt:lpstr>
      <vt:lpstr>India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john.boucha@pc.gc.ca</dc:creator>
  <cp:lastModifiedBy>John Boucha</cp:lastModifiedBy>
  <dcterms:created xsi:type="dcterms:W3CDTF">2021-03-14T20:21:32Z</dcterms:created>
  <dcterms:modified xsi:type="dcterms:W3CDTF">2023-08-22T00:06:48Z</dcterms:modified>
</cp:coreProperties>
</file>