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Project_v1.1\"/>
    </mc:Choice>
  </mc:AlternateContent>
  <xr:revisionPtr revIDLastSave="0" documentId="13_ncr:1_{7CB05E52-7DFE-4B10-AD09-E2CE893ABE94}" xr6:coauthVersionLast="41" xr6:coauthVersionMax="45" xr10:uidLastSave="{00000000-0000-0000-0000-000000000000}"/>
  <bookViews>
    <workbookView xWindow="-98" yWindow="-98" windowWidth="19396" windowHeight="11596" xr2:uid="{1FDA0D2E-C4E0-450D-967F-C7C83C83AA5E}"/>
  </bookViews>
  <sheets>
    <sheet name="part (c)" sheetId="2" r:id="rId1"/>
    <sheet name="Question 1 Crank Nicholson" sheetId="3" r:id="rId2"/>
    <sheet name="Question 1 Fully Implicit" sheetId="4" r:id="rId3"/>
    <sheet name="Question 2 BGK Adjustme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3" l="1" a="1"/>
  <c r="I9" i="3" s="1"/>
  <c r="E31" i="4" a="1"/>
  <c r="E16" i="4" a="1"/>
  <c r="D4" i="4" a="1"/>
  <c r="E55" i="3" a="1"/>
  <c r="E35" i="3" a="1"/>
  <c r="F32" i="3" a="1"/>
  <c r="F16" i="3" a="1"/>
  <c r="E31" i="3" a="1"/>
  <c r="E16" i="3" a="1"/>
  <c r="D4" i="5"/>
  <c r="I14" i="5" l="1"/>
  <c r="E31" i="4"/>
  <c r="E16" i="4"/>
  <c r="D4" i="4"/>
  <c r="E55" i="3"/>
  <c r="E35" i="3"/>
  <c r="F32" i="3"/>
  <c r="F16" i="3"/>
  <c r="E31" i="3"/>
  <c r="E16" i="3"/>
  <c r="N11" i="5"/>
  <c r="M11" i="5"/>
  <c r="L11" i="5"/>
  <c r="K11" i="5"/>
  <c r="D4" i="3"/>
  <c r="D35" i="2" a="1"/>
  <c r="C35" i="2" a="1"/>
  <c r="B35" i="2" a="1"/>
  <c r="B33" i="2" a="1"/>
  <c r="D30" i="2" a="1"/>
  <c r="C30" i="2" a="1"/>
  <c r="B30" i="2" a="1"/>
  <c r="B28" i="2" a="1"/>
  <c r="B23" i="2" a="1"/>
  <c r="B18" i="2" a="1"/>
  <c r="D25" i="2" a="1"/>
  <c r="C25" i="2" a="1"/>
  <c r="B25" i="2" a="1"/>
  <c r="D20" i="2" a="1"/>
  <c r="C20" i="2" a="1"/>
  <c r="B20" i="2" a="1"/>
  <c r="D4" i="2"/>
  <c r="D35" i="2" l="1"/>
  <c r="C35" i="2"/>
  <c r="B35" i="2"/>
  <c r="B33" i="2"/>
  <c r="D30" i="2"/>
  <c r="C30" i="2"/>
  <c r="B30" i="2"/>
  <c r="B28" i="2"/>
  <c r="B23" i="2"/>
  <c r="B18" i="2"/>
  <c r="D25" i="2"/>
  <c r="C25" i="2"/>
  <c r="B25" i="2"/>
  <c r="D20" i="2"/>
  <c r="C20" i="2"/>
  <c r="B20" i="2"/>
  <c r="J11" i="5"/>
  <c r="I11" i="5"/>
  <c r="A9" i="5"/>
  <c r="A8" i="5"/>
  <c r="A7" i="5"/>
  <c r="A6" i="5"/>
  <c r="D60" i="4" l="1"/>
  <c r="D59" i="4"/>
  <c r="D58" i="4"/>
  <c r="D57" i="4"/>
  <c r="D56" i="4"/>
  <c r="D55" i="4"/>
  <c r="C55" i="4"/>
  <c r="C56" i="4" s="1"/>
  <c r="C57" i="4" s="1"/>
  <c r="C58" i="4" s="1"/>
  <c r="C59" i="4" s="1"/>
  <c r="C60" i="4" s="1"/>
  <c r="B55" i="4" a="1"/>
  <c r="B55" i="4" s="1"/>
  <c r="B56" i="4" s="1"/>
  <c r="B57" i="4" s="1"/>
  <c r="B58" i="4" s="1"/>
  <c r="B59" i="4" s="1"/>
  <c r="B60" i="4" s="1"/>
  <c r="D47" i="4"/>
  <c r="D46" i="4"/>
  <c r="D45" i="4"/>
  <c r="D44" i="4"/>
  <c r="D43" i="4"/>
  <c r="D42" i="4"/>
  <c r="B42" i="4" a="1"/>
  <c r="C42" i="4" s="1"/>
  <c r="C43" i="4" s="1"/>
  <c r="C44" i="4" s="1"/>
  <c r="C45" i="4" s="1"/>
  <c r="C46" i="4" s="1"/>
  <c r="C47" i="4" s="1"/>
  <c r="D36" i="4"/>
  <c r="D35" i="4"/>
  <c r="D34" i="4"/>
  <c r="D33" i="4"/>
  <c r="D32" i="4"/>
  <c r="D31" i="4"/>
  <c r="C31" i="4"/>
  <c r="C32" i="4" s="1"/>
  <c r="C33" i="4" s="1"/>
  <c r="C34" i="4" s="1"/>
  <c r="C35" i="4" s="1"/>
  <c r="C36" i="4" s="1"/>
  <c r="B31" i="4" a="1"/>
  <c r="B31" i="4" s="1"/>
  <c r="B32" i="4" s="1"/>
  <c r="B33" i="4" s="1"/>
  <c r="B34" i="4" s="1"/>
  <c r="B35" i="4" s="1"/>
  <c r="B36" i="4" s="1"/>
  <c r="D21" i="4"/>
  <c r="D20" i="4"/>
  <c r="D19" i="4"/>
  <c r="B19" i="4"/>
  <c r="B20" i="4" s="1"/>
  <c r="D18" i="4"/>
  <c r="D17" i="4"/>
  <c r="D16" i="4"/>
  <c r="C16" i="4"/>
  <c r="C17" i="4" s="1"/>
  <c r="C18" i="4" s="1"/>
  <c r="C19" i="4" s="1"/>
  <c r="C20" i="4" s="1"/>
  <c r="C21" i="4" s="1"/>
  <c r="B16" i="4"/>
  <c r="B17" i="4" s="1"/>
  <c r="B18" i="4" s="1"/>
  <c r="L9" i="4"/>
  <c r="K9" i="4"/>
  <c r="J9" i="4"/>
  <c r="I9" i="4"/>
  <c r="A9" i="4"/>
  <c r="A8" i="4"/>
  <c r="A7" i="4"/>
  <c r="A6" i="4"/>
  <c r="U2" i="4"/>
  <c r="U2" i="4" a="1"/>
  <c r="U4" i="4" s="1"/>
  <c r="S2" i="4"/>
  <c r="S2" i="4" a="1"/>
  <c r="S4" i="4" s="1"/>
  <c r="Q2" i="4" a="1"/>
  <c r="O2" i="4" a="1"/>
  <c r="O2" i="4" s="1"/>
  <c r="M2" i="4" a="1"/>
  <c r="L2" i="4" a="1"/>
  <c r="K2" i="4" a="1"/>
  <c r="K2" i="4" s="1"/>
  <c r="D26" i="5"/>
  <c r="T31" i="5"/>
  <c r="B26" i="5"/>
  <c r="B36" i="5"/>
  <c r="J36" i="5"/>
  <c r="A36" i="5"/>
  <c r="B31" i="5"/>
  <c r="Q31" i="5"/>
  <c r="D31" i="5"/>
  <c r="S26" i="5"/>
  <c r="M31" i="5"/>
  <c r="L26" i="5"/>
  <c r="B41" i="5"/>
  <c r="S31" i="5"/>
  <c r="M26" i="5"/>
  <c r="I36" i="5"/>
  <c r="I26" i="5" a="1"/>
  <c r="D41" i="5"/>
  <c r="Q36" i="5"/>
  <c r="P36" i="5" a="1"/>
  <c r="J26" i="5"/>
  <c r="T26" i="5"/>
  <c r="Q26" i="5" a="1"/>
  <c r="E26" i="5"/>
  <c r="S41" i="5"/>
  <c r="A31" i="5"/>
  <c r="E31" i="5"/>
  <c r="A41" i="5"/>
  <c r="E36" i="5"/>
  <c r="M41" i="5"/>
  <c r="L41" i="5"/>
  <c r="A26" i="5" a="1"/>
  <c r="I31" i="5"/>
  <c r="J31" i="5"/>
  <c r="T36" i="5"/>
  <c r="L31" i="5" a="1"/>
  <c r="P31" i="5" a="1"/>
  <c r="L36" i="5"/>
  <c r="D36" i="5"/>
  <c r="P26" i="5" a="1"/>
  <c r="M36" i="5"/>
  <c r="Q41" i="5"/>
  <c r="J41" i="5"/>
  <c r="I41" i="5"/>
  <c r="T41" i="5"/>
  <c r="P41" i="5" a="1"/>
  <c r="S36" i="5"/>
  <c r="E41" i="5"/>
  <c r="L31" i="5" l="1"/>
  <c r="N31" i="5" s="1"/>
  <c r="P41" i="5"/>
  <c r="R41" i="5" s="1"/>
  <c r="P31" i="5"/>
  <c r="R31" i="5" s="1"/>
  <c r="P36" i="5"/>
  <c r="R36" i="5" s="1"/>
  <c r="A26" i="5"/>
  <c r="C26" i="5" s="1"/>
  <c r="P26" i="5"/>
  <c r="I26" i="5"/>
  <c r="K26" i="5" s="1"/>
  <c r="Q26" i="5"/>
  <c r="U41" i="5"/>
  <c r="U31" i="5"/>
  <c r="N41" i="5"/>
  <c r="F41" i="5"/>
  <c r="K41" i="5"/>
  <c r="N36" i="5"/>
  <c r="C41" i="5"/>
  <c r="U36" i="5"/>
  <c r="U26" i="5"/>
  <c r="K31" i="5"/>
  <c r="K36" i="5"/>
  <c r="N26" i="5"/>
  <c r="C36" i="5"/>
  <c r="F36" i="5"/>
  <c r="C31" i="5"/>
  <c r="F31" i="5"/>
  <c r="F26" i="5"/>
  <c r="I12" i="4"/>
  <c r="Q4" i="4"/>
  <c r="Q3" i="4"/>
  <c r="Q2" i="4"/>
  <c r="T2" i="4" a="1"/>
  <c r="M4" i="4"/>
  <c r="M3" i="4"/>
  <c r="M2" i="4"/>
  <c r="N2" i="4" a="1"/>
  <c r="R2" i="4" a="1"/>
  <c r="K4" i="4"/>
  <c r="K3" i="4"/>
  <c r="O4" i="4"/>
  <c r="O3" i="4"/>
  <c r="L4" i="4"/>
  <c r="L3" i="4"/>
  <c r="P2" i="4" a="1"/>
  <c r="L2" i="4"/>
  <c r="B21" i="4"/>
  <c r="V2" i="4" s="1" a="1"/>
  <c r="S3" i="4"/>
  <c r="U3" i="4"/>
  <c r="B42" i="4"/>
  <c r="B43" i="4" s="1"/>
  <c r="B44" i="4" s="1"/>
  <c r="B45" i="4" s="1"/>
  <c r="B46" i="4" s="1"/>
  <c r="B47" i="4" s="1"/>
  <c r="B55" i="3" a="1"/>
  <c r="C55" i="3" s="1"/>
  <c r="B42" i="3" a="1"/>
  <c r="B42" i="3" s="1"/>
  <c r="D60" i="3"/>
  <c r="D59" i="3"/>
  <c r="D58" i="3"/>
  <c r="D57" i="3"/>
  <c r="D56" i="3"/>
  <c r="D55" i="3"/>
  <c r="D47" i="3"/>
  <c r="D46" i="3"/>
  <c r="D45" i="3"/>
  <c r="D44" i="3"/>
  <c r="D43" i="3"/>
  <c r="D42" i="3"/>
  <c r="B31" i="3" a="1"/>
  <c r="B31" i="3" s="1"/>
  <c r="C16" i="3"/>
  <c r="B16" i="3"/>
  <c r="I12" i="3"/>
  <c r="L9" i="3"/>
  <c r="K9" i="3"/>
  <c r="J9" i="3"/>
  <c r="F45" i="4"/>
  <c r="F16" i="4"/>
  <c r="F33" i="4"/>
  <c r="F34" i="4"/>
  <c r="E55" i="4"/>
  <c r="F32" i="4"/>
  <c r="F19" i="4"/>
  <c r="F47" i="4"/>
  <c r="F17" i="4"/>
  <c r="F18" i="4"/>
  <c r="F36" i="4"/>
  <c r="F58" i="4"/>
  <c r="F55" i="4"/>
  <c r="F35" i="4"/>
  <c r="F57" i="4"/>
  <c r="F42" i="4"/>
  <c r="F20" i="4"/>
  <c r="F44" i="4"/>
  <c r="F60" i="4"/>
  <c r="F56" i="4"/>
  <c r="F21" i="4"/>
  <c r="E42" i="4"/>
  <c r="F59" i="4"/>
  <c r="F43" i="4"/>
  <c r="F46" i="4"/>
  <c r="F31" i="4"/>
  <c r="E45" i="3"/>
  <c r="F47" i="3"/>
  <c r="F44" i="3"/>
  <c r="E47" i="3"/>
  <c r="E43" i="3"/>
  <c r="E42" i="3"/>
  <c r="F46" i="3"/>
  <c r="E44" i="3"/>
  <c r="E58" i="3"/>
  <c r="F59" i="3"/>
  <c r="F56" i="3"/>
  <c r="E59" i="3"/>
  <c r="F58" i="3"/>
  <c r="E56" i="3"/>
  <c r="E60" i="3"/>
  <c r="F57" i="3"/>
  <c r="E57" i="3"/>
  <c r="F55" i="3"/>
  <c r="F60" i="3"/>
  <c r="F45" i="3"/>
  <c r="E46" i="3"/>
  <c r="F43" i="3"/>
  <c r="F42" i="3"/>
  <c r="R26" i="5" l="1"/>
  <c r="G55" i="4"/>
  <c r="H55" i="4" s="1"/>
  <c r="G31" i="4"/>
  <c r="H31" i="4" s="1"/>
  <c r="G42" i="4"/>
  <c r="H42" i="4" s="1"/>
  <c r="G16" i="4"/>
  <c r="H16" i="4" s="1"/>
  <c r="V4" i="4"/>
  <c r="V3" i="4"/>
  <c r="V2" i="4"/>
  <c r="R4" i="4"/>
  <c r="R3" i="4"/>
  <c r="R2" i="4"/>
  <c r="P4" i="4"/>
  <c r="P3" i="4"/>
  <c r="P2" i="4"/>
  <c r="N4" i="4"/>
  <c r="N3" i="4"/>
  <c r="N2" i="4"/>
  <c r="T4" i="4"/>
  <c r="T3" i="4"/>
  <c r="T2" i="4"/>
  <c r="B55" i="3"/>
  <c r="B56" i="3" s="1"/>
  <c r="B57" i="3" s="1"/>
  <c r="B58" i="3" s="1"/>
  <c r="B59" i="3" s="1"/>
  <c r="B60" i="3" s="1"/>
  <c r="C42" i="3"/>
  <c r="G58" i="3"/>
  <c r="J58" i="3"/>
  <c r="G60" i="3"/>
  <c r="J60" i="3"/>
  <c r="G55" i="3"/>
  <c r="H55" i="3" s="1"/>
  <c r="J56" i="3"/>
  <c r="G56" i="3"/>
  <c r="G57" i="3"/>
  <c r="J57" i="3"/>
  <c r="G59" i="3"/>
  <c r="J59" i="3"/>
  <c r="K59" i="3" s="1"/>
  <c r="C56" i="3"/>
  <c r="C57" i="3" s="1"/>
  <c r="C58" i="3" s="1"/>
  <c r="C59" i="3" s="1"/>
  <c r="C60" i="3" s="1"/>
  <c r="C43" i="3"/>
  <c r="C44" i="3" s="1"/>
  <c r="C45" i="3" s="1"/>
  <c r="C46" i="3" s="1"/>
  <c r="C47" i="3" s="1"/>
  <c r="G44" i="3"/>
  <c r="J44" i="3"/>
  <c r="G46" i="3"/>
  <c r="J46" i="3"/>
  <c r="J45" i="3"/>
  <c r="G45" i="3"/>
  <c r="J47" i="3"/>
  <c r="G47" i="3"/>
  <c r="G42" i="3"/>
  <c r="H42" i="3" s="1"/>
  <c r="G43" i="3"/>
  <c r="J43" i="3"/>
  <c r="B43" i="3"/>
  <c r="B44" i="3" s="1"/>
  <c r="B45" i="3" s="1"/>
  <c r="B46" i="3" s="1"/>
  <c r="B47" i="3" s="1"/>
  <c r="C31" i="3"/>
  <c r="D36" i="3"/>
  <c r="D32" i="3"/>
  <c r="D33" i="3"/>
  <c r="D34" i="3"/>
  <c r="D35" i="3"/>
  <c r="D31" i="3"/>
  <c r="D17" i="3"/>
  <c r="D18" i="3"/>
  <c r="D19" i="3"/>
  <c r="D20" i="3"/>
  <c r="D21" i="3"/>
  <c r="D16" i="3"/>
  <c r="E19" i="4"/>
  <c r="E21" i="4"/>
  <c r="E35" i="4"/>
  <c r="E32" i="4"/>
  <c r="E58" i="4"/>
  <c r="E60" i="4"/>
  <c r="E46" i="4"/>
  <c r="E43" i="4"/>
  <c r="E44" i="4"/>
  <c r="E18" i="4"/>
  <c r="E34" i="4"/>
  <c r="E36" i="4"/>
  <c r="E20" i="4"/>
  <c r="E17" i="4"/>
  <c r="E45" i="4"/>
  <c r="E47" i="4"/>
  <c r="E59" i="4"/>
  <c r="E56" i="4"/>
  <c r="E57" i="4"/>
  <c r="E33" i="4"/>
  <c r="F21" i="3"/>
  <c r="G18" i="4" l="1"/>
  <c r="J18" i="4"/>
  <c r="G44" i="4"/>
  <c r="J44" i="4"/>
  <c r="J33" i="4"/>
  <c r="G33" i="4"/>
  <c r="G57" i="4"/>
  <c r="J57" i="4"/>
  <c r="G17" i="4"/>
  <c r="J17" i="4"/>
  <c r="G43" i="4"/>
  <c r="J43" i="4"/>
  <c r="J32" i="4"/>
  <c r="G32" i="4"/>
  <c r="J56" i="4"/>
  <c r="G56" i="4"/>
  <c r="G20" i="4"/>
  <c r="J20" i="4"/>
  <c r="G46" i="4"/>
  <c r="J46" i="4"/>
  <c r="G35" i="4"/>
  <c r="J35" i="4"/>
  <c r="G59" i="4"/>
  <c r="J59" i="4"/>
  <c r="G36" i="4"/>
  <c r="J36" i="4"/>
  <c r="K36" i="4" s="1"/>
  <c r="G60" i="4"/>
  <c r="J60" i="4"/>
  <c r="K60" i="4" s="1"/>
  <c r="G21" i="4"/>
  <c r="J21" i="4"/>
  <c r="K21" i="4" s="1"/>
  <c r="G47" i="4"/>
  <c r="J47" i="4"/>
  <c r="K47" i="4" s="1"/>
  <c r="G34" i="4"/>
  <c r="J34" i="4"/>
  <c r="G58" i="4"/>
  <c r="J58" i="4"/>
  <c r="K58" i="4" s="1"/>
  <c r="G19" i="4"/>
  <c r="J19" i="4"/>
  <c r="K19" i="4" s="1"/>
  <c r="G45" i="4"/>
  <c r="J45" i="4"/>
  <c r="K45" i="4" s="1"/>
  <c r="I55" i="4"/>
  <c r="I56" i="4" s="1"/>
  <c r="I57" i="4" s="1"/>
  <c r="I58" i="4" s="1"/>
  <c r="I59" i="4" s="1"/>
  <c r="I60" i="4" s="1"/>
  <c r="H56" i="4"/>
  <c r="H57" i="4" s="1"/>
  <c r="H58" i="4" s="1"/>
  <c r="H59" i="4" s="1"/>
  <c r="H60" i="4" s="1"/>
  <c r="H17" i="4"/>
  <c r="H18" i="4" s="1"/>
  <c r="H19" i="4" s="1"/>
  <c r="H20" i="4" s="1"/>
  <c r="H21" i="4" s="1"/>
  <c r="I16" i="4"/>
  <c r="I17" i="4" s="1"/>
  <c r="I18" i="4" s="1"/>
  <c r="I19" i="4" s="1"/>
  <c r="I20" i="4" s="1"/>
  <c r="I21" i="4" s="1"/>
  <c r="H43" i="4"/>
  <c r="H44" i="4" s="1"/>
  <c r="H45" i="4" s="1"/>
  <c r="H46" i="4" s="1"/>
  <c r="H47" i="4" s="1"/>
  <c r="I42" i="4"/>
  <c r="I43" i="4" s="1"/>
  <c r="I44" i="4" s="1"/>
  <c r="I45" i="4" s="1"/>
  <c r="I46" i="4" s="1"/>
  <c r="I47" i="4" s="1"/>
  <c r="I31" i="4"/>
  <c r="I32" i="4" s="1"/>
  <c r="I33" i="4" s="1"/>
  <c r="I34" i="4" s="1"/>
  <c r="I35" i="4" s="1"/>
  <c r="I36" i="4" s="1"/>
  <c r="H32" i="4"/>
  <c r="H33" i="4" s="1"/>
  <c r="H34" i="4" s="1"/>
  <c r="H35" i="4" s="1"/>
  <c r="H36" i="4" s="1"/>
  <c r="K57" i="3"/>
  <c r="K60" i="3"/>
  <c r="K58" i="3"/>
  <c r="I55" i="3"/>
  <c r="I56" i="3" s="1"/>
  <c r="I57" i="3" s="1"/>
  <c r="I58" i="3" s="1"/>
  <c r="I59" i="3" s="1"/>
  <c r="I60" i="3" s="1"/>
  <c r="H56" i="3"/>
  <c r="H57" i="3" s="1"/>
  <c r="H58" i="3" s="1"/>
  <c r="H59" i="3" s="1"/>
  <c r="H60" i="3" s="1"/>
  <c r="K47" i="3"/>
  <c r="K45" i="3"/>
  <c r="I42" i="3"/>
  <c r="I43" i="3" s="1"/>
  <c r="I44" i="3" s="1"/>
  <c r="I45" i="3" s="1"/>
  <c r="I46" i="3" s="1"/>
  <c r="I47" i="3" s="1"/>
  <c r="H43" i="3"/>
  <c r="H44" i="3" s="1"/>
  <c r="H45" i="3" s="1"/>
  <c r="H46" i="3" s="1"/>
  <c r="H47" i="3" s="1"/>
  <c r="K46" i="3"/>
  <c r="K44" i="3"/>
  <c r="B17" i="3"/>
  <c r="C17" i="3"/>
  <c r="K33" i="4" l="1"/>
  <c r="K59" i="4"/>
  <c r="K46" i="4"/>
  <c r="K57" i="4"/>
  <c r="K44" i="4"/>
  <c r="K34" i="4"/>
  <c r="K35" i="4"/>
  <c r="K20" i="4"/>
  <c r="K18" i="4"/>
  <c r="C32" i="3"/>
  <c r="C33" i="3" s="1"/>
  <c r="C34" i="3" s="1"/>
  <c r="C35" i="3" s="1"/>
  <c r="C36" i="3" s="1"/>
  <c r="B32" i="3"/>
  <c r="B33" i="3" s="1"/>
  <c r="B34" i="3" s="1"/>
  <c r="B35" i="3" s="1"/>
  <c r="B36" i="3" s="1"/>
  <c r="C18" i="3" l="1"/>
  <c r="C19" i="3" s="1"/>
  <c r="B18" i="3"/>
  <c r="N2" i="3" a="1"/>
  <c r="N2" i="3" s="1"/>
  <c r="L2" i="3" a="1"/>
  <c r="L2" i="3" s="1"/>
  <c r="U2" i="3" a="1"/>
  <c r="U2" i="3" s="1"/>
  <c r="S2" i="3" a="1"/>
  <c r="S4" i="3" s="1"/>
  <c r="Q2" i="3" a="1"/>
  <c r="Q4" i="3" s="1"/>
  <c r="O2" i="3" a="1"/>
  <c r="O4" i="3" s="1"/>
  <c r="M2" i="3" a="1"/>
  <c r="M4" i="3" s="1"/>
  <c r="K2" i="3" a="1"/>
  <c r="K2" i="3" s="1"/>
  <c r="B19" i="3" l="1"/>
  <c r="B20" i="3" s="1"/>
  <c r="B21" i="3" s="1"/>
  <c r="P2" i="3" a="1"/>
  <c r="P2" i="3" s="1"/>
  <c r="R2" i="3" a="1"/>
  <c r="R2" i="3" s="1"/>
  <c r="U3" i="3"/>
  <c r="C20" i="3"/>
  <c r="C21" i="3" s="1"/>
  <c r="U4" i="3"/>
  <c r="N4" i="3"/>
  <c r="N3" i="3"/>
  <c r="L4" i="3"/>
  <c r="L3" i="3"/>
  <c r="S2" i="3"/>
  <c r="S3" i="3"/>
  <c r="Q2" i="3"/>
  <c r="Q3" i="3"/>
  <c r="O2" i="3"/>
  <c r="O3" i="3"/>
  <c r="M3" i="3"/>
  <c r="M2" i="3"/>
  <c r="K4" i="3"/>
  <c r="K3" i="3"/>
  <c r="R4" i="3" l="1"/>
  <c r="P3" i="3"/>
  <c r="P4" i="3"/>
  <c r="R3" i="3"/>
  <c r="T2" i="3" a="1"/>
  <c r="T2" i="3" l="1"/>
  <c r="T4" i="3"/>
  <c r="T3" i="3"/>
  <c r="A9" i="3" l="1"/>
  <c r="A8" i="3"/>
  <c r="A7" i="3"/>
  <c r="A6" i="3"/>
  <c r="A9" i="2" l="1"/>
  <c r="A8" i="2"/>
  <c r="A7" i="2"/>
  <c r="A6" i="2"/>
  <c r="F36" i="3"/>
  <c r="E17" i="3"/>
  <c r="E33" i="3"/>
  <c r="F19" i="3"/>
  <c r="E19" i="3"/>
  <c r="F18" i="3"/>
  <c r="E18" i="3"/>
  <c r="E20" i="3"/>
  <c r="F20" i="3"/>
  <c r="F17" i="3"/>
  <c r="E34" i="3"/>
  <c r="E32" i="3"/>
  <c r="F31" i="3"/>
  <c r="F34" i="3"/>
  <c r="F33" i="3"/>
  <c r="F35" i="3"/>
  <c r="J34" i="3" l="1"/>
  <c r="J20" i="3"/>
  <c r="J18" i="3"/>
  <c r="J17" i="3"/>
  <c r="J19" i="3"/>
  <c r="J32" i="3"/>
  <c r="J35" i="3"/>
  <c r="J33" i="3"/>
  <c r="G16" i="3"/>
  <c r="V2" i="3" a="1"/>
  <c r="G31" i="3"/>
  <c r="H31" i="3" s="1"/>
  <c r="H32" i="3" s="1"/>
  <c r="G35" i="3"/>
  <c r="G32" i="3"/>
  <c r="G33" i="3"/>
  <c r="G34" i="3"/>
  <c r="G20" i="3"/>
  <c r="G17" i="3"/>
  <c r="G18" i="3"/>
  <c r="G19" i="3"/>
  <c r="H11" i="2"/>
  <c r="K35" i="3" l="1"/>
  <c r="K18" i="3"/>
  <c r="K34" i="3"/>
  <c r="K19" i="3"/>
  <c r="K33" i="3"/>
  <c r="K20" i="3"/>
  <c r="H16" i="3"/>
  <c r="V4" i="3"/>
  <c r="V3" i="3"/>
  <c r="V2" i="3"/>
  <c r="H33" i="3"/>
  <c r="H34" i="3" s="1"/>
  <c r="H35" i="3" s="1"/>
  <c r="H36" i="3" s="1"/>
  <c r="I31" i="3"/>
  <c r="I32" i="3" s="1"/>
  <c r="E36" i="3"/>
  <c r="E21" i="3"/>
  <c r="J36" i="3" l="1"/>
  <c r="K36" i="3" s="1"/>
  <c r="J21" i="3"/>
  <c r="K21" i="3" s="1"/>
  <c r="I16" i="3"/>
  <c r="I17" i="3" s="1"/>
  <c r="I18" i="3" s="1"/>
  <c r="I19" i="3" s="1"/>
  <c r="I20" i="3" s="1"/>
  <c r="I21" i="3" s="1"/>
  <c r="H17" i="3"/>
  <c r="H18" i="3" s="1"/>
  <c r="H19" i="3" s="1"/>
  <c r="H20" i="3" s="1"/>
  <c r="H21" i="3" s="1"/>
  <c r="G36" i="3"/>
  <c r="G21" i="3"/>
  <c r="I33" i="3"/>
  <c r="I34" i="3" s="1"/>
  <c r="I35" i="3" s="1"/>
  <c r="I36" i="3" s="1"/>
</calcChain>
</file>

<file path=xl/sharedStrings.xml><?xml version="1.0" encoding="utf-8"?>
<sst xmlns="http://schemas.openxmlformats.org/spreadsheetml/2006/main" count="379" uniqueCount="86">
  <si>
    <t>DO</t>
  </si>
  <si>
    <t>Product Specs</t>
  </si>
  <si>
    <t>CrvName</t>
  </si>
  <si>
    <t>USD</t>
  </si>
  <si>
    <t>Yield Curve Construction</t>
  </si>
  <si>
    <t>PayoffType</t>
  </si>
  <si>
    <t>InputType</t>
  </si>
  <si>
    <t>Strike</t>
  </si>
  <si>
    <t>TimeToMat</t>
  </si>
  <si>
    <t>Rate</t>
  </si>
  <si>
    <t>TimesToExer</t>
  </si>
  <si>
    <t>Spot</t>
  </si>
  <si>
    <t>DiscountCrv</t>
  </si>
  <si>
    <t>DivYield</t>
  </si>
  <si>
    <t>Volatility</t>
  </si>
  <si>
    <t>PDE Parameters</t>
  </si>
  <si>
    <t>NTimeSteps</t>
  </si>
  <si>
    <t>NSpotNodes</t>
  </si>
  <si>
    <t>NStdDevs</t>
  </si>
  <si>
    <t>Theta</t>
  </si>
  <si>
    <t>BarrierType</t>
  </si>
  <si>
    <t>Barrier Level</t>
  </si>
  <si>
    <t>Frequency</t>
  </si>
  <si>
    <t>UO</t>
  </si>
  <si>
    <t>FOR DO</t>
  </si>
  <si>
    <t>FOR UO</t>
  </si>
  <si>
    <t>Up and Out Call</t>
  </si>
  <si>
    <t>PDE</t>
  </si>
  <si>
    <t>Closed Form</t>
  </si>
  <si>
    <t>Monthly</t>
  </si>
  <si>
    <t>Weekly</t>
  </si>
  <si>
    <t>Daily</t>
  </si>
  <si>
    <t>Up and Out Put</t>
  </si>
  <si>
    <t>Down and Out Call</t>
  </si>
  <si>
    <t>Down and Out Put</t>
  </si>
  <si>
    <t>NOTE: Notice that the PDE knock-out barrier options all have higher prices than the continuously monitored closed form knock-out barrier options. This is because of the continuous monitoring making it more likely for an option to be knocked-out.</t>
  </si>
  <si>
    <t>PART C</t>
  </si>
  <si>
    <t>Crank-Nicholson: Theta = 0.5</t>
  </si>
  <si>
    <t>Fully Implicit: Theta = 1</t>
  </si>
  <si>
    <t>0: Monthly, 1:Weekly, 2: Daily</t>
  </si>
  <si>
    <t>Refinement</t>
  </si>
  <si>
    <t>Barrier Level 110</t>
  </si>
  <si>
    <t>Transpose to calculate</t>
  </si>
  <si>
    <t>Error</t>
  </si>
  <si>
    <t>QuadScaling</t>
  </si>
  <si>
    <t>LinearScaling</t>
  </si>
  <si>
    <t>AligntoBarrier</t>
  </si>
  <si>
    <t>Adusted Barrier Level</t>
  </si>
  <si>
    <t>Note: Adjusted barrier level is adjusted for the B-G-K adjustment formula</t>
  </si>
  <si>
    <t>Exact (using adjusted level)</t>
  </si>
  <si>
    <t>Diff</t>
  </si>
  <si>
    <t>%Change in diff</t>
  </si>
  <si>
    <t>Verdict: exact price is wrong - remove this comment afterwards</t>
  </si>
  <si>
    <t>Initial Time Steps and Spot Nodes</t>
  </si>
  <si>
    <t>Barrier Level 125</t>
  </si>
  <si>
    <t>/green - can edit out</t>
  </si>
  <si>
    <t>PDE Price</t>
  </si>
  <si>
    <t>Exact Priced is obtained using the adjusted formula from Broadie-Glasserman-Kou</t>
  </si>
  <si>
    <t>Convergence is closer to linear, but exhibits many fluctuations.</t>
  </si>
  <si>
    <t>This is because of the explanation found in https://www.researchgate.net/profile/Aldo_Tagliani/publication/241128381_Discrete_Monitored_Barrier_Options_by_Finite_Difference_Schemes/links/0c96051e570b4bc941000000/Discrete-Monitored-Barrier-Options-by-Finite-Difference-Schemes.pdf</t>
  </si>
  <si>
    <t>Barrier Level 150</t>
  </si>
  <si>
    <t>AligntoBarrier is an entry that if 1, will set the grid to the barrier level.</t>
  </si>
  <si>
    <t>Note, we have smoother convergence compared to crank-nicholson</t>
  </si>
  <si>
    <t>Question 1 Fully Implicit</t>
  </si>
  <si>
    <t>Question 1 Crank Nicholson</t>
  </si>
  <si>
    <t>Question 2</t>
  </si>
  <si>
    <t>BGK</t>
  </si>
  <si>
    <t>PDE params</t>
  </si>
  <si>
    <t>Up</t>
  </si>
  <si>
    <t>Down</t>
  </si>
  <si>
    <t>Exact</t>
  </si>
  <si>
    <t>Call Knock-Out Options</t>
  </si>
  <si>
    <t>For UO</t>
  </si>
  <si>
    <t>For DO</t>
  </si>
  <si>
    <t>These are the adjusted barrier levels using Broadie-Glasserman-Kou's formula. For Up barrier options, the adjusted barrier level is higher while for down barrier options the adjusted barrier level is lower.</t>
  </si>
  <si>
    <t>Put Knock-Out Options</t>
  </si>
  <si>
    <t>UI</t>
  </si>
  <si>
    <t>DI</t>
  </si>
  <si>
    <t>Call Knock-In Options</t>
  </si>
  <si>
    <t>Put Knock-In Options</t>
  </si>
  <si>
    <t>DAILY</t>
  </si>
  <si>
    <t>WEEKLY</t>
  </si>
  <si>
    <t>Below, I verify numerically that the PDE prices are very close to the exact prices given by the formula. Furthermore, I have implemneted knock-in options using PDE (not required by the question), and I compare their prices to the exact prices.</t>
  </si>
  <si>
    <t>Additionally, the greater the frequency of monitoring, the lower the price</t>
  </si>
  <si>
    <t>of the options (for both puts and calls).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</si>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</sst>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00000"/>
    <numFmt numFmtId="167" formatCode="0.000000"/>
    <numFmt numFmtId="168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2060"/>
      <name val="Arial"/>
      <family val="2"/>
    </font>
    <font>
      <sz val="10"/>
      <color rgb="FFC00000"/>
      <name val="Arial"/>
      <family val="2"/>
    </font>
    <font>
      <b/>
      <sz val="10"/>
      <color rgb="FF002060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theme="9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4" fillId="0" borderId="0" xfId="0" applyNumberFormat="1" applyFont="1"/>
    <xf numFmtId="4" fontId="4" fillId="0" borderId="0" xfId="0" applyNumberFormat="1" applyFont="1"/>
    <xf numFmtId="10" fontId="4" fillId="0" borderId="0" xfId="0" applyNumberFormat="1" applyFont="1"/>
    <xf numFmtId="164" fontId="4" fillId="0" borderId="0" xfId="0" applyNumberFormat="1" applyFont="1"/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1" fontId="4" fillId="0" borderId="0" xfId="0" applyNumberFormat="1" applyFon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8" fontId="0" fillId="0" borderId="0" xfId="0" applyNumberFormat="1"/>
    <xf numFmtId="1" fontId="0" fillId="0" borderId="0" xfId="0" applyNumberFormat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10" fontId="13" fillId="0" borderId="0" xfId="0" applyNumberFormat="1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0" fontId="13" fillId="0" borderId="0" xfId="0" applyNumberFormat="1" applyFont="1"/>
    <xf numFmtId="0" fontId="0" fillId="0" borderId="0" xfId="0" applyAlignment="1">
      <alignment wrapText="1"/>
    </xf>
    <xf numFmtId="0" fontId="0" fillId="2" borderId="0" xfId="0" applyFont="1" applyFill="1"/>
    <xf numFmtId="168" fontId="0" fillId="2" borderId="0" xfId="0" applyNumberFormat="1" applyFill="1"/>
    <xf numFmtId="11" fontId="9" fillId="0" borderId="0" xfId="0" applyNumberFormat="1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110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Nicholson'!$G$15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Nicholson'!$G$16:$G$21</c:f>
              <c:numCache>
                <c:formatCode>General</c:formatCode>
                <c:ptCount val="6"/>
                <c:pt idx="0">
                  <c:v>1.8268277648413406E-2</c:v>
                </c:pt>
                <c:pt idx="1">
                  <c:v>1.347074421697439E-2</c:v>
                </c:pt>
                <c:pt idx="2">
                  <c:v>8.9943150598204291E-3</c:v>
                </c:pt>
                <c:pt idx="3">
                  <c:v>1.8786970669352476E-3</c:v>
                </c:pt>
                <c:pt idx="4">
                  <c:v>9.0103960734791433E-4</c:v>
                </c:pt>
                <c:pt idx="5">
                  <c:v>4.9848250206382949E-4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58-42E4-8E4B-75FCD2497D7D}"/>
            </c:ext>
          </c:extLst>
        </c:ser>
        <c:ser>
          <c:idx val="1"/>
          <c:order val="1"/>
          <c:tx>
            <c:strRef>
              <c:f>'Question 1 Crank Nicholson'!$H$15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Nicholson'!$H$16:$H$21</c:f>
              <c:numCache>
                <c:formatCode>General</c:formatCode>
                <c:ptCount val="6"/>
                <c:pt idx="0" formatCode="0.000000">
                  <c:v>1.8268277648413406E-2</c:v>
                </c:pt>
                <c:pt idx="1">
                  <c:v>4.5670694121033514E-3</c:v>
                </c:pt>
                <c:pt idx="2">
                  <c:v>1.1417673530258379E-3</c:v>
                </c:pt>
                <c:pt idx="3">
                  <c:v>2.8544183825645946E-4</c:v>
                </c:pt>
                <c:pt idx="4">
                  <c:v>7.1360459564114866E-5</c:v>
                </c:pt>
                <c:pt idx="5">
                  <c:v>1.7840114891028717E-5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58-42E4-8E4B-75FCD2497D7D}"/>
            </c:ext>
          </c:extLst>
        </c:ser>
        <c:ser>
          <c:idx val="2"/>
          <c:order val="2"/>
          <c:tx>
            <c:strRef>
              <c:f>'Question 1 Crank Nicholson'!$I$15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Nicholson'!$I$16:$I$21</c:f>
              <c:numCache>
                <c:formatCode>General</c:formatCode>
                <c:ptCount val="6"/>
                <c:pt idx="0" formatCode="0.000000">
                  <c:v>1.8268277648413406E-2</c:v>
                </c:pt>
                <c:pt idx="1">
                  <c:v>9.1341388242067029E-3</c:v>
                </c:pt>
                <c:pt idx="2">
                  <c:v>4.5670694121033514E-3</c:v>
                </c:pt>
                <c:pt idx="3">
                  <c:v>2.2835347060516757E-3</c:v>
                </c:pt>
                <c:pt idx="4">
                  <c:v>1.1417673530258379E-3</c:v>
                </c:pt>
                <c:pt idx="5">
                  <c:v>5.7088367651291893E-4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58-42E4-8E4B-75FCD2497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125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Nicholson'!$G$15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Nicholson'!$G$31:$G$36</c:f>
              <c:numCache>
                <c:formatCode>General</c:formatCode>
                <c:ptCount val="6"/>
                <c:pt idx="0">
                  <c:v>0.11330337523222034</c:v>
                </c:pt>
                <c:pt idx="1">
                  <c:v>8.4313261764200398E-2</c:v>
                </c:pt>
                <c:pt idx="2">
                  <c:v>5.6663984172114601E-2</c:v>
                </c:pt>
                <c:pt idx="3">
                  <c:v>1.0848346270116771E-2</c:v>
                </c:pt>
                <c:pt idx="4">
                  <c:v>5.0220937655207631E-3</c:v>
                </c:pt>
                <c:pt idx="5">
                  <c:v>2.5157015573800123E-3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48-4184-8F57-6A174A422890}"/>
            </c:ext>
          </c:extLst>
        </c:ser>
        <c:ser>
          <c:idx val="1"/>
          <c:order val="1"/>
          <c:tx>
            <c:strRef>
              <c:f>'Question 1 Crank Nicholson'!$H$15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Nicholson'!$H$31:$H$36</c:f>
              <c:numCache>
                <c:formatCode>General</c:formatCode>
                <c:ptCount val="6"/>
                <c:pt idx="0" formatCode="0.000000">
                  <c:v>0.11330337523222034</c:v>
                </c:pt>
                <c:pt idx="1">
                  <c:v>2.8325843808055085E-2</c:v>
                </c:pt>
                <c:pt idx="2">
                  <c:v>7.0814609520137711E-3</c:v>
                </c:pt>
                <c:pt idx="3">
                  <c:v>1.7703652380034428E-3</c:v>
                </c:pt>
                <c:pt idx="4">
                  <c:v>4.425913095008607E-4</c:v>
                </c:pt>
                <c:pt idx="5">
                  <c:v>1.1064782737521517E-4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48-4184-8F57-6A174A422890}"/>
            </c:ext>
          </c:extLst>
        </c:ser>
        <c:ser>
          <c:idx val="2"/>
          <c:order val="2"/>
          <c:tx>
            <c:strRef>
              <c:f>'Question 1 Crank Nicholson'!$I$15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Nicholson'!$I$31:$I$36</c:f>
              <c:numCache>
                <c:formatCode>General</c:formatCode>
                <c:ptCount val="6"/>
                <c:pt idx="0" formatCode="0.000000">
                  <c:v>0.11330337523222034</c:v>
                </c:pt>
                <c:pt idx="1">
                  <c:v>5.6651687616110169E-2</c:v>
                </c:pt>
                <c:pt idx="2">
                  <c:v>2.8325843808055085E-2</c:v>
                </c:pt>
                <c:pt idx="3">
                  <c:v>1.4162921904027542E-2</c:v>
                </c:pt>
                <c:pt idx="4">
                  <c:v>7.0814609520137711E-3</c:v>
                </c:pt>
                <c:pt idx="5">
                  <c:v>3.5407304760068856E-3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48-4184-8F57-6A174A422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150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Nicholson'!$G$41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Nicholson'!$G$42:$G$47</c:f>
              <c:numCache>
                <c:formatCode>General</c:formatCode>
                <c:ptCount val="6"/>
                <c:pt idx="0">
                  <c:v>0.32337062389330562</c:v>
                </c:pt>
                <c:pt idx="1">
                  <c:v>0.1309953554827894</c:v>
                </c:pt>
                <c:pt idx="2">
                  <c:v>4.824257236989915E-2</c:v>
                </c:pt>
                <c:pt idx="3">
                  <c:v>4.6571692181502478E-2</c:v>
                </c:pt>
                <c:pt idx="4">
                  <c:v>2.3913288678021338E-2</c:v>
                </c:pt>
                <c:pt idx="5">
                  <c:v>1.2009624757809867E-2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7F-4B04-858E-0C0C4A7876EB}"/>
            </c:ext>
          </c:extLst>
        </c:ser>
        <c:ser>
          <c:idx val="1"/>
          <c:order val="1"/>
          <c:tx>
            <c:strRef>
              <c:f>'Question 1 Crank Nicholson'!$H$41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Nicholson'!$H$42:$H$47</c:f>
              <c:numCache>
                <c:formatCode>General</c:formatCode>
                <c:ptCount val="6"/>
                <c:pt idx="0" formatCode="0.000000">
                  <c:v>0.32337062389330562</c:v>
                </c:pt>
                <c:pt idx="1">
                  <c:v>8.0842655973326405E-2</c:v>
                </c:pt>
                <c:pt idx="2">
                  <c:v>2.0210663993331601E-2</c:v>
                </c:pt>
                <c:pt idx="3">
                  <c:v>5.0526659983329003E-3</c:v>
                </c:pt>
                <c:pt idx="4">
                  <c:v>1.2631664995832251E-3</c:v>
                </c:pt>
                <c:pt idx="5">
                  <c:v>3.1579162489580627E-4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7F-4B04-858E-0C0C4A7876EB}"/>
            </c:ext>
          </c:extLst>
        </c:ser>
        <c:ser>
          <c:idx val="2"/>
          <c:order val="2"/>
          <c:tx>
            <c:strRef>
              <c:f>'Question 1 Crank Nicholson'!$I$41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Nicholson'!$I$42:$I$47</c:f>
              <c:numCache>
                <c:formatCode>General</c:formatCode>
                <c:ptCount val="6"/>
                <c:pt idx="0" formatCode="0.000000">
                  <c:v>0.32337062389330562</c:v>
                </c:pt>
                <c:pt idx="1">
                  <c:v>0.16168531194665281</c:v>
                </c:pt>
                <c:pt idx="2">
                  <c:v>8.0842655973326405E-2</c:v>
                </c:pt>
                <c:pt idx="3">
                  <c:v>4.0421327986663202E-2</c:v>
                </c:pt>
                <c:pt idx="4">
                  <c:v>2.0210663993331601E-2</c:v>
                </c:pt>
                <c:pt idx="5">
                  <c:v>1.0105331996665801E-2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7F-4B04-858E-0C0C4A787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200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Nicholson'!$G$41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Nicholson'!$G$55:$G$60</c:f>
              <c:numCache>
                <c:formatCode>General</c:formatCode>
                <c:ptCount val="6"/>
                <c:pt idx="0">
                  <c:v>5.5305661421751751E-2</c:v>
                </c:pt>
                <c:pt idx="1">
                  <c:v>2.2142884842894617E-2</c:v>
                </c:pt>
                <c:pt idx="2">
                  <c:v>7.9400328275074372E-3</c:v>
                </c:pt>
                <c:pt idx="3">
                  <c:v>7.6275377771839459E-3</c:v>
                </c:pt>
                <c:pt idx="4">
                  <c:v>3.9364415742362269E-3</c:v>
                </c:pt>
                <c:pt idx="5">
                  <c:v>1.9797115588335856E-3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2B-42FF-8FEB-A2A9B063E79B}"/>
            </c:ext>
          </c:extLst>
        </c:ser>
        <c:ser>
          <c:idx val="1"/>
          <c:order val="1"/>
          <c:tx>
            <c:strRef>
              <c:f>'Question 1 Crank Nicholson'!$H$41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Nicholson'!$H$55:$H$60</c:f>
              <c:numCache>
                <c:formatCode>General</c:formatCode>
                <c:ptCount val="6"/>
                <c:pt idx="0" formatCode="0.000000">
                  <c:v>5.5305661421751751E-2</c:v>
                </c:pt>
                <c:pt idx="1">
                  <c:v>1.3826415355437938E-2</c:v>
                </c:pt>
                <c:pt idx="2">
                  <c:v>3.4566038388594844E-3</c:v>
                </c:pt>
                <c:pt idx="3">
                  <c:v>8.641509597148711E-4</c:v>
                </c:pt>
                <c:pt idx="4">
                  <c:v>2.1603773992871778E-4</c:v>
                </c:pt>
                <c:pt idx="5">
                  <c:v>5.4009434982179444E-5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2B-42FF-8FEB-A2A9B063E79B}"/>
            </c:ext>
          </c:extLst>
        </c:ser>
        <c:ser>
          <c:idx val="2"/>
          <c:order val="2"/>
          <c:tx>
            <c:strRef>
              <c:f>'Question 1 Crank Nicholson'!$I$41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Nicholson'!$I$55:$I$60</c:f>
              <c:numCache>
                <c:formatCode>General</c:formatCode>
                <c:ptCount val="6"/>
                <c:pt idx="0" formatCode="0.000000">
                  <c:v>5.5305661421751751E-2</c:v>
                </c:pt>
                <c:pt idx="1">
                  <c:v>2.7652830710875875E-2</c:v>
                </c:pt>
                <c:pt idx="2">
                  <c:v>1.3826415355437938E-2</c:v>
                </c:pt>
                <c:pt idx="3">
                  <c:v>6.9132076777189688E-3</c:v>
                </c:pt>
                <c:pt idx="4">
                  <c:v>3.4566038388594844E-3</c:v>
                </c:pt>
                <c:pt idx="5">
                  <c:v>1.7283019194297422E-3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2B-42FF-8FEB-A2A9B063E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110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Fully Implicit'!$G$15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Fully Implicit'!$A$16:$A$21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Implicit'!$G$16:$G$21</c:f>
              <c:numCache>
                <c:formatCode>General</c:formatCode>
                <c:ptCount val="6"/>
                <c:pt idx="0">
                  <c:v>1.4204202682631284E-2</c:v>
                </c:pt>
                <c:pt idx="1">
                  <c:v>7.5114931246471894E-3</c:v>
                </c:pt>
                <c:pt idx="2">
                  <c:v>2.6853864452546922E-3</c:v>
                </c:pt>
                <c:pt idx="3">
                  <c:v>1.5083473720732821E-3</c:v>
                </c:pt>
                <c:pt idx="4">
                  <c:v>7.720247275988662E-4</c:v>
                </c:pt>
                <c:pt idx="5">
                  <c:v>3.6415336417958133E-4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1E-4956-A9A1-78F03715C90B}"/>
            </c:ext>
          </c:extLst>
        </c:ser>
        <c:ser>
          <c:idx val="1"/>
          <c:order val="1"/>
          <c:tx>
            <c:strRef>
              <c:f>'Question 1 Fully Implicit'!$H$15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Fully Implicit'!$A$16:$A$21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Implicit'!$H$16:$H$21</c:f>
              <c:numCache>
                <c:formatCode>General</c:formatCode>
                <c:ptCount val="6"/>
                <c:pt idx="0" formatCode="0.000000">
                  <c:v>1.4204202682631284E-2</c:v>
                </c:pt>
                <c:pt idx="1">
                  <c:v>3.551050670657821E-3</c:v>
                </c:pt>
                <c:pt idx="2">
                  <c:v>8.8776266766445525E-4</c:v>
                </c:pt>
                <c:pt idx="3">
                  <c:v>2.2194066691611381E-4</c:v>
                </c:pt>
                <c:pt idx="4">
                  <c:v>5.5485166729028453E-5</c:v>
                </c:pt>
                <c:pt idx="5">
                  <c:v>1.3871291682257113E-5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1E-4956-A9A1-78F03715C90B}"/>
            </c:ext>
          </c:extLst>
        </c:ser>
        <c:ser>
          <c:idx val="2"/>
          <c:order val="2"/>
          <c:tx>
            <c:strRef>
              <c:f>'Question 1 Fully Implicit'!$I$15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Fully Implicit'!$A$16:$A$21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Implicit'!$I$16:$I$21</c:f>
              <c:numCache>
                <c:formatCode>General</c:formatCode>
                <c:ptCount val="6"/>
                <c:pt idx="0" formatCode="0.000000">
                  <c:v>1.4204202682631284E-2</c:v>
                </c:pt>
                <c:pt idx="1">
                  <c:v>7.102101341315642E-3</c:v>
                </c:pt>
                <c:pt idx="2">
                  <c:v>3.551050670657821E-3</c:v>
                </c:pt>
                <c:pt idx="3">
                  <c:v>1.7755253353289105E-3</c:v>
                </c:pt>
                <c:pt idx="4">
                  <c:v>8.8776266766445525E-4</c:v>
                </c:pt>
                <c:pt idx="5">
                  <c:v>4.4388133383222762E-4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1E-4956-A9A1-78F03715C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125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Fully Implicit'!$G$15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Fully Implicit'!$A$31:$A$36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Implicit'!$G$31:$G$36</c:f>
              <c:numCache>
                <c:formatCode>General</c:formatCode>
                <c:ptCount val="6"/>
                <c:pt idx="0">
                  <c:v>8.2749850770607924E-2</c:v>
                </c:pt>
                <c:pt idx="1">
                  <c:v>4.2422857333549668E-2</c:v>
                </c:pt>
                <c:pt idx="2">
                  <c:v>1.2020055108528549E-2</c:v>
                </c:pt>
                <c:pt idx="3">
                  <c:v>7.0458724723816424E-3</c:v>
                </c:pt>
                <c:pt idx="4">
                  <c:v>3.482867845983284E-3</c:v>
                </c:pt>
                <c:pt idx="5">
                  <c:v>1.5155492735958731E-3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0-46BC-B010-A13C0A559FC2}"/>
            </c:ext>
          </c:extLst>
        </c:ser>
        <c:ser>
          <c:idx val="1"/>
          <c:order val="1"/>
          <c:tx>
            <c:strRef>
              <c:f>'Question 1 Fully Implicit'!$H$15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Fully Implicit'!$A$31:$A$36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Implicit'!$H$31:$H$36</c:f>
              <c:numCache>
                <c:formatCode>General</c:formatCode>
                <c:ptCount val="6"/>
                <c:pt idx="0" formatCode="0.000000">
                  <c:v>8.2749850770607924E-2</c:v>
                </c:pt>
                <c:pt idx="1">
                  <c:v>2.0687462692651981E-2</c:v>
                </c:pt>
                <c:pt idx="2">
                  <c:v>5.1718656731629953E-3</c:v>
                </c:pt>
                <c:pt idx="3">
                  <c:v>1.2929664182907488E-3</c:v>
                </c:pt>
                <c:pt idx="4">
                  <c:v>3.2324160457268721E-4</c:v>
                </c:pt>
                <c:pt idx="5">
                  <c:v>8.0810401143171801E-5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0-46BC-B010-A13C0A559FC2}"/>
            </c:ext>
          </c:extLst>
        </c:ser>
        <c:ser>
          <c:idx val="2"/>
          <c:order val="2"/>
          <c:tx>
            <c:strRef>
              <c:f>'Question 1 Fully Implicit'!$I$15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Fully Implicit'!$A$31:$A$36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Implicit'!$I$31:$I$36</c:f>
              <c:numCache>
                <c:formatCode>General</c:formatCode>
                <c:ptCount val="6"/>
                <c:pt idx="0" formatCode="0.000000">
                  <c:v>8.2749850770607924E-2</c:v>
                </c:pt>
                <c:pt idx="1">
                  <c:v>4.1374925385303962E-2</c:v>
                </c:pt>
                <c:pt idx="2">
                  <c:v>2.0687462692651981E-2</c:v>
                </c:pt>
                <c:pt idx="3">
                  <c:v>1.0343731346325991E-2</c:v>
                </c:pt>
                <c:pt idx="4">
                  <c:v>5.1718656731629953E-3</c:v>
                </c:pt>
                <c:pt idx="5">
                  <c:v>2.5859328365814976E-3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00-46BC-B010-A13C0A559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150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Fully Implicit'!$G$41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Fully Implicit'!$A$42:$A$47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Implicit'!$G$42:$G$47</c:f>
              <c:numCache>
                <c:formatCode>General</c:formatCode>
                <c:ptCount val="6"/>
                <c:pt idx="0">
                  <c:v>0.35462787131369833</c:v>
                </c:pt>
                <c:pt idx="1">
                  <c:v>0.17750607144280739</c:v>
                </c:pt>
                <c:pt idx="2">
                  <c:v>9.8325865380287425E-2</c:v>
                </c:pt>
                <c:pt idx="3">
                  <c:v>4.8320995992570559E-2</c:v>
                </c:pt>
                <c:pt idx="4">
                  <c:v>2.4351165444872258E-2</c:v>
                </c:pt>
                <c:pt idx="5">
                  <c:v>1.2525651098921564E-2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07-477C-B78B-DC809689B085}"/>
            </c:ext>
          </c:extLst>
        </c:ser>
        <c:ser>
          <c:idx val="1"/>
          <c:order val="1"/>
          <c:tx>
            <c:strRef>
              <c:f>'Question 1 Fully Implicit'!$H$41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Fully Implicit'!$A$42:$A$47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Implicit'!$H$42:$H$47</c:f>
              <c:numCache>
                <c:formatCode>General</c:formatCode>
                <c:ptCount val="6"/>
                <c:pt idx="0" formatCode="0.000000">
                  <c:v>0.35462787131369833</c:v>
                </c:pt>
                <c:pt idx="1">
                  <c:v>8.8656967828424582E-2</c:v>
                </c:pt>
                <c:pt idx="2">
                  <c:v>2.2164241957106146E-2</c:v>
                </c:pt>
                <c:pt idx="3">
                  <c:v>5.5410604892765364E-3</c:v>
                </c:pt>
                <c:pt idx="4">
                  <c:v>1.3852651223191341E-3</c:v>
                </c:pt>
                <c:pt idx="5">
                  <c:v>3.4631628057978352E-4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07-477C-B78B-DC809689B085}"/>
            </c:ext>
          </c:extLst>
        </c:ser>
        <c:ser>
          <c:idx val="2"/>
          <c:order val="2"/>
          <c:tx>
            <c:strRef>
              <c:f>'Question 1 Fully Implicit'!$I$41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Fully Implicit'!$A$42:$A$47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Implicit'!$I$42:$I$47</c:f>
              <c:numCache>
                <c:formatCode>General</c:formatCode>
                <c:ptCount val="6"/>
                <c:pt idx="0" formatCode="0.000000">
                  <c:v>0.35462787131369833</c:v>
                </c:pt>
                <c:pt idx="1">
                  <c:v>0.17731393565684916</c:v>
                </c:pt>
                <c:pt idx="2">
                  <c:v>8.8656967828424582E-2</c:v>
                </c:pt>
                <c:pt idx="3">
                  <c:v>4.4328483914212291E-2</c:v>
                </c:pt>
                <c:pt idx="4">
                  <c:v>2.2164241957106146E-2</c:v>
                </c:pt>
                <c:pt idx="5">
                  <c:v>1.1082120978553073E-2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07-477C-B78B-DC809689B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200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Fully Implicit'!$G$41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Fully Implicit'!$A$55:$A$60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Implicit'!$G$55:$G$60</c:f>
              <c:numCache>
                <c:formatCode>General</c:formatCode>
                <c:ptCount val="6"/>
                <c:pt idx="0">
                  <c:v>5.2087782024269558E-2</c:v>
                </c:pt>
                <c:pt idx="1">
                  <c:v>2.1268974713105848E-2</c:v>
                </c:pt>
                <c:pt idx="2">
                  <c:v>7.470388623774582E-3</c:v>
                </c:pt>
                <c:pt idx="3">
                  <c:v>3.7705071261111556E-3</c:v>
                </c:pt>
                <c:pt idx="4">
                  <c:v>1.9312407796618913E-3</c:v>
                </c:pt>
                <c:pt idx="5">
                  <c:v>1.0462185311492789E-3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36-4BFC-AA93-729DF00430A4}"/>
            </c:ext>
          </c:extLst>
        </c:ser>
        <c:ser>
          <c:idx val="1"/>
          <c:order val="1"/>
          <c:tx>
            <c:strRef>
              <c:f>'Question 1 Fully Implicit'!$H$41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Fully Implicit'!$A$55:$A$60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Implicit'!$H$55:$H$60</c:f>
              <c:numCache>
                <c:formatCode>General</c:formatCode>
                <c:ptCount val="6"/>
                <c:pt idx="0" formatCode="0.000000">
                  <c:v>5.2087782024269558E-2</c:v>
                </c:pt>
                <c:pt idx="1">
                  <c:v>1.3021945506067389E-2</c:v>
                </c:pt>
                <c:pt idx="2">
                  <c:v>3.2554863765168474E-3</c:v>
                </c:pt>
                <c:pt idx="3">
                  <c:v>8.1387159412921184E-4</c:v>
                </c:pt>
                <c:pt idx="4">
                  <c:v>2.0346789853230296E-4</c:v>
                </c:pt>
                <c:pt idx="5">
                  <c:v>5.086697463307574E-5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36-4BFC-AA93-729DF00430A4}"/>
            </c:ext>
          </c:extLst>
        </c:ser>
        <c:ser>
          <c:idx val="2"/>
          <c:order val="2"/>
          <c:tx>
            <c:strRef>
              <c:f>'Question 1 Fully Implicit'!$I$41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Fully Implicit'!$A$55:$A$60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Fully Implicit'!$I$55:$I$60</c:f>
              <c:numCache>
                <c:formatCode>General</c:formatCode>
                <c:ptCount val="6"/>
                <c:pt idx="0" formatCode="0.000000">
                  <c:v>5.2087782024269558E-2</c:v>
                </c:pt>
                <c:pt idx="1">
                  <c:v>2.6043891012134779E-2</c:v>
                </c:pt>
                <c:pt idx="2">
                  <c:v>1.3021945506067389E-2</c:v>
                </c:pt>
                <c:pt idx="3">
                  <c:v>6.5109727530336947E-3</c:v>
                </c:pt>
                <c:pt idx="4">
                  <c:v>3.2554863765168474E-3</c:v>
                </c:pt>
                <c:pt idx="5">
                  <c:v>1.6277431882584237E-3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36-4BFC-AA93-729DF0043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61912</xdr:colOff>
      <xdr:row>14</xdr:row>
      <xdr:rowOff>309561</xdr:rowOff>
    </xdr:from>
    <xdr:to>
      <xdr:col>20</xdr:col>
      <xdr:colOff>619125</xdr:colOff>
      <xdr:row>27</xdr:row>
      <xdr:rowOff>65721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52251-B0E8-400A-B54E-4F917708C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52388</xdr:colOff>
      <xdr:row>27</xdr:row>
      <xdr:rowOff>61912</xdr:rowOff>
    </xdr:from>
    <xdr:to>
      <xdr:col>20</xdr:col>
      <xdr:colOff>609601</xdr:colOff>
      <xdr:row>40</xdr:row>
      <xdr:rowOff>180022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239977-3A34-4899-BB9C-66F3A08D7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</xdr:colOff>
      <xdr:row>40</xdr:row>
      <xdr:rowOff>204788</xdr:rowOff>
    </xdr:from>
    <xdr:to>
      <xdr:col>20</xdr:col>
      <xdr:colOff>614363</xdr:colOff>
      <xdr:row>53</xdr:row>
      <xdr:rowOff>322898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410888-4E8E-491B-9CA4-9C81DD5BD8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61913</xdr:colOff>
      <xdr:row>53</xdr:row>
      <xdr:rowOff>338137</xdr:rowOff>
    </xdr:from>
    <xdr:to>
      <xdr:col>20</xdr:col>
      <xdr:colOff>619126</xdr:colOff>
      <xdr:row>68</xdr:row>
      <xdr:rowOff>94297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D0D0B6-DE1B-42CD-AEE9-E1F583FD3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61912</xdr:colOff>
      <xdr:row>14</xdr:row>
      <xdr:rowOff>309561</xdr:rowOff>
    </xdr:from>
    <xdr:to>
      <xdr:col>20</xdr:col>
      <xdr:colOff>619125</xdr:colOff>
      <xdr:row>27</xdr:row>
      <xdr:rowOff>65721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ADF99-139A-4280-A074-F45D99D87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52388</xdr:colOff>
      <xdr:row>27</xdr:row>
      <xdr:rowOff>61912</xdr:rowOff>
    </xdr:from>
    <xdr:to>
      <xdr:col>20</xdr:col>
      <xdr:colOff>609601</xdr:colOff>
      <xdr:row>40</xdr:row>
      <xdr:rowOff>180022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8196B-49E8-4573-8F53-24FB131D4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</xdr:colOff>
      <xdr:row>40</xdr:row>
      <xdr:rowOff>204788</xdr:rowOff>
    </xdr:from>
    <xdr:to>
      <xdr:col>20</xdr:col>
      <xdr:colOff>614363</xdr:colOff>
      <xdr:row>53</xdr:row>
      <xdr:rowOff>322898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79C4BF-A605-413E-A070-27C50B749F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61913</xdr:colOff>
      <xdr:row>53</xdr:row>
      <xdr:rowOff>338137</xdr:rowOff>
    </xdr:from>
    <xdr:to>
      <xdr:col>20</xdr:col>
      <xdr:colOff>619126</xdr:colOff>
      <xdr:row>68</xdr:row>
      <xdr:rowOff>94297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30A93F-6EB3-4989-9A73-104B647A9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EA1-64BA-46DB-8EAC-AC0803F893F9}">
  <dimension ref="A1:L35"/>
  <sheetViews>
    <sheetView tabSelected="1" workbookViewId="0">
      <selection activeCell="B17" sqref="B17"/>
    </sheetView>
  </sheetViews>
  <sheetFormatPr defaultRowHeight="14.25" x14ac:dyDescent="0.45"/>
  <cols>
    <col min="1" max="1" width="10.6640625" customWidth="1"/>
    <col min="2" max="2" width="22.1328125" customWidth="1"/>
    <col min="3" max="3" width="19" customWidth="1"/>
    <col min="4" max="4" width="20.19921875" customWidth="1"/>
    <col min="7" max="7" width="15.19921875" customWidth="1"/>
  </cols>
  <sheetData>
    <row r="1" spans="1:12" ht="15.75" x14ac:dyDescent="0.5">
      <c r="A1" s="1" t="s">
        <v>36</v>
      </c>
    </row>
    <row r="2" spans="1:12" x14ac:dyDescent="0.45">
      <c r="G2" s="2" t="s">
        <v>1</v>
      </c>
    </row>
    <row r="3" spans="1:12" x14ac:dyDescent="0.45">
      <c r="A3" t="s">
        <v>2</v>
      </c>
      <c r="B3" s="3" t="s">
        <v>3</v>
      </c>
      <c r="D3" t="s">
        <v>4</v>
      </c>
      <c r="G3" t="s">
        <v>5</v>
      </c>
      <c r="H3" s="3">
        <v>1</v>
      </c>
      <c r="I3">
        <v>-1</v>
      </c>
    </row>
    <row r="4" spans="1:12" x14ac:dyDescent="0.45">
      <c r="A4" t="s">
        <v>6</v>
      </c>
      <c r="B4" s="10">
        <v>0</v>
      </c>
      <c r="D4" s="4" t="str">
        <f>_xll.ORF.YCCREATE($B$3, A6:A14, B6:B14,$B$4)</f>
        <v>USD¤1</v>
      </c>
      <c r="G4" t="s">
        <v>20</v>
      </c>
      <c r="H4" t="s">
        <v>23</v>
      </c>
      <c r="I4" t="s">
        <v>0</v>
      </c>
    </row>
    <row r="5" spans="1:12" x14ac:dyDescent="0.45">
      <c r="A5" t="s">
        <v>8</v>
      </c>
      <c r="B5" s="9" t="s">
        <v>9</v>
      </c>
      <c r="G5" t="s">
        <v>11</v>
      </c>
      <c r="H5" s="5">
        <v>100</v>
      </c>
    </row>
    <row r="6" spans="1:12" x14ac:dyDescent="0.45">
      <c r="A6" s="6">
        <f>1/12</f>
        <v>8.3333333333333329E-2</v>
      </c>
      <c r="B6" s="7">
        <v>0.05</v>
      </c>
      <c r="G6" t="s">
        <v>7</v>
      </c>
      <c r="H6" s="5">
        <v>100</v>
      </c>
    </row>
    <row r="7" spans="1:12" x14ac:dyDescent="0.45">
      <c r="A7" s="3">
        <f>1/4</f>
        <v>0.25</v>
      </c>
      <c r="B7" s="7">
        <v>0.05</v>
      </c>
      <c r="H7" t="s">
        <v>25</v>
      </c>
      <c r="I7" t="s">
        <v>24</v>
      </c>
    </row>
    <row r="8" spans="1:12" x14ac:dyDescent="0.45">
      <c r="A8" s="3">
        <f>1/2</f>
        <v>0.5</v>
      </c>
      <c r="B8" s="7">
        <v>0.05</v>
      </c>
      <c r="D8" s="11"/>
      <c r="E8" s="11"/>
      <c r="G8" t="s">
        <v>21</v>
      </c>
      <c r="H8">
        <v>108</v>
      </c>
      <c r="I8">
        <v>92</v>
      </c>
    </row>
    <row r="9" spans="1:12" x14ac:dyDescent="0.45">
      <c r="A9" s="3">
        <f>3/4</f>
        <v>0.75</v>
      </c>
      <c r="B9" s="7">
        <v>0.05</v>
      </c>
      <c r="D9" s="11"/>
      <c r="E9" s="11"/>
      <c r="G9" t="s">
        <v>10</v>
      </c>
      <c r="H9" s="5">
        <v>1</v>
      </c>
    </row>
    <row r="10" spans="1:12" x14ac:dyDescent="0.45">
      <c r="A10" s="3">
        <v>1</v>
      </c>
      <c r="B10" s="7">
        <v>0.05</v>
      </c>
      <c r="D10" s="11"/>
      <c r="E10" s="11"/>
      <c r="G10" t="s">
        <v>22</v>
      </c>
      <c r="H10" s="12">
        <v>0</v>
      </c>
      <c r="I10">
        <v>1</v>
      </c>
      <c r="J10">
        <v>2</v>
      </c>
      <c r="L10" t="s">
        <v>39</v>
      </c>
    </row>
    <row r="11" spans="1:12" x14ac:dyDescent="0.45">
      <c r="A11" s="3">
        <v>2</v>
      </c>
      <c r="B11" s="7">
        <v>0.05</v>
      </c>
      <c r="G11" t="s">
        <v>12</v>
      </c>
      <c r="H11" s="5" t="str">
        <f>D4</f>
        <v>USD¤1</v>
      </c>
    </row>
    <row r="12" spans="1:12" x14ac:dyDescent="0.45">
      <c r="A12" s="3">
        <v>3</v>
      </c>
      <c r="B12" s="7">
        <v>0.05</v>
      </c>
      <c r="G12" t="s">
        <v>13</v>
      </c>
      <c r="H12" s="7">
        <v>0.02</v>
      </c>
    </row>
    <row r="13" spans="1:12" x14ac:dyDescent="0.45">
      <c r="A13" s="3">
        <v>4</v>
      </c>
      <c r="B13" s="7">
        <v>0.05</v>
      </c>
      <c r="G13" t="s">
        <v>14</v>
      </c>
      <c r="H13" s="7">
        <v>0.3</v>
      </c>
    </row>
    <row r="14" spans="1:12" x14ac:dyDescent="0.45">
      <c r="A14" s="3">
        <v>5</v>
      </c>
      <c r="B14" s="7">
        <v>0.05</v>
      </c>
    </row>
    <row r="15" spans="1:12" x14ac:dyDescent="0.45">
      <c r="G15" s="2" t="s">
        <v>15</v>
      </c>
    </row>
    <row r="16" spans="1:12" x14ac:dyDescent="0.45">
      <c r="G16" s="3" t="s">
        <v>16</v>
      </c>
      <c r="H16" s="3">
        <v>500</v>
      </c>
    </row>
    <row r="17" spans="1:11" x14ac:dyDescent="0.45">
      <c r="B17" s="14" t="s">
        <v>26</v>
      </c>
      <c r="G17" s="3" t="s">
        <v>17</v>
      </c>
      <c r="H17" s="3">
        <v>500</v>
      </c>
    </row>
    <row r="18" spans="1:11" x14ac:dyDescent="0.45">
      <c r="A18" s="14" t="s">
        <v>28</v>
      </c>
      <c r="B18" s="13">
        <f t="array" ref="B18">_xll.ORF.BARRBS($H$3,$H$4,$H$5,$H$6,$H$8, $H$9,$B$6,$H$12,$H$13)</f>
        <v>1.5937026375580032E-2</v>
      </c>
      <c r="C18" s="13"/>
      <c r="D18" s="13"/>
      <c r="G18" s="3" t="s">
        <v>18</v>
      </c>
      <c r="H18" s="8">
        <v>4</v>
      </c>
    </row>
    <row r="19" spans="1:11" x14ac:dyDescent="0.45">
      <c r="B19" s="14" t="s">
        <v>29</v>
      </c>
      <c r="C19" s="14" t="s">
        <v>30</v>
      </c>
      <c r="D19" s="14" t="s">
        <v>31</v>
      </c>
      <c r="G19" s="3" t="s">
        <v>19</v>
      </c>
      <c r="H19" s="8">
        <v>0.5</v>
      </c>
    </row>
    <row r="20" spans="1:11" x14ac:dyDescent="0.45">
      <c r="A20" s="14" t="s">
        <v>27</v>
      </c>
      <c r="B20" s="15">
        <f t="array" ref="B20">_xll.ORF.BARRBSPDE($H$3,$H$6,$H$9,$H$5,$H$8,$H$10,$H$4,$H$11,$H$12,$H$13,$G$16:$H$19, 1)</f>
        <v>8.5056990938410307E-2</v>
      </c>
      <c r="C20" s="15">
        <f t="array" ref="C20">_xll.ORF.BARRBSPDE($H$3,$H$6,$H$9,$H$5,$H$8,$I$10,$H$4,$H$11,$H$12,$H$13,$G$16:$H$19, 1)</f>
        <v>4.0428460981612166E-2</v>
      </c>
      <c r="D20" s="15">
        <f t="array" ref="D20">_xll.ORF.BARRBSPDE($H$3,$H$6,$H$9,$H$5,$H$8,$J$10,$H$4,$H$11,$H$12,$H$13,$G$16:$H$19, 1)</f>
        <v>2.1441572525503196E-2</v>
      </c>
    </row>
    <row r="22" spans="1:11" x14ac:dyDescent="0.45">
      <c r="B22" s="14" t="s">
        <v>33</v>
      </c>
    </row>
    <row r="23" spans="1:11" x14ac:dyDescent="0.45">
      <c r="A23" s="14" t="s">
        <v>28</v>
      </c>
      <c r="B23" s="13">
        <f t="array" ref="B23">_xll.ORF.BARRBS($H$3,$I$4,$H$5,$H$6,$I$8, $H$9,$B$6,$H$12,$H$13)</f>
        <v>7.2501109401868895</v>
      </c>
      <c r="C23" s="13"/>
      <c r="D23" s="13"/>
    </row>
    <row r="24" spans="1:11" ht="14.25" customHeight="1" x14ac:dyDescent="0.45">
      <c r="B24" s="14" t="s">
        <v>29</v>
      </c>
      <c r="C24" s="14" t="s">
        <v>30</v>
      </c>
      <c r="D24" s="14" t="s">
        <v>31</v>
      </c>
      <c r="F24" s="39" t="s">
        <v>35</v>
      </c>
      <c r="G24" s="39"/>
      <c r="H24" s="39"/>
      <c r="I24" s="39"/>
      <c r="J24" s="39"/>
      <c r="K24" s="39"/>
    </row>
    <row r="25" spans="1:11" x14ac:dyDescent="0.45">
      <c r="A25" s="14" t="s">
        <v>27</v>
      </c>
      <c r="B25" s="15">
        <f t="array" ref="B25">_xll.ORF.BARRBSPDE($H$3,$H$6,$H$9,$H$5,$I$8,$H$10,$I$4,$H$11,$H$12,$H$13,$G$16:$H$19, 1)</f>
        <v>9.9376678439428598</v>
      </c>
      <c r="C25" s="15">
        <f t="array" ref="C25">_xll.ORF.BARRBSPDE($H$3,$H$6,$H$9,$H$5,$I$8,$I$10,$I$4,$H$11,$H$12,$H$13,$G$16:$H$19, 1)</f>
        <v>8.7475449957918183</v>
      </c>
      <c r="D25" s="15">
        <f t="array" ref="D25">_xll.ORF.BARRBSPDE($H$3,$H$6,$H$9,$H$5,$I$8,$J$10,$I$4,$H$11,$H$12,$H$13,$G$16:$H$19, 1)</f>
        <v>7.8894420612805511</v>
      </c>
      <c r="F25" s="39"/>
      <c r="G25" s="39"/>
      <c r="H25" s="39"/>
      <c r="I25" s="39"/>
      <c r="J25" s="39"/>
      <c r="K25" s="39"/>
    </row>
    <row r="26" spans="1:11" x14ac:dyDescent="0.45">
      <c r="F26" s="39"/>
      <c r="G26" s="39"/>
      <c r="H26" s="39"/>
      <c r="I26" s="39"/>
      <c r="J26" s="39"/>
      <c r="K26" s="39"/>
    </row>
    <row r="27" spans="1:11" x14ac:dyDescent="0.45">
      <c r="B27" s="14" t="s">
        <v>32</v>
      </c>
      <c r="F27" s="39"/>
      <c r="G27" s="39"/>
      <c r="H27" s="39"/>
      <c r="I27" s="39"/>
      <c r="J27" s="39"/>
      <c r="K27" s="39"/>
    </row>
    <row r="28" spans="1:11" x14ac:dyDescent="0.45">
      <c r="A28" s="14" t="s">
        <v>28</v>
      </c>
      <c r="B28" s="13">
        <f t="array" ref="B28">_xll.ORF.BARRBS($I$3,$H$4,$H$5,$H$6,$H$8, $H$9,$B$6,$H$12,$H$13)</f>
        <v>5.1190387241418307</v>
      </c>
      <c r="C28" s="13"/>
      <c r="D28" s="13"/>
    </row>
    <row r="29" spans="1:11" x14ac:dyDescent="0.45">
      <c r="B29" s="14" t="s">
        <v>29</v>
      </c>
      <c r="C29" s="14" t="s">
        <v>30</v>
      </c>
      <c r="D29" s="14" t="s">
        <v>31</v>
      </c>
      <c r="F29" s="38" t="s">
        <v>83</v>
      </c>
      <c r="G29" s="38"/>
    </row>
    <row r="30" spans="1:11" x14ac:dyDescent="0.45">
      <c r="A30" s="14" t="s">
        <v>27</v>
      </c>
      <c r="B30" s="15">
        <f t="array" ref="B30">_xll.ORF.BARRBSPDE($I$3,$H$6,$H$9,$H$5,$H$8,$H$10,$H$4,$H$11,$H$12,$H$13,$G$16:$H$19, 1)</f>
        <v>7.2193643872539415</v>
      </c>
      <c r="C30" s="15">
        <f t="array" ref="C30">_xll.ORF.BARRBSPDE($I$3,$H$6,$H$9,$H$5,$H$8,$I$10,$H$4,$H$11,$H$12,$H$13,$G$16:$H$19, 1)</f>
        <v>6.1489055467296341</v>
      </c>
      <c r="D30" s="15">
        <f t="array" ref="D30">_xll.ORF.BARRBSPDE($I$3,$H$6,$H$9,$H$5,$H$8,$J$10,$H$4,$H$11,$H$12,$H$13,$G$16:$H$19, 1)</f>
        <v>5.4103999972924468</v>
      </c>
      <c r="F30" t="s">
        <v>84</v>
      </c>
    </row>
    <row r="32" spans="1:11" x14ac:dyDescent="0.45">
      <c r="B32" s="14" t="s">
        <v>34</v>
      </c>
    </row>
    <row r="33" spans="1:4" x14ac:dyDescent="0.45">
      <c r="A33" s="14" t="s">
        <v>28</v>
      </c>
      <c r="B33" s="13">
        <f t="array" ref="B33">_xll.ORF.BARRBS($I$3,$I$4,$H$5,$H$6,$I$8, $H$9,$B$6,$H$12,$H$13)</f>
        <v>2.1221470619973815E-2</v>
      </c>
      <c r="C33" s="13"/>
      <c r="D33" s="13"/>
    </row>
    <row r="34" spans="1:4" x14ac:dyDescent="0.45">
      <c r="B34" s="14" t="s">
        <v>29</v>
      </c>
      <c r="C34" s="14" t="s">
        <v>30</v>
      </c>
      <c r="D34" s="14" t="s">
        <v>31</v>
      </c>
    </row>
    <row r="35" spans="1:4" x14ac:dyDescent="0.45">
      <c r="A35" s="14" t="s">
        <v>27</v>
      </c>
      <c r="B35" s="15">
        <f t="array" ref="B35">_xll.ORF.BARRBSPDE($I$3,$H$6,$H$9,$H$5,$I$8,$H$10,$I$4,$H$11,$H$12,$H$13,$G$16:$H$19, 1)</f>
        <v>0.11935032727140485</v>
      </c>
      <c r="C35" s="15">
        <f t="array" ref="C35">_xll.ORF.BARRBSPDE($I$3,$H$6,$H$9,$H$5,$I$8,$I$10,$I$4,$H$11,$H$12,$H$13,$G$16:$H$19, 1)</f>
        <v>6.0182024745808041E-2</v>
      </c>
      <c r="D35" s="15">
        <f t="array" ref="D35">_xll.ORF.BARRBSPDE($I$3,$H$6,$H$9,$H$5,$I$8,$J$10,$I$4,$H$11,$H$12,$H$13,$G$16:$H$19, 1)</f>
        <v>3.4140838187121908E-2</v>
      </c>
    </row>
  </sheetData>
  <mergeCells count="1">
    <mergeCell ref="F24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3250-6526-47C8-9C8C-3A89F8D0700E}">
  <dimension ref="A1:V62"/>
  <sheetViews>
    <sheetView topLeftCell="I49" workbookViewId="0">
      <selection activeCell="W37" sqref="W37"/>
    </sheetView>
  </sheetViews>
  <sheetFormatPr defaultRowHeight="14.25" x14ac:dyDescent="0.45"/>
  <cols>
    <col min="1" max="1" width="30.33203125" customWidth="1"/>
    <col min="2" max="2" width="13.9296875" customWidth="1"/>
    <col min="3" max="3" width="12.06640625" customWidth="1"/>
    <col min="5" max="5" width="26.86328125" customWidth="1"/>
    <col min="6" max="6" width="15.46484375" customWidth="1"/>
    <col min="7" max="7" width="13.796875" customWidth="1"/>
    <col min="8" max="8" width="20.33203125" customWidth="1"/>
    <col min="9" max="9" width="11.9296875" customWidth="1"/>
    <col min="10" max="10" width="14.33203125" customWidth="1"/>
    <col min="11" max="11" width="11.9296875" customWidth="1"/>
  </cols>
  <sheetData>
    <row r="1" spans="1:22" ht="15.75" x14ac:dyDescent="0.5">
      <c r="A1" s="1" t="s">
        <v>64</v>
      </c>
      <c r="K1" s="14" t="s">
        <v>42</v>
      </c>
    </row>
    <row r="2" spans="1:22" x14ac:dyDescent="0.45">
      <c r="H2" s="2" t="s">
        <v>1</v>
      </c>
      <c r="K2" t="str">
        <f t="array" ref="K2:K4">TRANSPOSE($B$15:$D$15)</f>
        <v>NTimeSteps</v>
      </c>
      <c r="L2">
        <f t="array" ref="L2:L4">TRANSPOSE($B$16:$D$16)</f>
        <v>100</v>
      </c>
      <c r="M2" t="str">
        <f t="array" ref="M2:M4">TRANSPOSE($B$15:$D$15)</f>
        <v>NTimeSteps</v>
      </c>
      <c r="N2">
        <f t="array" ref="N2:N4">TRANSPOSE($B$17:$D$17)</f>
        <v>200</v>
      </c>
      <c r="O2" t="str">
        <f t="array" ref="O2:O4">TRANSPOSE($B$15:$D$15)</f>
        <v>NTimeSteps</v>
      </c>
      <c r="P2">
        <f t="array" ref="P2:P4">TRANSPOSE($B$18:$D$18)</f>
        <v>400</v>
      </c>
      <c r="Q2" t="str">
        <f t="array" ref="Q2:Q4">TRANSPOSE($B$15:$D$15)</f>
        <v>NTimeSteps</v>
      </c>
      <c r="R2">
        <f t="array" ref="R2:R4">TRANSPOSE($B$19:$D$19)</f>
        <v>800</v>
      </c>
      <c r="S2" t="str">
        <f t="array" ref="S2:S4">TRANSPOSE($B$15:$D$15)</f>
        <v>NTimeSteps</v>
      </c>
      <c r="T2">
        <f t="array" ref="T2:T4">TRANSPOSE($B$20:$D$20)</f>
        <v>1600</v>
      </c>
      <c r="U2" t="str">
        <f t="array" ref="U2:U4">TRANSPOSE($B$15:$D$15)</f>
        <v>NTimeSteps</v>
      </c>
      <c r="V2">
        <f t="array" ref="V2:V4">TRANSPOSE($B$21:$D$21)</f>
        <v>3200</v>
      </c>
    </row>
    <row r="3" spans="1:22" x14ac:dyDescent="0.45">
      <c r="A3" t="s">
        <v>2</v>
      </c>
      <c r="B3" s="3" t="s">
        <v>3</v>
      </c>
      <c r="D3" t="s">
        <v>4</v>
      </c>
      <c r="H3" t="s">
        <v>5</v>
      </c>
      <c r="I3" s="3">
        <v>1</v>
      </c>
      <c r="K3" t="str">
        <v>NSpotNodes</v>
      </c>
      <c r="L3">
        <v>100</v>
      </c>
      <c r="M3" t="str">
        <v>NSpotNodes</v>
      </c>
      <c r="N3">
        <v>200</v>
      </c>
      <c r="O3" t="str">
        <v>NSpotNodes</v>
      </c>
      <c r="P3">
        <v>400</v>
      </c>
      <c r="Q3" t="str">
        <v>NSpotNodes</v>
      </c>
      <c r="R3">
        <v>800</v>
      </c>
      <c r="S3" t="str">
        <v>NSpotNodes</v>
      </c>
      <c r="T3">
        <v>1600</v>
      </c>
      <c r="U3" t="str">
        <v>NSpotNodes</v>
      </c>
      <c r="V3">
        <v>3200</v>
      </c>
    </row>
    <row r="4" spans="1:22" x14ac:dyDescent="0.45">
      <c r="A4" t="s">
        <v>6</v>
      </c>
      <c r="B4" s="10">
        <v>0</v>
      </c>
      <c r="D4" s="4" t="str">
        <f>_xll.ORF.YCCREATE($B$3, A6:A11, B6:B11,$B$4)</f>
        <v>USD¤3</v>
      </c>
      <c r="H4" t="s">
        <v>20</v>
      </c>
      <c r="I4" t="s">
        <v>23</v>
      </c>
      <c r="K4" t="str">
        <v>Theta</v>
      </c>
      <c r="L4">
        <v>0.5</v>
      </c>
      <c r="M4" t="str">
        <v>Theta</v>
      </c>
      <c r="N4">
        <v>0.5</v>
      </c>
      <c r="O4" t="str">
        <v>Theta</v>
      </c>
      <c r="P4">
        <v>0.5</v>
      </c>
      <c r="Q4" t="str">
        <v>Theta</v>
      </c>
      <c r="R4">
        <v>0.5</v>
      </c>
      <c r="S4" t="str">
        <v>Theta</v>
      </c>
      <c r="T4">
        <v>0.5</v>
      </c>
      <c r="U4" t="str">
        <v>Theta</v>
      </c>
      <c r="V4">
        <v>0.5</v>
      </c>
    </row>
    <row r="5" spans="1:22" x14ac:dyDescent="0.45">
      <c r="A5" t="s">
        <v>8</v>
      </c>
      <c r="B5" s="9" t="s">
        <v>9</v>
      </c>
      <c r="H5" t="s">
        <v>11</v>
      </c>
      <c r="I5" s="5">
        <v>100</v>
      </c>
    </row>
    <row r="6" spans="1:22" x14ac:dyDescent="0.45">
      <c r="A6" s="6">
        <f>1/12</f>
        <v>8.3333333333333329E-2</v>
      </c>
      <c r="B6" s="7">
        <v>0</v>
      </c>
      <c r="E6" s="22" t="s">
        <v>52</v>
      </c>
      <c r="H6" t="s">
        <v>7</v>
      </c>
      <c r="I6" s="5">
        <v>100</v>
      </c>
      <c r="K6" t="s">
        <v>46</v>
      </c>
      <c r="L6">
        <v>1</v>
      </c>
      <c r="N6" t="s">
        <v>61</v>
      </c>
    </row>
    <row r="7" spans="1:22" x14ac:dyDescent="0.45">
      <c r="A7" s="3">
        <f>1/4</f>
        <v>0.25</v>
      </c>
      <c r="B7" s="7">
        <v>0</v>
      </c>
      <c r="D7" s="41" t="s">
        <v>48</v>
      </c>
      <c r="E7" s="41"/>
      <c r="F7" s="41"/>
      <c r="I7" t="s">
        <v>25</v>
      </c>
    </row>
    <row r="8" spans="1:22" ht="14.25" customHeight="1" x14ac:dyDescent="0.45">
      <c r="A8" s="3">
        <f>1/2</f>
        <v>0.5</v>
      </c>
      <c r="B8" s="7">
        <v>0</v>
      </c>
      <c r="D8" s="41"/>
      <c r="E8" s="41"/>
      <c r="F8" s="41"/>
      <c r="H8" t="s">
        <v>21</v>
      </c>
      <c r="I8">
        <v>110</v>
      </c>
      <c r="J8">
        <v>125</v>
      </c>
      <c r="K8">
        <v>150</v>
      </c>
      <c r="L8">
        <v>200</v>
      </c>
    </row>
    <row r="9" spans="1:22" x14ac:dyDescent="0.45">
      <c r="A9" s="3">
        <f>3/4</f>
        <v>0.75</v>
      </c>
      <c r="B9" s="7">
        <v>0</v>
      </c>
      <c r="D9" s="41"/>
      <c r="E9" s="41"/>
      <c r="F9" s="41"/>
      <c r="G9">
        <v>1</v>
      </c>
      <c r="H9" s="14" t="s">
        <v>47</v>
      </c>
      <c r="I9" s="20">
        <f t="array" ref="I9">I8*EXP(0.5826*$I$14*SQRT(1/365))</f>
        <v>110.84180839486365</v>
      </c>
      <c r="J9" s="20">
        <f>J8*EXP(0.5826*$I$14*SQRT(1/365))</f>
        <v>125.95660044870868</v>
      </c>
      <c r="K9" s="20">
        <f>K8*EXP(0.5826*$I$14*SQRT(1/365))</f>
        <v>151.14792053845042</v>
      </c>
      <c r="L9" s="20">
        <f>L8*EXP(0.5826*$I$14*SQRT(1/365))</f>
        <v>201.53056071793389</v>
      </c>
    </row>
    <row r="10" spans="1:22" x14ac:dyDescent="0.45">
      <c r="A10" s="3">
        <v>1</v>
      </c>
      <c r="B10" s="7">
        <v>0</v>
      </c>
      <c r="D10" s="11"/>
      <c r="E10" s="11"/>
      <c r="F10" s="11"/>
      <c r="H10" t="s">
        <v>10</v>
      </c>
      <c r="I10" s="5">
        <v>1</v>
      </c>
      <c r="K10" t="s">
        <v>39</v>
      </c>
    </row>
    <row r="11" spans="1:22" x14ac:dyDescent="0.45">
      <c r="A11" s="3">
        <v>2</v>
      </c>
      <c r="B11" s="7">
        <v>0</v>
      </c>
      <c r="H11" t="s">
        <v>22</v>
      </c>
      <c r="I11" s="12">
        <v>2</v>
      </c>
      <c r="K11">
        <v>12</v>
      </c>
      <c r="L11">
        <v>52</v>
      </c>
      <c r="M11">
        <v>365</v>
      </c>
    </row>
    <row r="12" spans="1:22" x14ac:dyDescent="0.45">
      <c r="A12" s="3"/>
      <c r="B12" s="7"/>
      <c r="D12" t="s">
        <v>19</v>
      </c>
      <c r="E12">
        <v>0.5</v>
      </c>
      <c r="H12" t="s">
        <v>12</v>
      </c>
      <c r="I12" s="5" t="str">
        <f>D4</f>
        <v>USD¤3</v>
      </c>
      <c r="L12" t="s">
        <v>37</v>
      </c>
    </row>
    <row r="13" spans="1:22" x14ac:dyDescent="0.45">
      <c r="A13" t="s">
        <v>53</v>
      </c>
      <c r="B13" s="12">
        <v>100</v>
      </c>
      <c r="C13">
        <v>100</v>
      </c>
      <c r="H13" t="s">
        <v>13</v>
      </c>
      <c r="I13" s="7">
        <v>0</v>
      </c>
      <c r="L13" t="s">
        <v>38</v>
      </c>
    </row>
    <row r="14" spans="1:22" x14ac:dyDescent="0.45">
      <c r="A14" s="18" t="s">
        <v>41</v>
      </c>
      <c r="H14" t="s">
        <v>14</v>
      </c>
      <c r="I14" s="7">
        <v>0.25</v>
      </c>
    </row>
    <row r="15" spans="1:22" ht="28.5" x14ac:dyDescent="0.45">
      <c r="A15" s="14" t="s">
        <v>40</v>
      </c>
      <c r="B15" s="17" t="s">
        <v>16</v>
      </c>
      <c r="C15" s="17" t="s">
        <v>17</v>
      </c>
      <c r="D15" s="14" t="s">
        <v>19</v>
      </c>
      <c r="E15" s="14" t="s">
        <v>56</v>
      </c>
      <c r="F15" s="11" t="s">
        <v>49</v>
      </c>
      <c r="G15" s="14" t="s">
        <v>43</v>
      </c>
      <c r="H15" s="14" t="s">
        <v>44</v>
      </c>
      <c r="I15" s="14" t="s">
        <v>45</v>
      </c>
      <c r="J15" s="23" t="s">
        <v>50</v>
      </c>
      <c r="K15" s="23" t="s">
        <v>51</v>
      </c>
    </row>
    <row r="16" spans="1:22" x14ac:dyDescent="0.45">
      <c r="A16">
        <v>1</v>
      </c>
      <c r="B16" s="12">
        <f>B13</f>
        <v>100</v>
      </c>
      <c r="C16">
        <f>C13</f>
        <v>100</v>
      </c>
      <c r="D16">
        <f>$E$12</f>
        <v>0.5</v>
      </c>
      <c r="E16">
        <f t="array" ref="E16">_xll.ORF.BARRBSPDE($I$3,$I$6,$I$10,$I$5,I$8,$I$11,$I$4,$I$12,$I$13,$I$14,$K$2:$L$4, $L$6)</f>
        <v>6.6788333586712906E-2</v>
      </c>
      <c r="F16">
        <f t="array" ref="F16">_xll.ORF.BARRBS($I$3,$I$4,$I$5,$I$6,$I$9, $I$10,_xll.ORF.SPOTRATE($I$12,$I$10),$I$13,$I$14)</f>
        <v>8.5056611235126311E-2</v>
      </c>
      <c r="G16" s="19">
        <f>ABS(E16-F16)</f>
        <v>1.8268277648413406E-2</v>
      </c>
      <c r="H16" s="16">
        <f>G16</f>
        <v>1.8268277648413406E-2</v>
      </c>
      <c r="I16" s="16">
        <f>H16</f>
        <v>1.8268277648413406E-2</v>
      </c>
      <c r="J16" s="24"/>
      <c r="K16" s="25"/>
    </row>
    <row r="17" spans="1:13" x14ac:dyDescent="0.45">
      <c r="A17">
        <v>2</v>
      </c>
      <c r="B17" s="21">
        <f>B16*2</f>
        <v>200</v>
      </c>
      <c r="C17">
        <f>C16*2</f>
        <v>200</v>
      </c>
      <c r="D17">
        <f t="shared" ref="D17:D21" si="0">$E$12</f>
        <v>0.5</v>
      </c>
      <c r="E17">
        <f>_xll.ORF.BARRBSPDE($I$3,$I$6,$I$10,$I$5,I$8,$I$11,$I$4,$I$12,$I$13,$I$14,$M$2:$N$4, $L$6)</f>
        <v>7.1585867018151922E-2</v>
      </c>
      <c r="F17">
        <f>_xll.ORF.BARRBS($I$3,$I$4,$I$5,$I$6,$I$9, $I$10,_xll.ORF.SPOTRATE($I$12,$I$10),$I$13,$I$14)</f>
        <v>8.5056611235126311E-2</v>
      </c>
      <c r="G17" s="19">
        <f t="shared" ref="G17:G21" si="1">ABS(E17-F17)</f>
        <v>1.347074421697439E-2</v>
      </c>
      <c r="H17" s="3">
        <f>H16/4</f>
        <v>4.5670694121033514E-3</v>
      </c>
      <c r="I17">
        <f>I16/2</f>
        <v>9.1341388242067029E-3</v>
      </c>
      <c r="J17" s="26">
        <f>E17-E16</f>
        <v>4.7975334314390161E-3</v>
      </c>
      <c r="K17" s="26"/>
    </row>
    <row r="18" spans="1:13" x14ac:dyDescent="0.45">
      <c r="A18">
        <v>3</v>
      </c>
      <c r="B18">
        <f t="shared" ref="B18:B21" si="2">B17*2</f>
        <v>400</v>
      </c>
      <c r="C18">
        <f t="shared" ref="C18:C21" si="3">C17*2</f>
        <v>400</v>
      </c>
      <c r="D18">
        <f t="shared" si="0"/>
        <v>0.5</v>
      </c>
      <c r="E18">
        <f>_xll.ORF.BARRBSPDE($I$3,$I$6,$I$10,$I$5,I$8,$I$11,$I$4,$I$12,$I$13,$I$14,$O$2:$P$4, $L$6)</f>
        <v>7.6062296175305882E-2</v>
      </c>
      <c r="F18">
        <f>_xll.ORF.BARRBS($I$3,$I$4,$I$5,$I$6,$I$9, $I$10,_xll.ORF.SPOTRATE($I$12,$I$10),$I$13,$I$14)</f>
        <v>8.5056611235126311E-2</v>
      </c>
      <c r="G18" s="19">
        <f t="shared" si="1"/>
        <v>8.9943150598204291E-3</v>
      </c>
      <c r="H18" s="3">
        <f t="shared" ref="H18:H21" si="4">H17/4</f>
        <v>1.1417673530258379E-3</v>
      </c>
      <c r="I18">
        <f t="shared" ref="I18:I21" si="5">I17/2</f>
        <v>4.5670694121033514E-3</v>
      </c>
      <c r="J18" s="26">
        <f>E18-E17</f>
        <v>4.4764291571539605E-3</v>
      </c>
      <c r="K18" s="27">
        <f>J18/J17</f>
        <v>0.93306888240094232</v>
      </c>
    </row>
    <row r="19" spans="1:13" x14ac:dyDescent="0.45">
      <c r="A19">
        <v>4</v>
      </c>
      <c r="B19">
        <f t="shared" si="2"/>
        <v>800</v>
      </c>
      <c r="C19">
        <f t="shared" si="3"/>
        <v>800</v>
      </c>
      <c r="D19">
        <f t="shared" si="0"/>
        <v>0.5</v>
      </c>
      <c r="E19">
        <f>_xll.ORF.BARRBSPDE($I$3,$I$6,$I$10,$I$5,I$8,$I$11,$I$4,$I$12,$I$13,$I$14,$Q$2:$R$4, $L$6)</f>
        <v>8.3177914168191064E-2</v>
      </c>
      <c r="F19">
        <f>_xll.ORF.BARRBS($I$3,$I$4,$I$5,$I$6,$I$9, $I$10,_xll.ORF.SPOTRATE($I$12,$I$10),$I$13,$I$14)</f>
        <v>8.5056611235126311E-2</v>
      </c>
      <c r="G19" s="19">
        <f t="shared" si="1"/>
        <v>1.8786970669352476E-3</v>
      </c>
      <c r="H19" s="3">
        <f t="shared" si="4"/>
        <v>2.8544183825645946E-4</v>
      </c>
      <c r="I19">
        <f t="shared" si="5"/>
        <v>2.2835347060516757E-3</v>
      </c>
      <c r="J19" s="26">
        <f>E19-E18</f>
        <v>7.1156179928851815E-3</v>
      </c>
      <c r="K19" s="27">
        <f t="shared" ref="K19:K21" si="6">J19/J18</f>
        <v>1.5895745789952753</v>
      </c>
    </row>
    <row r="20" spans="1:13" x14ac:dyDescent="0.45">
      <c r="A20">
        <v>5</v>
      </c>
      <c r="B20">
        <f t="shared" si="2"/>
        <v>1600</v>
      </c>
      <c r="C20">
        <f t="shared" si="3"/>
        <v>1600</v>
      </c>
      <c r="D20">
        <f t="shared" si="0"/>
        <v>0.5</v>
      </c>
      <c r="E20">
        <f>_xll.ORF.BARRBSPDE($I$3,$I$6,$I$10,$I$5,I$8,$I$11,$I$4,$I$12,$I$13,$I$14,$S$2:$T$4, $L$6)</f>
        <v>8.4155571627778397E-2</v>
      </c>
      <c r="F20">
        <f>_xll.ORF.BARRBS($I$3,$I$4,$I$5,$I$6,$I$9, $I$10,_xll.ORF.SPOTRATE($I$12,$I$10),$I$13,$I$14)</f>
        <v>8.5056611235126311E-2</v>
      </c>
      <c r="G20" s="19">
        <f t="shared" si="1"/>
        <v>9.0103960734791433E-4</v>
      </c>
      <c r="H20" s="3">
        <f t="shared" si="4"/>
        <v>7.1360459564114866E-5</v>
      </c>
      <c r="I20">
        <f t="shared" si="5"/>
        <v>1.1417673530258379E-3</v>
      </c>
      <c r="J20" s="26">
        <f>E20-E19</f>
        <v>9.776574595873333E-4</v>
      </c>
      <c r="K20" s="27">
        <f t="shared" si="6"/>
        <v>0.13739600138243521</v>
      </c>
    </row>
    <row r="21" spans="1:13" x14ac:dyDescent="0.45">
      <c r="A21">
        <v>6</v>
      </c>
      <c r="B21">
        <f t="shared" si="2"/>
        <v>3200</v>
      </c>
      <c r="C21">
        <f t="shared" si="3"/>
        <v>3200</v>
      </c>
      <c r="D21">
        <f t="shared" si="0"/>
        <v>0.5</v>
      </c>
      <c r="E21">
        <f>_xll.ORF.BARRBSPDE($I$3,$I$6,$I$10,$I$5,I$8,$I$11,$I$4,$I$12,$I$13,$I$14,$U$2:$V$4, $L$6)</f>
        <v>8.4558128733062482E-2</v>
      </c>
      <c r="F21">
        <f>_xll.ORF.BARRBS($I$3,$I$4,$I$5,$I$6,$I$9, $I$10,_xll.ORF.SPOTRATE($I$12,$I$10),$I$13,$I$14)</f>
        <v>8.5056611235126311E-2</v>
      </c>
      <c r="G21" s="19">
        <f t="shared" si="1"/>
        <v>4.9848250206382949E-4</v>
      </c>
      <c r="H21" s="3">
        <f t="shared" si="4"/>
        <v>1.7840114891028717E-5</v>
      </c>
      <c r="I21">
        <f t="shared" si="5"/>
        <v>5.7088367651291893E-4</v>
      </c>
      <c r="J21" s="26">
        <f>E21-E20</f>
        <v>4.0255710528408484E-4</v>
      </c>
      <c r="K21" s="27">
        <f t="shared" si="6"/>
        <v>0.41175679818778571</v>
      </c>
    </row>
    <row r="23" spans="1:13" ht="42.75" x14ac:dyDescent="0.45">
      <c r="B23" t="s">
        <v>57</v>
      </c>
      <c r="H23" s="33" t="s">
        <v>58</v>
      </c>
      <c r="I23" s="40" t="s">
        <v>59</v>
      </c>
      <c r="J23" s="40"/>
      <c r="K23" s="40"/>
      <c r="L23" s="40"/>
      <c r="M23" s="40"/>
    </row>
    <row r="24" spans="1:13" x14ac:dyDescent="0.45">
      <c r="H24" s="33"/>
      <c r="I24" s="14"/>
      <c r="J24" s="14"/>
      <c r="K24" s="14"/>
      <c r="L24" s="14"/>
      <c r="M24" s="14"/>
    </row>
    <row r="25" spans="1:13" x14ac:dyDescent="0.45">
      <c r="I25" s="14"/>
      <c r="J25" s="13"/>
      <c r="K25" s="13"/>
      <c r="L25" s="13"/>
      <c r="M25" s="13"/>
    </row>
    <row r="26" spans="1:13" x14ac:dyDescent="0.45">
      <c r="I26" s="14" t="s">
        <v>55</v>
      </c>
      <c r="J26" s="13"/>
      <c r="K26" s="13"/>
      <c r="L26" s="13"/>
      <c r="M26" s="13"/>
    </row>
    <row r="27" spans="1:13" x14ac:dyDescent="0.45">
      <c r="I27" s="14"/>
      <c r="J27" s="13"/>
      <c r="K27" s="13"/>
      <c r="L27" s="13"/>
      <c r="M27" s="13"/>
    </row>
    <row r="29" spans="1:13" x14ac:dyDescent="0.45">
      <c r="A29" s="18" t="s">
        <v>54</v>
      </c>
    </row>
    <row r="30" spans="1:13" ht="28.5" x14ac:dyDescent="0.45">
      <c r="A30" s="14" t="s">
        <v>40</v>
      </c>
      <c r="B30" s="17" t="s">
        <v>16</v>
      </c>
      <c r="C30" s="17" t="s">
        <v>17</v>
      </c>
      <c r="D30" s="14" t="s">
        <v>19</v>
      </c>
      <c r="E30" s="14" t="s">
        <v>56</v>
      </c>
      <c r="F30" s="11" t="s">
        <v>49</v>
      </c>
      <c r="G30" s="14" t="s">
        <v>43</v>
      </c>
      <c r="H30" s="14" t="s">
        <v>44</v>
      </c>
      <c r="I30" s="14" t="s">
        <v>45</v>
      </c>
      <c r="J30" s="28" t="s">
        <v>50</v>
      </c>
      <c r="K30" s="28" t="s">
        <v>51</v>
      </c>
    </row>
    <row r="31" spans="1:13" x14ac:dyDescent="0.45">
      <c r="A31">
        <v>1</v>
      </c>
      <c r="B31" s="12">
        <f t="array" ref="B31:C31">B13:C13</f>
        <v>100</v>
      </c>
      <c r="C31">
        <v>100</v>
      </c>
      <c r="D31">
        <f>$E$12</f>
        <v>0.5</v>
      </c>
      <c r="E31">
        <f t="array" ref="E31">_xll.ORF.BARRBSPDE($I$3,$I$6,$I$10,$I$5,J$8,$I$11,$I$4,$I$12,$I$13,$I$14,$K$2:$L$4, $L$6)</f>
        <v>1.3178938876184481</v>
      </c>
      <c r="F31">
        <f>_xll.ORF.BARRBS($I$3,$I$4,$I$5,$I$6,$J$9, $I$10,_xll.ORF.SPOTRATE($I$12,$I$10),$I$13,$I$14)</f>
        <v>1.4311972628506684</v>
      </c>
      <c r="G31" s="19">
        <f>ABS(E31-F31)</f>
        <v>0.11330337523222034</v>
      </c>
      <c r="H31" s="16">
        <f>G31</f>
        <v>0.11330337523222034</v>
      </c>
      <c r="I31" s="16">
        <f>H31</f>
        <v>0.11330337523222034</v>
      </c>
      <c r="J31" s="29"/>
      <c r="K31" s="30"/>
    </row>
    <row r="32" spans="1:13" x14ac:dyDescent="0.45">
      <c r="A32">
        <v>2</v>
      </c>
      <c r="B32">
        <f>B31*2</f>
        <v>200</v>
      </c>
      <c r="C32">
        <f>C31*2</f>
        <v>200</v>
      </c>
      <c r="D32">
        <f t="shared" ref="D32:D36" si="7">$E$12</f>
        <v>0.5</v>
      </c>
      <c r="E32">
        <f>_xll.ORF.BARRBSPDE($I$3,$I$6,$I$10,$I$5,J$8,$I$11,$I$4,$I$12,$I$13,$I$14,$M$2:$N$4, $L$6)</f>
        <v>1.346884001086468</v>
      </c>
      <c r="F32">
        <f t="array" ref="F32">_xll.ORF.BARRBS($I$3,$I$4,$I$5,$I$6,$J$9, $I$10,_xll.ORF.SPOTRATE($I$12,$I$10),$I$13,$I$14)</f>
        <v>1.4311972628506684</v>
      </c>
      <c r="G32" s="19">
        <f t="shared" ref="G32:G36" si="8">ABS(E32-F32)</f>
        <v>8.4313261764200398E-2</v>
      </c>
      <c r="H32" s="3">
        <f>H31/4</f>
        <v>2.8325843808055085E-2</v>
      </c>
      <c r="I32">
        <f>I31/2</f>
        <v>5.6651687616110169E-2</v>
      </c>
      <c r="J32" s="31">
        <f>E32-E31</f>
        <v>2.899011346801994E-2</v>
      </c>
      <c r="K32" s="31"/>
    </row>
    <row r="33" spans="1:11" x14ac:dyDescent="0.45">
      <c r="A33">
        <v>3</v>
      </c>
      <c r="B33">
        <f t="shared" ref="B33:C36" si="9">B32*2</f>
        <v>400</v>
      </c>
      <c r="C33">
        <f t="shared" si="9"/>
        <v>400</v>
      </c>
      <c r="D33">
        <f t="shared" si="7"/>
        <v>0.5</v>
      </c>
      <c r="E33">
        <f>_xll.ORF.BARRBSPDE($I$3,$I$6,$I$10,$I$5,J$8,$I$11,$I$4,$I$12,$I$13,$I$14,$O$2:$P$4, $L$6)</f>
        <v>1.3745332786785538</v>
      </c>
      <c r="F33">
        <f>_xll.ORF.BARRBS($I$3,$I$4,$I$5,$I$6,$J$9, $I$10,_xll.ORF.SPOTRATE($I$12,$I$10),$I$13,$I$14)</f>
        <v>1.4311972628506684</v>
      </c>
      <c r="G33" s="19">
        <f t="shared" si="8"/>
        <v>5.6663984172114601E-2</v>
      </c>
      <c r="H33" s="3">
        <f t="shared" ref="H33:H36" si="10">H32/4</f>
        <v>7.0814609520137711E-3</v>
      </c>
      <c r="I33">
        <f t="shared" ref="I33:I36" si="11">I32/2</f>
        <v>2.8325843808055085E-2</v>
      </c>
      <c r="J33" s="31">
        <f>E33-E32</f>
        <v>2.7649277592085797E-2</v>
      </c>
      <c r="K33" s="32">
        <f>J33/J32</f>
        <v>0.95374851231909563</v>
      </c>
    </row>
    <row r="34" spans="1:11" x14ac:dyDescent="0.45">
      <c r="A34">
        <v>4</v>
      </c>
      <c r="B34">
        <f t="shared" si="9"/>
        <v>800</v>
      </c>
      <c r="C34">
        <f t="shared" si="9"/>
        <v>800</v>
      </c>
      <c r="D34">
        <f t="shared" si="7"/>
        <v>0.5</v>
      </c>
      <c r="E34">
        <f>_xll.ORF.BARRBSPDE($I$3,$I$6,$I$10,$I$5,J$8,$I$11,$I$4,$I$12,$I$13,$I$14,$Q$2:$R$4, $L$6)</f>
        <v>1.4203489165805516</v>
      </c>
      <c r="F34">
        <f>_xll.ORF.BARRBS($I$3,$I$4,$I$5,$I$6,$J$9, $I$10,_xll.ORF.SPOTRATE($I$12,$I$10),$I$13,$I$14)</f>
        <v>1.4311972628506684</v>
      </c>
      <c r="G34" s="19">
        <f t="shared" si="8"/>
        <v>1.0848346270116771E-2</v>
      </c>
      <c r="H34" s="3">
        <f t="shared" si="10"/>
        <v>1.7703652380034428E-3</v>
      </c>
      <c r="I34">
        <f t="shared" si="11"/>
        <v>1.4162921904027542E-2</v>
      </c>
      <c r="J34" s="31">
        <f>E34-E33</f>
        <v>4.581563790199783E-2</v>
      </c>
      <c r="K34" s="32">
        <f t="shared" ref="K34:K36" si="12">J34/J33</f>
        <v>1.6570283888759498</v>
      </c>
    </row>
    <row r="35" spans="1:11" x14ac:dyDescent="0.45">
      <c r="A35">
        <v>5</v>
      </c>
      <c r="B35">
        <f t="shared" si="9"/>
        <v>1600</v>
      </c>
      <c r="C35">
        <f t="shared" si="9"/>
        <v>1600</v>
      </c>
      <c r="D35">
        <f t="shared" si="7"/>
        <v>0.5</v>
      </c>
      <c r="E35">
        <f t="array" ref="E35">_xll.ORF.BARRBSPDE($I$3,$I$6,$I$10,$I$5,J$8,$I$11,$I$4,$I$12,$I$13,$I$14,$S$2:$T$4, $L$6)</f>
        <v>1.4261751690851476</v>
      </c>
      <c r="F35">
        <f>_xll.ORF.BARRBS($I$3,$I$4,$I$5,$I$6,$J$9, $I$10,_xll.ORF.SPOTRATE($I$12,$I$10),$I$13,$I$14)</f>
        <v>1.4311972628506684</v>
      </c>
      <c r="G35" s="19">
        <f t="shared" si="8"/>
        <v>5.0220937655207631E-3</v>
      </c>
      <c r="H35" s="3">
        <f t="shared" si="10"/>
        <v>4.425913095008607E-4</v>
      </c>
      <c r="I35">
        <f t="shared" si="11"/>
        <v>7.0814609520137711E-3</v>
      </c>
      <c r="J35" s="31">
        <f>E35-E34</f>
        <v>5.8262525045960079E-3</v>
      </c>
      <c r="K35" s="32">
        <f t="shared" si="12"/>
        <v>0.12716733349994347</v>
      </c>
    </row>
    <row r="36" spans="1:11" x14ac:dyDescent="0.45">
      <c r="A36">
        <v>6</v>
      </c>
      <c r="B36">
        <f t="shared" si="9"/>
        <v>3200</v>
      </c>
      <c r="C36">
        <f t="shared" si="9"/>
        <v>3200</v>
      </c>
      <c r="D36">
        <f t="shared" si="7"/>
        <v>0.5</v>
      </c>
      <c r="E36">
        <f>_xll.ORF.BARRBSPDE($I$3,$I$6,$I$10,$I$5,J$8,$I$11,$I$4,$I$12,$I$13,$I$14,$U$2:$V$4, $L$6)</f>
        <v>1.4286815612932884</v>
      </c>
      <c r="F36">
        <f>_xll.ORF.BARRBS($I$3,$I$4,$I$5,$I$6,$J$9, $I$10,_xll.ORF.SPOTRATE($I$12,$I$10),$I$13,$I$14)</f>
        <v>1.4311972628506684</v>
      </c>
      <c r="G36" s="19">
        <f t="shared" si="8"/>
        <v>2.5157015573800123E-3</v>
      </c>
      <c r="H36" s="3">
        <f t="shared" si="10"/>
        <v>1.1064782737521517E-4</v>
      </c>
      <c r="I36">
        <f t="shared" si="11"/>
        <v>3.5407304760068856E-3</v>
      </c>
      <c r="J36" s="31">
        <f>E36-E35</f>
        <v>2.5063922081407508E-3</v>
      </c>
      <c r="K36" s="32">
        <f t="shared" si="12"/>
        <v>0.43018942384724945</v>
      </c>
    </row>
    <row r="38" spans="1:11" x14ac:dyDescent="0.45">
      <c r="I38" s="14" t="s">
        <v>55</v>
      </c>
    </row>
    <row r="40" spans="1:11" x14ac:dyDescent="0.45">
      <c r="A40" s="18" t="s">
        <v>60</v>
      </c>
    </row>
    <row r="41" spans="1:11" ht="28.5" x14ac:dyDescent="0.45">
      <c r="A41" s="14" t="s">
        <v>40</v>
      </c>
      <c r="B41" s="17" t="s">
        <v>16</v>
      </c>
      <c r="C41" s="17" t="s">
        <v>17</v>
      </c>
      <c r="D41" s="14" t="s">
        <v>19</v>
      </c>
      <c r="E41" s="14" t="s">
        <v>56</v>
      </c>
      <c r="F41" s="11" t="s">
        <v>49</v>
      </c>
      <c r="G41" s="14" t="s">
        <v>43</v>
      </c>
      <c r="H41" s="14" t="s">
        <v>44</v>
      </c>
      <c r="I41" s="14" t="s">
        <v>45</v>
      </c>
      <c r="J41" s="28" t="s">
        <v>50</v>
      </c>
      <c r="K41" s="28" t="s">
        <v>51</v>
      </c>
    </row>
    <row r="42" spans="1:11" x14ac:dyDescent="0.45">
      <c r="A42">
        <v>1</v>
      </c>
      <c r="B42" s="12">
        <f t="array" ref="B42:C42">$B$13:$C$13</f>
        <v>100</v>
      </c>
      <c r="C42">
        <v>100</v>
      </c>
      <c r="D42">
        <f>$E$12</f>
        <v>0.5</v>
      </c>
      <c r="E42">
        <f>_xll.ORF.BARRBSPDE($I$3,$I$6,$I$10,$I$5,K$8,$I$11,$I$4,$I$12,$I$13,$I$14,$K$2:$L$4, $L$6)</f>
        <v>6.1935461489499977</v>
      </c>
      <c r="F42">
        <f>_xll.ORF.BARRBS($I$3,$I$4,$I$5,$I$6,$K$9, $I$10,_xll.ORF.SPOTRATE($I$12,$I$10),$I$13,$I$14)</f>
        <v>5.870175525056692</v>
      </c>
      <c r="G42" s="19">
        <f>ABS(E42-F42)</f>
        <v>0.32337062389330562</v>
      </c>
      <c r="H42" s="16">
        <f>G42</f>
        <v>0.32337062389330562</v>
      </c>
      <c r="I42" s="16">
        <f>H42</f>
        <v>0.32337062389330562</v>
      </c>
      <c r="J42" s="29"/>
      <c r="K42" s="30"/>
    </row>
    <row r="43" spans="1:11" x14ac:dyDescent="0.45">
      <c r="A43">
        <v>2</v>
      </c>
      <c r="B43">
        <f>B42*2</f>
        <v>200</v>
      </c>
      <c r="C43">
        <f>C42*2</f>
        <v>200</v>
      </c>
      <c r="D43">
        <f t="shared" ref="D43:D47" si="13">$E$12</f>
        <v>0.5</v>
      </c>
      <c r="E43">
        <f>_xll.ORF.BARRBSPDE($I$3,$I$6,$I$10,$I$5,K$8,$I$11,$I$4,$I$12,$I$13,$I$14,$M$2:$N$4, $L$6)</f>
        <v>6.0011708805394814</v>
      </c>
      <c r="F43">
        <f>_xll.ORF.BARRBS($I$3,$I$4,$I$5,$I$6,$K$9, $I$10,_xll.ORF.SPOTRATE($I$12,$I$10),$I$13,$I$14)</f>
        <v>5.870175525056692</v>
      </c>
      <c r="G43" s="19">
        <f t="shared" ref="G43:G47" si="14">ABS(E43-F43)</f>
        <v>0.1309953554827894</v>
      </c>
      <c r="H43" s="3">
        <f>H42/4</f>
        <v>8.0842655973326405E-2</v>
      </c>
      <c r="I43">
        <f>I42/2</f>
        <v>0.16168531194665281</v>
      </c>
      <c r="J43" s="31">
        <f>E43-E42</f>
        <v>-0.19237526841051622</v>
      </c>
      <c r="K43" s="31"/>
    </row>
    <row r="44" spans="1:11" x14ac:dyDescent="0.45">
      <c r="A44">
        <v>3</v>
      </c>
      <c r="B44">
        <f t="shared" ref="B44:C44" si="15">B43*2</f>
        <v>400</v>
      </c>
      <c r="C44">
        <f t="shared" si="15"/>
        <v>400</v>
      </c>
      <c r="D44">
        <f t="shared" si="13"/>
        <v>0.5</v>
      </c>
      <c r="E44">
        <f>_xll.ORF.BARRBSPDE($I$3,$I$6,$I$10,$I$5,K$8,$I$11,$I$4,$I$12,$I$13,$I$14,$O$2:$P$4, $L$6)</f>
        <v>5.9184180974265912</v>
      </c>
      <c r="F44">
        <f>_xll.ORF.BARRBS($I$3,$I$4,$I$5,$I$6,$K$9, $I$10,_xll.ORF.SPOTRATE($I$12,$I$10),$I$13,$I$14)</f>
        <v>5.870175525056692</v>
      </c>
      <c r="G44" s="19">
        <f t="shared" si="14"/>
        <v>4.824257236989915E-2</v>
      </c>
      <c r="H44" s="3">
        <f t="shared" ref="H44:H47" si="16">H43/4</f>
        <v>2.0210663993331601E-2</v>
      </c>
      <c r="I44">
        <f t="shared" ref="I44:I47" si="17">I43/2</f>
        <v>8.0842655973326405E-2</v>
      </c>
      <c r="J44" s="31">
        <f>E44-E43</f>
        <v>-8.2752783112890249E-2</v>
      </c>
      <c r="K44" s="32">
        <f>J44/J43</f>
        <v>0.43016331463304958</v>
      </c>
    </row>
    <row r="45" spans="1:11" x14ac:dyDescent="0.45">
      <c r="A45">
        <v>4</v>
      </c>
      <c r="B45">
        <f t="shared" ref="B45:C45" si="18">B44*2</f>
        <v>800</v>
      </c>
      <c r="C45">
        <f t="shared" si="18"/>
        <v>800</v>
      </c>
      <c r="D45">
        <f t="shared" si="13"/>
        <v>0.5</v>
      </c>
      <c r="E45">
        <f>_xll.ORF.BARRBSPDE($I$3,$I$6,$I$10,$I$5,K$8,$I$11,$I$4,$I$12,$I$13,$I$14,$Q$2:$R$4, $L$6)</f>
        <v>5.9167472172381945</v>
      </c>
      <c r="F45">
        <f>_xll.ORF.BARRBS($I$3,$I$4,$I$5,$I$6,$K$9, $I$10,_xll.ORF.SPOTRATE($I$12,$I$10),$I$13,$I$14)</f>
        <v>5.870175525056692</v>
      </c>
      <c r="G45" s="19">
        <f t="shared" si="14"/>
        <v>4.6571692181502478E-2</v>
      </c>
      <c r="H45" s="3">
        <f t="shared" si="16"/>
        <v>5.0526659983329003E-3</v>
      </c>
      <c r="I45">
        <f t="shared" si="17"/>
        <v>4.0421327986663202E-2</v>
      </c>
      <c r="J45" s="31">
        <f>E45-E44</f>
        <v>-1.6708801883966728E-3</v>
      </c>
      <c r="K45" s="32">
        <f t="shared" ref="K45:K47" si="19">J45/J44</f>
        <v>2.0191226512796315E-2</v>
      </c>
    </row>
    <row r="46" spans="1:11" x14ac:dyDescent="0.45">
      <c r="A46">
        <v>5</v>
      </c>
      <c r="B46">
        <f t="shared" ref="B46:C46" si="20">B45*2</f>
        <v>1600</v>
      </c>
      <c r="C46">
        <f t="shared" si="20"/>
        <v>1600</v>
      </c>
      <c r="D46">
        <f t="shared" si="13"/>
        <v>0.5</v>
      </c>
      <c r="E46">
        <f>_xll.ORF.BARRBSPDE($I$3,$I$6,$I$10,$I$5,K$8,$I$11,$I$4,$I$12,$I$13,$I$14,$S$2:$T$4, $L$6)</f>
        <v>5.8940888137347134</v>
      </c>
      <c r="F46">
        <f>_xll.ORF.BARRBS($I$3,$I$4,$I$5,$I$6,$K$9, $I$10,_xll.ORF.SPOTRATE($I$12,$I$10),$I$13,$I$14)</f>
        <v>5.870175525056692</v>
      </c>
      <c r="G46" s="19">
        <f t="shared" si="14"/>
        <v>2.3913288678021338E-2</v>
      </c>
      <c r="H46" s="3">
        <f t="shared" si="16"/>
        <v>1.2631664995832251E-3</v>
      </c>
      <c r="I46">
        <f t="shared" si="17"/>
        <v>2.0210663993331601E-2</v>
      </c>
      <c r="J46" s="31">
        <f>E46-E45</f>
        <v>-2.2658403503481139E-2</v>
      </c>
      <c r="K46" s="32">
        <f t="shared" si="19"/>
        <v>13.560758970530062</v>
      </c>
    </row>
    <row r="47" spans="1:11" x14ac:dyDescent="0.45">
      <c r="A47">
        <v>6</v>
      </c>
      <c r="B47">
        <f t="shared" ref="B47:C47" si="21">B46*2</f>
        <v>3200</v>
      </c>
      <c r="C47">
        <f t="shared" si="21"/>
        <v>3200</v>
      </c>
      <c r="D47">
        <f t="shared" si="13"/>
        <v>0.5</v>
      </c>
      <c r="E47">
        <f>_xll.ORF.BARRBSPDE($I$3,$I$6,$I$10,$I$5,K$8,$I$11,$I$4,$I$12,$I$13,$I$14,$U$2:$V$4, $L$6)</f>
        <v>5.8821851498145019</v>
      </c>
      <c r="F47">
        <f>_xll.ORF.BARRBS($I$3,$I$4,$I$5,$I$6,$K$9, $I$10,_xll.ORF.SPOTRATE($I$12,$I$10),$I$13,$I$14)</f>
        <v>5.870175525056692</v>
      </c>
      <c r="G47" s="19">
        <f t="shared" si="14"/>
        <v>1.2009624757809867E-2</v>
      </c>
      <c r="H47" s="3">
        <f t="shared" si="16"/>
        <v>3.1579162489580627E-4</v>
      </c>
      <c r="I47">
        <f t="shared" si="17"/>
        <v>1.0105331996665801E-2</v>
      </c>
      <c r="J47" s="31">
        <f>E47-E46</f>
        <v>-1.1903663920211471E-2</v>
      </c>
      <c r="K47" s="32">
        <f t="shared" si="19"/>
        <v>0.52535316172574309</v>
      </c>
    </row>
    <row r="49" spans="1:11" x14ac:dyDescent="0.45">
      <c r="I49" s="14" t="s">
        <v>55</v>
      </c>
    </row>
    <row r="53" spans="1:11" x14ac:dyDescent="0.45">
      <c r="A53" s="18" t="s">
        <v>60</v>
      </c>
    </row>
    <row r="54" spans="1:11" ht="28.5" x14ac:dyDescent="0.45">
      <c r="A54" s="14" t="s">
        <v>40</v>
      </c>
      <c r="B54" s="17" t="s">
        <v>16</v>
      </c>
      <c r="C54" s="17" t="s">
        <v>17</v>
      </c>
      <c r="D54" s="14" t="s">
        <v>19</v>
      </c>
      <c r="E54" s="14" t="s">
        <v>56</v>
      </c>
      <c r="F54" s="11" t="s">
        <v>49</v>
      </c>
      <c r="G54" s="14" t="s">
        <v>43</v>
      </c>
      <c r="H54" s="14" t="s">
        <v>44</v>
      </c>
      <c r="I54" s="14" t="s">
        <v>45</v>
      </c>
      <c r="J54" s="28" t="s">
        <v>50</v>
      </c>
      <c r="K54" s="28" t="s">
        <v>51</v>
      </c>
    </row>
    <row r="55" spans="1:11" x14ac:dyDescent="0.45">
      <c r="A55">
        <v>1</v>
      </c>
      <c r="B55" s="12">
        <f t="array" ref="B55:C55">$B$13:$C$13</f>
        <v>100</v>
      </c>
      <c r="C55">
        <v>100</v>
      </c>
      <c r="D55">
        <f>$E$12</f>
        <v>0.5</v>
      </c>
      <c r="E55">
        <f t="array" ref="E55">_xll.ORF.BARRBSPDE($I$3,$I$6,$I$10,$I$5,L$8,$I$11,$I$4,$I$12,$I$13,$I$14,$K$2:$L$4, $L$6)</f>
        <v>9.6432934423510606</v>
      </c>
      <c r="F55">
        <f>_xll.ORF.BARRBS($I$3,$I$4,$I$5,$I$6,$L$9, $I$10,_xll.ORF.SPOTRATE($I$12,$I$10),$I$13,$I$14)</f>
        <v>9.5879877809293088</v>
      </c>
      <c r="G55" s="19">
        <f>ABS(E55-F55)</f>
        <v>5.5305661421751751E-2</v>
      </c>
      <c r="H55" s="16">
        <f>G55</f>
        <v>5.5305661421751751E-2</v>
      </c>
      <c r="I55" s="16">
        <f>H55</f>
        <v>5.5305661421751751E-2</v>
      </c>
      <c r="J55" s="29"/>
      <c r="K55" s="30"/>
    </row>
    <row r="56" spans="1:11" x14ac:dyDescent="0.45">
      <c r="A56">
        <v>2</v>
      </c>
      <c r="B56">
        <f>B55*2</f>
        <v>200</v>
      </c>
      <c r="C56">
        <f>C55*2</f>
        <v>200</v>
      </c>
      <c r="D56">
        <f t="shared" ref="D56:D60" si="22">$E$12</f>
        <v>0.5</v>
      </c>
      <c r="E56">
        <f>_xll.ORF.BARRBSPDE($I$3,$I$6,$I$10,$I$5,L$8,$I$11,$I$4,$I$12,$I$13,$I$14,$M$2:$N$4, $L$6)</f>
        <v>9.6101306657722034</v>
      </c>
      <c r="F56">
        <f>_xll.ORF.BARRBS($I$3,$I$4,$I$5,$I$6,$L$9, $I$10,_xll.ORF.SPOTRATE($I$12,$I$10),$I$13,$I$14)</f>
        <v>9.5879877809293088</v>
      </c>
      <c r="G56" s="19">
        <f t="shared" ref="G56:G60" si="23">ABS(E56-F56)</f>
        <v>2.2142884842894617E-2</v>
      </c>
      <c r="H56" s="3">
        <f>H55/4</f>
        <v>1.3826415355437938E-2</v>
      </c>
      <c r="I56">
        <f>I55/2</f>
        <v>2.7652830710875875E-2</v>
      </c>
      <c r="J56" s="31">
        <f>E56-E55</f>
        <v>-3.3162776578857134E-2</v>
      </c>
      <c r="K56" s="31"/>
    </row>
    <row r="57" spans="1:11" x14ac:dyDescent="0.45">
      <c r="A57">
        <v>3</v>
      </c>
      <c r="B57">
        <f t="shared" ref="B57:C57" si="24">B56*2</f>
        <v>400</v>
      </c>
      <c r="C57">
        <f t="shared" si="24"/>
        <v>400</v>
      </c>
      <c r="D57">
        <f t="shared" si="22"/>
        <v>0.5</v>
      </c>
      <c r="E57">
        <f>_xll.ORF.BARRBSPDE($I$3,$I$6,$I$10,$I$5,L$8,$I$11,$I$4,$I$12,$I$13,$I$14,$O$2:$P$4, $L$6)</f>
        <v>9.5959278137568162</v>
      </c>
      <c r="F57">
        <f>_xll.ORF.BARRBS($I$3,$I$4,$I$5,$I$6,$L$9, $I$10,_xll.ORF.SPOTRATE($I$12,$I$10),$I$13,$I$14)</f>
        <v>9.5879877809293088</v>
      </c>
      <c r="G57" s="19">
        <f t="shared" si="23"/>
        <v>7.9400328275074372E-3</v>
      </c>
      <c r="H57" s="3">
        <f t="shared" ref="H57:H60" si="25">H56/4</f>
        <v>3.4566038388594844E-3</v>
      </c>
      <c r="I57">
        <f t="shared" ref="I57:I60" si="26">I56/2</f>
        <v>1.3826415355437938E-2</v>
      </c>
      <c r="J57" s="31">
        <f>E57-E56</f>
        <v>-1.420285201538718E-2</v>
      </c>
      <c r="K57" s="32">
        <f>J57/J56</f>
        <v>0.42827692613778851</v>
      </c>
    </row>
    <row r="58" spans="1:11" x14ac:dyDescent="0.45">
      <c r="A58">
        <v>4</v>
      </c>
      <c r="B58">
        <f t="shared" ref="B58:C58" si="27">B57*2</f>
        <v>800</v>
      </c>
      <c r="C58">
        <f t="shared" si="27"/>
        <v>800</v>
      </c>
      <c r="D58">
        <f t="shared" si="22"/>
        <v>0.5</v>
      </c>
      <c r="E58">
        <f>_xll.ORF.BARRBSPDE($I$3,$I$6,$I$10,$I$5,L$8,$I$11,$I$4,$I$12,$I$13,$I$14,$Q$2:$R$4, $L$6)</f>
        <v>9.5956153187064928</v>
      </c>
      <c r="F58">
        <f>_xll.ORF.BARRBS($I$3,$I$4,$I$5,$I$6,$L$9, $I$10,_xll.ORF.SPOTRATE($I$12,$I$10),$I$13,$I$14)</f>
        <v>9.5879877809293088</v>
      </c>
      <c r="G58" s="19">
        <f t="shared" si="23"/>
        <v>7.6275377771839459E-3</v>
      </c>
      <c r="H58" s="3">
        <f t="shared" si="25"/>
        <v>8.641509597148711E-4</v>
      </c>
      <c r="I58">
        <f t="shared" si="26"/>
        <v>6.9132076777189688E-3</v>
      </c>
      <c r="J58" s="31">
        <f>E58-E57</f>
        <v>-3.1249505032349134E-4</v>
      </c>
      <c r="K58" s="32">
        <f t="shared" ref="K58:K60" si="28">J58/J57</f>
        <v>2.2002274612517147E-2</v>
      </c>
    </row>
    <row r="59" spans="1:11" x14ac:dyDescent="0.45">
      <c r="A59">
        <v>5</v>
      </c>
      <c r="B59">
        <f t="shared" ref="B59:C59" si="29">B58*2</f>
        <v>1600</v>
      </c>
      <c r="C59">
        <f t="shared" si="29"/>
        <v>1600</v>
      </c>
      <c r="D59">
        <f t="shared" si="22"/>
        <v>0.5</v>
      </c>
      <c r="E59">
        <f>_xll.ORF.BARRBSPDE($I$3,$I$6,$I$10,$I$5,L$8,$I$11,$I$4,$I$12,$I$13,$I$14,$S$2:$T$4, $L$6)</f>
        <v>9.591924222503545</v>
      </c>
      <c r="F59">
        <f>_xll.ORF.BARRBS($I$3,$I$4,$I$5,$I$6,$L$9, $I$10,_xll.ORF.SPOTRATE($I$12,$I$10),$I$13,$I$14)</f>
        <v>9.5879877809293088</v>
      </c>
      <c r="G59" s="19">
        <f t="shared" si="23"/>
        <v>3.9364415742362269E-3</v>
      </c>
      <c r="H59" s="3">
        <f t="shared" si="25"/>
        <v>2.1603773992871778E-4</v>
      </c>
      <c r="I59">
        <f t="shared" si="26"/>
        <v>3.4566038388594844E-3</v>
      </c>
      <c r="J59" s="31">
        <f>E59-E58</f>
        <v>-3.691096202947719E-3</v>
      </c>
      <c r="K59" s="32">
        <f t="shared" si="28"/>
        <v>11.811694934453323</v>
      </c>
    </row>
    <row r="60" spans="1:11" x14ac:dyDescent="0.45">
      <c r="A60">
        <v>6</v>
      </c>
      <c r="B60">
        <f t="shared" ref="B60:C60" si="30">B59*2</f>
        <v>3200</v>
      </c>
      <c r="C60">
        <f t="shared" si="30"/>
        <v>3200</v>
      </c>
      <c r="D60">
        <f t="shared" si="22"/>
        <v>0.5</v>
      </c>
      <c r="E60">
        <f>_xll.ORF.BARRBSPDE($I$3,$I$6,$I$10,$I$5,L$8,$I$11,$I$4,$I$12,$I$13,$I$14,$U$2:$V$4, $L$6)</f>
        <v>9.5899674924881424</v>
      </c>
      <c r="F60">
        <f>_xll.ORF.BARRBS($I$3,$I$4,$I$5,$I$6,$L$9, $I$10,_xll.ORF.SPOTRATE($I$12,$I$10),$I$13,$I$14)</f>
        <v>9.5879877809293088</v>
      </c>
      <c r="G60" s="19">
        <f t="shared" si="23"/>
        <v>1.9797115588335856E-3</v>
      </c>
      <c r="H60" s="3">
        <f t="shared" si="25"/>
        <v>5.4009434982179444E-5</v>
      </c>
      <c r="I60">
        <f t="shared" si="26"/>
        <v>1.7283019194297422E-3</v>
      </c>
      <c r="J60" s="31">
        <f>E60-E59</f>
        <v>-1.9567300154026412E-3</v>
      </c>
      <c r="K60" s="32">
        <f t="shared" si="28"/>
        <v>0.53012165162208225</v>
      </c>
    </row>
    <row r="62" spans="1:11" x14ac:dyDescent="0.45">
      <c r="I62" s="14" t="s">
        <v>55</v>
      </c>
    </row>
  </sheetData>
  <mergeCells count="2">
    <mergeCell ref="I23:M23"/>
    <mergeCell ref="D7:F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AC70-D975-4154-86D5-5E10E702D18F}">
  <dimension ref="A1:V62"/>
  <sheetViews>
    <sheetView topLeftCell="I15" workbookViewId="0">
      <selection activeCell="X85" sqref="X85"/>
    </sheetView>
  </sheetViews>
  <sheetFormatPr defaultRowHeight="14.25" x14ac:dyDescent="0.45"/>
  <cols>
    <col min="1" max="1" width="30.33203125" customWidth="1"/>
    <col min="2" max="2" width="13.9296875" customWidth="1"/>
    <col min="3" max="3" width="12.06640625" customWidth="1"/>
    <col min="5" max="5" width="26.86328125" customWidth="1"/>
    <col min="6" max="6" width="15.46484375" customWidth="1"/>
    <col min="7" max="7" width="13.796875" customWidth="1"/>
    <col min="8" max="8" width="20.33203125" customWidth="1"/>
    <col min="9" max="9" width="11.9296875" customWidth="1"/>
    <col min="10" max="10" width="14.33203125" customWidth="1"/>
    <col min="11" max="11" width="11.9296875" customWidth="1"/>
  </cols>
  <sheetData>
    <row r="1" spans="1:22" ht="15.75" x14ac:dyDescent="0.5">
      <c r="A1" s="1" t="s">
        <v>63</v>
      </c>
      <c r="K1" s="14" t="s">
        <v>42</v>
      </c>
    </row>
    <row r="2" spans="1:22" x14ac:dyDescent="0.45">
      <c r="H2" s="2" t="s">
        <v>1</v>
      </c>
      <c r="K2" t="str">
        <f t="array" ref="K2:K4">TRANSPOSE($B$15:$D$15)</f>
        <v>NTimeSteps</v>
      </c>
      <c r="L2">
        <f t="array" ref="L2:L4">TRANSPOSE($B$16:$D$16)</f>
        <v>100</v>
      </c>
      <c r="M2" t="str">
        <f t="array" ref="M2:M4">TRANSPOSE($B$15:$D$15)</f>
        <v>NTimeSteps</v>
      </c>
      <c r="N2">
        <f t="array" ref="N2:N4">TRANSPOSE($B$17:$D$17)</f>
        <v>200</v>
      </c>
      <c r="O2" t="str">
        <f t="array" ref="O2:O4">TRANSPOSE($B$15:$D$15)</f>
        <v>NTimeSteps</v>
      </c>
      <c r="P2">
        <f t="array" ref="P2:P4">TRANSPOSE($B$18:$D$18)</f>
        <v>400</v>
      </c>
      <c r="Q2" t="str">
        <f t="array" ref="Q2:Q4">TRANSPOSE($B$15:$D$15)</f>
        <v>NTimeSteps</v>
      </c>
      <c r="R2">
        <f t="array" ref="R2:R4">TRANSPOSE($B$19:$D$19)</f>
        <v>800</v>
      </c>
      <c r="S2" t="str">
        <f t="array" ref="S2:S4">TRANSPOSE($B$15:$D$15)</f>
        <v>NTimeSteps</v>
      </c>
      <c r="T2">
        <f t="array" ref="T2:T4">TRANSPOSE($B$20:$D$20)</f>
        <v>1600</v>
      </c>
      <c r="U2" t="str">
        <f t="array" ref="U2:U4">TRANSPOSE($B$15:$D$15)</f>
        <v>NTimeSteps</v>
      </c>
      <c r="V2">
        <f t="array" ref="V2:V4">TRANSPOSE($B$21:$D$21)</f>
        <v>3200</v>
      </c>
    </row>
    <row r="3" spans="1:22" x14ac:dyDescent="0.45">
      <c r="A3" t="s">
        <v>2</v>
      </c>
      <c r="B3" s="3" t="s">
        <v>3</v>
      </c>
      <c r="D3" t="s">
        <v>4</v>
      </c>
      <c r="H3" t="s">
        <v>5</v>
      </c>
      <c r="I3" s="3">
        <v>1</v>
      </c>
      <c r="K3" t="str">
        <v>NSpotNodes</v>
      </c>
      <c r="L3">
        <v>100</v>
      </c>
      <c r="M3" t="str">
        <v>NSpotNodes</v>
      </c>
      <c r="N3">
        <v>200</v>
      </c>
      <c r="O3" t="str">
        <v>NSpotNodes</v>
      </c>
      <c r="P3">
        <v>400</v>
      </c>
      <c r="Q3" t="str">
        <v>NSpotNodes</v>
      </c>
      <c r="R3">
        <v>800</v>
      </c>
      <c r="S3" t="str">
        <v>NSpotNodes</v>
      </c>
      <c r="T3">
        <v>1600</v>
      </c>
      <c r="U3" t="str">
        <v>NSpotNodes</v>
      </c>
      <c r="V3">
        <v>3200</v>
      </c>
    </row>
    <row r="4" spans="1:22" x14ac:dyDescent="0.45">
      <c r="A4" t="s">
        <v>6</v>
      </c>
      <c r="B4" s="10">
        <v>0</v>
      </c>
      <c r="D4" s="4" t="str">
        <f t="array" ref="D4">_xll.ORF.YCCREATE($B$3, A6:A11, B6:B11,$B$4)</f>
        <v>USD¤4</v>
      </c>
      <c r="H4" t="s">
        <v>20</v>
      </c>
      <c r="I4" t="s">
        <v>23</v>
      </c>
      <c r="K4" t="str">
        <v>Theta</v>
      </c>
      <c r="L4">
        <v>1</v>
      </c>
      <c r="M4" t="str">
        <v>Theta</v>
      </c>
      <c r="N4">
        <v>1</v>
      </c>
      <c r="O4" t="str">
        <v>Theta</v>
      </c>
      <c r="P4">
        <v>1</v>
      </c>
      <c r="Q4" t="str">
        <v>Theta</v>
      </c>
      <c r="R4">
        <v>1</v>
      </c>
      <c r="S4" t="str">
        <v>Theta</v>
      </c>
      <c r="T4">
        <v>1</v>
      </c>
      <c r="U4" t="str">
        <v>Theta</v>
      </c>
      <c r="V4">
        <v>1</v>
      </c>
    </row>
    <row r="5" spans="1:22" x14ac:dyDescent="0.45">
      <c r="A5" t="s">
        <v>8</v>
      </c>
      <c r="B5" s="9" t="s">
        <v>9</v>
      </c>
      <c r="H5" t="s">
        <v>11</v>
      </c>
      <c r="I5" s="5">
        <v>100</v>
      </c>
    </row>
    <row r="6" spans="1:22" x14ac:dyDescent="0.45">
      <c r="A6" s="6">
        <f>1/12</f>
        <v>8.3333333333333329E-2</v>
      </c>
      <c r="B6" s="7">
        <v>0</v>
      </c>
      <c r="E6" s="22" t="s">
        <v>52</v>
      </c>
      <c r="H6" t="s">
        <v>7</v>
      </c>
      <c r="I6" s="5">
        <v>100</v>
      </c>
      <c r="K6" t="s">
        <v>46</v>
      </c>
      <c r="L6">
        <v>1</v>
      </c>
    </row>
    <row r="7" spans="1:22" x14ac:dyDescent="0.45">
      <c r="A7" s="3">
        <f>1/4</f>
        <v>0.25</v>
      </c>
      <c r="B7" s="7">
        <v>0</v>
      </c>
      <c r="D7" s="41" t="s">
        <v>48</v>
      </c>
      <c r="E7" s="41"/>
      <c r="F7" s="41"/>
      <c r="I7" t="s">
        <v>25</v>
      </c>
    </row>
    <row r="8" spans="1:22" ht="14.25" customHeight="1" x14ac:dyDescent="0.45">
      <c r="A8" s="3">
        <f>1/2</f>
        <v>0.5</v>
      </c>
      <c r="B8" s="7">
        <v>0</v>
      </c>
      <c r="D8" s="41"/>
      <c r="E8" s="41"/>
      <c r="F8" s="41"/>
      <c r="H8" t="s">
        <v>21</v>
      </c>
      <c r="I8">
        <v>110</v>
      </c>
      <c r="J8">
        <v>125</v>
      </c>
      <c r="K8">
        <v>150</v>
      </c>
      <c r="L8">
        <v>200</v>
      </c>
    </row>
    <row r="9" spans="1:22" x14ac:dyDescent="0.45">
      <c r="A9" s="3">
        <f>3/4</f>
        <v>0.75</v>
      </c>
      <c r="B9" s="7">
        <v>0</v>
      </c>
      <c r="D9" s="41"/>
      <c r="E9" s="41"/>
      <c r="F9" s="41"/>
      <c r="G9">
        <v>1</v>
      </c>
      <c r="H9" s="14" t="s">
        <v>47</v>
      </c>
      <c r="I9" s="20">
        <f>I8*EXP(0.5826*$I$14*SQRT(1/365))</f>
        <v>110.84180839486365</v>
      </c>
      <c r="J9" s="20">
        <f>J8*EXP(0.5826*$I$14*SQRT(1/365))</f>
        <v>125.95660044870868</v>
      </c>
      <c r="K9" s="20">
        <f>K8*EXP(0.5826*$I$14*SQRT(1/365))</f>
        <v>151.14792053845042</v>
      </c>
      <c r="L9" s="20">
        <f>L8*EXP(0.5826*$I$14*SQRT(1/365))</f>
        <v>201.53056071793389</v>
      </c>
    </row>
    <row r="10" spans="1:22" x14ac:dyDescent="0.45">
      <c r="A10" s="3">
        <v>1</v>
      </c>
      <c r="B10" s="7">
        <v>0</v>
      </c>
      <c r="D10" s="11"/>
      <c r="E10" s="11"/>
      <c r="F10" s="11"/>
      <c r="H10" t="s">
        <v>10</v>
      </c>
      <c r="I10" s="5">
        <v>1</v>
      </c>
      <c r="K10" t="s">
        <v>39</v>
      </c>
    </row>
    <row r="11" spans="1:22" x14ac:dyDescent="0.45">
      <c r="A11" s="3">
        <v>2</v>
      </c>
      <c r="B11" s="7">
        <v>0</v>
      </c>
      <c r="H11" t="s">
        <v>22</v>
      </c>
      <c r="I11" s="12">
        <v>2</v>
      </c>
      <c r="K11">
        <v>12</v>
      </c>
      <c r="L11">
        <v>52</v>
      </c>
      <c r="M11">
        <v>365</v>
      </c>
    </row>
    <row r="12" spans="1:22" x14ac:dyDescent="0.45">
      <c r="A12" s="3"/>
      <c r="B12" s="7"/>
      <c r="D12" t="s">
        <v>19</v>
      </c>
      <c r="E12">
        <v>1</v>
      </c>
      <c r="H12" t="s">
        <v>12</v>
      </c>
      <c r="I12" s="5" t="str">
        <f>D4</f>
        <v>USD¤4</v>
      </c>
      <c r="L12" t="s">
        <v>37</v>
      </c>
    </row>
    <row r="13" spans="1:22" x14ac:dyDescent="0.45">
      <c r="A13" t="s">
        <v>53</v>
      </c>
      <c r="B13" s="12">
        <v>100</v>
      </c>
      <c r="C13">
        <v>100</v>
      </c>
      <c r="H13" t="s">
        <v>13</v>
      </c>
      <c r="I13" s="7">
        <v>0</v>
      </c>
      <c r="L13" t="s">
        <v>38</v>
      </c>
    </row>
    <row r="14" spans="1:22" x14ac:dyDescent="0.45">
      <c r="A14" s="18" t="s">
        <v>41</v>
      </c>
      <c r="H14" t="s">
        <v>14</v>
      </c>
      <c r="I14" s="7">
        <v>0.25</v>
      </c>
    </row>
    <row r="15" spans="1:22" ht="28.5" x14ac:dyDescent="0.45">
      <c r="A15" s="14" t="s">
        <v>40</v>
      </c>
      <c r="B15" s="17" t="s">
        <v>16</v>
      </c>
      <c r="C15" s="17" t="s">
        <v>17</v>
      </c>
      <c r="D15" s="14" t="s">
        <v>19</v>
      </c>
      <c r="E15" s="14" t="s">
        <v>56</v>
      </c>
      <c r="F15" s="11" t="s">
        <v>49</v>
      </c>
      <c r="G15" s="14" t="s">
        <v>43</v>
      </c>
      <c r="H15" s="14" t="s">
        <v>44</v>
      </c>
      <c r="I15" s="14" t="s">
        <v>45</v>
      </c>
      <c r="J15" s="23" t="s">
        <v>50</v>
      </c>
      <c r="K15" s="23" t="s">
        <v>51</v>
      </c>
    </row>
    <row r="16" spans="1:22" x14ac:dyDescent="0.45">
      <c r="A16">
        <v>1</v>
      </c>
      <c r="B16" s="12">
        <f>B13</f>
        <v>100</v>
      </c>
      <c r="C16">
        <f>C13</f>
        <v>100</v>
      </c>
      <c r="D16">
        <f>$E$12</f>
        <v>1</v>
      </c>
      <c r="E16">
        <f t="array" ref="E16">_xll.ORF.BARRBSPDE($I$3,$I$6,$I$10,$I$5,I$8,$I$11,$I$4,$I$12,$I$13,$I$14,$K$2:$L$4, $L$6)</f>
        <v>7.0852408552495028E-2</v>
      </c>
      <c r="F16">
        <f>_xll.ORF.BARRBS($I$3,$I$4,$I$5,$I$6,$I$9, $I$10,_xll.ORF.SPOTRATE($I$12,$I$10),$I$13,$I$14)</f>
        <v>8.5056611235126311E-2</v>
      </c>
      <c r="G16" s="19">
        <f>ABS(E16-F16)</f>
        <v>1.4204202682631284E-2</v>
      </c>
      <c r="H16" s="16">
        <f>G16</f>
        <v>1.4204202682631284E-2</v>
      </c>
      <c r="I16" s="16">
        <f>H16</f>
        <v>1.4204202682631284E-2</v>
      </c>
      <c r="J16" s="24"/>
      <c r="K16" s="25"/>
    </row>
    <row r="17" spans="1:13" x14ac:dyDescent="0.45">
      <c r="A17">
        <v>2</v>
      </c>
      <c r="B17" s="21">
        <f>B16*2</f>
        <v>200</v>
      </c>
      <c r="C17">
        <f>C16*2</f>
        <v>200</v>
      </c>
      <c r="D17">
        <f t="shared" ref="D17:D21" si="0">$E$12</f>
        <v>1</v>
      </c>
      <c r="E17">
        <f>_xll.ORF.BARRBSPDE($I$3,$I$6,$I$10,$I$5,I$8,$I$11,$I$4,$I$12,$I$13,$I$14,$M$2:$N$4, $L$6)</f>
        <v>7.7545118110479122E-2</v>
      </c>
      <c r="F17">
        <f>_xll.ORF.BARRBS($I$3,$I$4,$I$5,$I$6,$I$9, $I$10,_xll.ORF.SPOTRATE($I$12,$I$10),$I$13,$I$14)</f>
        <v>8.5056611235126311E-2</v>
      </c>
      <c r="G17" s="19">
        <f t="shared" ref="G17:G21" si="1">ABS(E17-F17)</f>
        <v>7.5114931246471894E-3</v>
      </c>
      <c r="H17" s="3">
        <f>H16/4</f>
        <v>3.551050670657821E-3</v>
      </c>
      <c r="I17">
        <f>I16/2</f>
        <v>7.102101341315642E-3</v>
      </c>
      <c r="J17" s="26">
        <f>E17-E16</f>
        <v>6.6927095579840945E-3</v>
      </c>
      <c r="K17" s="26"/>
    </row>
    <row r="18" spans="1:13" x14ac:dyDescent="0.45">
      <c r="A18">
        <v>3</v>
      </c>
      <c r="B18">
        <f t="shared" ref="B18:C21" si="2">B17*2</f>
        <v>400</v>
      </c>
      <c r="C18">
        <f t="shared" si="2"/>
        <v>400</v>
      </c>
      <c r="D18">
        <f t="shared" si="0"/>
        <v>1</v>
      </c>
      <c r="E18">
        <f>_xll.ORF.BARRBSPDE($I$3,$I$6,$I$10,$I$5,I$8,$I$11,$I$4,$I$12,$I$13,$I$14,$O$2:$P$4, $L$6)</f>
        <v>8.2371224789871619E-2</v>
      </c>
      <c r="F18">
        <f>_xll.ORF.BARRBS($I$3,$I$4,$I$5,$I$6,$I$9, $I$10,_xll.ORF.SPOTRATE($I$12,$I$10),$I$13,$I$14)</f>
        <v>8.5056611235126311E-2</v>
      </c>
      <c r="G18" s="19">
        <f t="shared" si="1"/>
        <v>2.6853864452546922E-3</v>
      </c>
      <c r="H18" s="3">
        <f t="shared" ref="H18:H21" si="3">H17/4</f>
        <v>8.8776266766445525E-4</v>
      </c>
      <c r="I18">
        <f t="shared" ref="I18:I21" si="4">I17/2</f>
        <v>3.551050670657821E-3</v>
      </c>
      <c r="J18" s="26">
        <f>E18-E17</f>
        <v>4.8261066793924973E-3</v>
      </c>
      <c r="K18" s="27">
        <f>J18/J17</f>
        <v>0.72109907617837299</v>
      </c>
    </row>
    <row r="19" spans="1:13" x14ac:dyDescent="0.45">
      <c r="A19">
        <v>4</v>
      </c>
      <c r="B19">
        <f t="shared" si="2"/>
        <v>800</v>
      </c>
      <c r="C19">
        <f t="shared" si="2"/>
        <v>800</v>
      </c>
      <c r="D19">
        <f t="shared" si="0"/>
        <v>1</v>
      </c>
      <c r="E19">
        <f>_xll.ORF.BARRBSPDE($I$3,$I$6,$I$10,$I$5,I$8,$I$11,$I$4,$I$12,$I$13,$I$14,$Q$2:$R$4, $L$6)</f>
        <v>8.3548263863053029E-2</v>
      </c>
      <c r="F19">
        <f>_xll.ORF.BARRBS($I$3,$I$4,$I$5,$I$6,$I$9, $I$10,_xll.ORF.SPOTRATE($I$12,$I$10),$I$13,$I$14)</f>
        <v>8.5056611235126311E-2</v>
      </c>
      <c r="G19" s="19">
        <f t="shared" si="1"/>
        <v>1.5083473720732821E-3</v>
      </c>
      <c r="H19" s="3">
        <f t="shared" si="3"/>
        <v>2.2194066691611381E-4</v>
      </c>
      <c r="I19">
        <f t="shared" si="4"/>
        <v>1.7755253353289105E-3</v>
      </c>
      <c r="J19" s="26">
        <f>E19-E18</f>
        <v>1.1770390731814101E-3</v>
      </c>
      <c r="K19" s="27">
        <f t="shared" ref="K19:K21" si="5">J19/J18</f>
        <v>0.24388998241737456</v>
      </c>
    </row>
    <row r="20" spans="1:13" x14ac:dyDescent="0.45">
      <c r="A20">
        <v>5</v>
      </c>
      <c r="B20">
        <f t="shared" si="2"/>
        <v>1600</v>
      </c>
      <c r="C20">
        <f t="shared" si="2"/>
        <v>1600</v>
      </c>
      <c r="D20">
        <f t="shared" si="0"/>
        <v>1</v>
      </c>
      <c r="E20">
        <f>_xll.ORF.BARRBSPDE($I$3,$I$6,$I$10,$I$5,I$8,$I$11,$I$4,$I$12,$I$13,$I$14,$S$2:$T$4, $L$6)</f>
        <v>8.4284586507527445E-2</v>
      </c>
      <c r="F20">
        <f>_xll.ORF.BARRBS($I$3,$I$4,$I$5,$I$6,$I$9, $I$10,_xll.ORF.SPOTRATE($I$12,$I$10),$I$13,$I$14)</f>
        <v>8.5056611235126311E-2</v>
      </c>
      <c r="G20" s="19">
        <f t="shared" si="1"/>
        <v>7.720247275988662E-4</v>
      </c>
      <c r="H20" s="3">
        <f t="shared" si="3"/>
        <v>5.5485166729028453E-5</v>
      </c>
      <c r="I20">
        <f t="shared" si="4"/>
        <v>8.8776266766445525E-4</v>
      </c>
      <c r="J20" s="26">
        <f>E20-E19</f>
        <v>7.3632264447441587E-4</v>
      </c>
      <c r="K20" s="27">
        <f t="shared" si="5"/>
        <v>0.62557196379574287</v>
      </c>
    </row>
    <row r="21" spans="1:13" x14ac:dyDescent="0.45">
      <c r="A21">
        <v>6</v>
      </c>
      <c r="B21">
        <f t="shared" si="2"/>
        <v>3200</v>
      </c>
      <c r="C21">
        <f t="shared" si="2"/>
        <v>3200</v>
      </c>
      <c r="D21">
        <f t="shared" si="0"/>
        <v>1</v>
      </c>
      <c r="E21">
        <f>_xll.ORF.BARRBSPDE($I$3,$I$6,$I$10,$I$5,I$8,$I$11,$I$4,$I$12,$I$13,$I$14,$U$2:$V$4, $L$6)</f>
        <v>8.469245787094673E-2</v>
      </c>
      <c r="F21">
        <f>_xll.ORF.BARRBS($I$3,$I$4,$I$5,$I$6,$I$9, $I$10,_xll.ORF.SPOTRATE($I$12,$I$10),$I$13,$I$14)</f>
        <v>8.5056611235126311E-2</v>
      </c>
      <c r="G21" s="19">
        <f t="shared" si="1"/>
        <v>3.6415336417958133E-4</v>
      </c>
      <c r="H21" s="3">
        <f t="shared" si="3"/>
        <v>1.3871291682257113E-5</v>
      </c>
      <c r="I21">
        <f t="shared" si="4"/>
        <v>4.4388133383222762E-4</v>
      </c>
      <c r="J21" s="26">
        <f>E21-E20</f>
        <v>4.0787136341928487E-4</v>
      </c>
      <c r="K21" s="27">
        <f t="shared" si="5"/>
        <v>0.55393021860739022</v>
      </c>
    </row>
    <row r="23" spans="1:13" ht="42.75" x14ac:dyDescent="0.45">
      <c r="B23" t="s">
        <v>57</v>
      </c>
      <c r="H23" s="33" t="s">
        <v>58</v>
      </c>
      <c r="I23" s="40" t="s">
        <v>59</v>
      </c>
      <c r="J23" s="40"/>
      <c r="K23" s="40"/>
      <c r="L23" s="40"/>
      <c r="M23" s="40"/>
    </row>
    <row r="24" spans="1:13" ht="42.75" customHeight="1" x14ac:dyDescent="0.45">
      <c r="H24" s="42" t="s">
        <v>62</v>
      </c>
      <c r="I24" s="42"/>
      <c r="J24" s="14"/>
      <c r="K24" s="14"/>
      <c r="L24" s="14"/>
      <c r="M24" s="14"/>
    </row>
    <row r="25" spans="1:13" x14ac:dyDescent="0.45">
      <c r="I25" s="14"/>
      <c r="J25" s="13"/>
      <c r="K25" s="13"/>
      <c r="L25" s="13"/>
      <c r="M25" s="13"/>
    </row>
    <row r="26" spans="1:13" x14ac:dyDescent="0.45">
      <c r="I26" s="14" t="s">
        <v>55</v>
      </c>
      <c r="J26" s="13"/>
      <c r="K26" s="13"/>
      <c r="L26" s="13"/>
      <c r="M26" s="13"/>
    </row>
    <row r="27" spans="1:13" x14ac:dyDescent="0.45">
      <c r="I27" s="14"/>
      <c r="J27" s="13"/>
      <c r="K27" s="13"/>
      <c r="L27" s="13"/>
      <c r="M27" s="13"/>
    </row>
    <row r="29" spans="1:13" x14ac:dyDescent="0.45">
      <c r="A29" s="18" t="s">
        <v>54</v>
      </c>
    </row>
    <row r="30" spans="1:13" ht="28.5" x14ac:dyDescent="0.45">
      <c r="A30" s="14" t="s">
        <v>40</v>
      </c>
      <c r="B30" s="17" t="s">
        <v>16</v>
      </c>
      <c r="C30" s="17" t="s">
        <v>17</v>
      </c>
      <c r="D30" s="14" t="s">
        <v>19</v>
      </c>
      <c r="E30" s="14" t="s">
        <v>56</v>
      </c>
      <c r="F30" s="11" t="s">
        <v>49</v>
      </c>
      <c r="G30" s="14" t="s">
        <v>43</v>
      </c>
      <c r="H30" s="14" t="s">
        <v>44</v>
      </c>
      <c r="I30" s="14" t="s">
        <v>45</v>
      </c>
      <c r="J30" s="28" t="s">
        <v>50</v>
      </c>
      <c r="K30" s="28" t="s">
        <v>51</v>
      </c>
    </row>
    <row r="31" spans="1:13" x14ac:dyDescent="0.45">
      <c r="A31">
        <v>1</v>
      </c>
      <c r="B31" s="12">
        <f t="array" ref="B31:C31">B13:C13</f>
        <v>100</v>
      </c>
      <c r="C31">
        <v>100</v>
      </c>
      <c r="D31">
        <f>$E$12</f>
        <v>1</v>
      </c>
      <c r="E31">
        <f t="array" ref="E31">_xll.ORF.BARRBSPDE($I$3,$I$6,$I$10,$I$5,J$8,$I$11,$I$4,$I$12,$I$13,$I$14,$K$2:$L$4, $L$6)</f>
        <v>1.3484474120800605</v>
      </c>
      <c r="F31">
        <f>_xll.ORF.BARRBS($I$3,$I$4,$I$5,$I$6,$J$9, $I$10,_xll.ORF.SPOTRATE($I$12,$I$10),$I$13,$I$14)</f>
        <v>1.4311972628506684</v>
      </c>
      <c r="G31" s="19">
        <f>ABS(E31-F31)</f>
        <v>8.2749850770607924E-2</v>
      </c>
      <c r="H31" s="16">
        <f>G31</f>
        <v>8.2749850770607924E-2</v>
      </c>
      <c r="I31" s="16">
        <f>H31</f>
        <v>8.2749850770607924E-2</v>
      </c>
      <c r="J31" s="29"/>
      <c r="K31" s="30"/>
    </row>
    <row r="32" spans="1:13" x14ac:dyDescent="0.45">
      <c r="A32">
        <v>2</v>
      </c>
      <c r="B32">
        <f>B31*2</f>
        <v>200</v>
      </c>
      <c r="C32">
        <f>C31*2</f>
        <v>200</v>
      </c>
      <c r="D32">
        <f t="shared" ref="D32:D36" si="6">$E$12</f>
        <v>1</v>
      </c>
      <c r="E32">
        <f>_xll.ORF.BARRBSPDE($I$3,$I$6,$I$10,$I$5,J$8,$I$11,$I$4,$I$12,$I$13,$I$14,$M$2:$N$4, $L$6)</f>
        <v>1.3887744055171187</v>
      </c>
      <c r="F32">
        <f>_xll.ORF.BARRBS($I$3,$I$4,$I$5,$I$6,$J$9, $I$10,_xll.ORF.SPOTRATE($I$12,$I$10),$I$13,$I$14)</f>
        <v>1.4311972628506684</v>
      </c>
      <c r="G32" s="19">
        <f t="shared" ref="G32:G36" si="7">ABS(E32-F32)</f>
        <v>4.2422857333549668E-2</v>
      </c>
      <c r="H32" s="3">
        <f>H31/4</f>
        <v>2.0687462692651981E-2</v>
      </c>
      <c r="I32">
        <f>I31/2</f>
        <v>4.1374925385303962E-2</v>
      </c>
      <c r="J32" s="31">
        <f>E32-E31</f>
        <v>4.0326993437058256E-2</v>
      </c>
      <c r="K32" s="31"/>
    </row>
    <row r="33" spans="1:11" x14ac:dyDescent="0.45">
      <c r="A33">
        <v>3</v>
      </c>
      <c r="B33">
        <f t="shared" ref="B33:C36" si="8">B32*2</f>
        <v>400</v>
      </c>
      <c r="C33">
        <f t="shared" si="8"/>
        <v>400</v>
      </c>
      <c r="D33">
        <f t="shared" si="6"/>
        <v>1</v>
      </c>
      <c r="E33">
        <f>_xll.ORF.BARRBSPDE($I$3,$I$6,$I$10,$I$5,J$8,$I$11,$I$4,$I$12,$I$13,$I$14,$O$2:$P$4, $L$6)</f>
        <v>1.4191772077421398</v>
      </c>
      <c r="F33">
        <f>_xll.ORF.BARRBS($I$3,$I$4,$I$5,$I$6,$J$9, $I$10,_xll.ORF.SPOTRATE($I$12,$I$10),$I$13,$I$14)</f>
        <v>1.4311972628506684</v>
      </c>
      <c r="G33" s="19">
        <f t="shared" si="7"/>
        <v>1.2020055108528549E-2</v>
      </c>
      <c r="H33" s="3">
        <f t="shared" ref="H33:H36" si="9">H32/4</f>
        <v>5.1718656731629953E-3</v>
      </c>
      <c r="I33">
        <f t="shared" ref="I33:I36" si="10">I32/2</f>
        <v>2.0687462692651981E-2</v>
      </c>
      <c r="J33" s="31">
        <f>E33-E32</f>
        <v>3.0402802225021119E-2</v>
      </c>
      <c r="K33" s="32">
        <f>J33/J32</f>
        <v>0.7539069896810765</v>
      </c>
    </row>
    <row r="34" spans="1:11" x14ac:dyDescent="0.45">
      <c r="A34">
        <v>4</v>
      </c>
      <c r="B34">
        <f t="shared" si="8"/>
        <v>800</v>
      </c>
      <c r="C34">
        <f t="shared" si="8"/>
        <v>800</v>
      </c>
      <c r="D34">
        <f t="shared" si="6"/>
        <v>1</v>
      </c>
      <c r="E34">
        <f>_xll.ORF.BARRBSPDE($I$3,$I$6,$I$10,$I$5,J$8,$I$11,$I$4,$I$12,$I$13,$I$14,$Q$2:$R$4, $L$6)</f>
        <v>1.4241513903782868</v>
      </c>
      <c r="F34">
        <f>_xll.ORF.BARRBS($I$3,$I$4,$I$5,$I$6,$J$9, $I$10,_xll.ORF.SPOTRATE($I$12,$I$10),$I$13,$I$14)</f>
        <v>1.4311972628506684</v>
      </c>
      <c r="G34" s="19">
        <f t="shared" si="7"/>
        <v>7.0458724723816424E-3</v>
      </c>
      <c r="H34" s="3">
        <f t="shared" si="9"/>
        <v>1.2929664182907488E-3</v>
      </c>
      <c r="I34">
        <f t="shared" si="10"/>
        <v>1.0343731346325991E-2</v>
      </c>
      <c r="J34" s="31">
        <f>E34-E33</f>
        <v>4.9741826361469066E-3</v>
      </c>
      <c r="K34" s="32">
        <f t="shared" ref="K34:K36" si="11">J34/J33</f>
        <v>0.1636093475637985</v>
      </c>
    </row>
    <row r="35" spans="1:11" x14ac:dyDescent="0.45">
      <c r="A35">
        <v>5</v>
      </c>
      <c r="B35">
        <f t="shared" si="8"/>
        <v>1600</v>
      </c>
      <c r="C35">
        <f t="shared" si="8"/>
        <v>1600</v>
      </c>
      <c r="D35">
        <f t="shared" si="6"/>
        <v>1</v>
      </c>
      <c r="E35">
        <f>_xll.ORF.BARRBSPDE($I$3,$I$6,$I$10,$I$5,J$8,$I$11,$I$4,$I$12,$I$13,$I$14,$S$2:$T$4, $L$6)</f>
        <v>1.4277143950046851</v>
      </c>
      <c r="F35">
        <f>_xll.ORF.BARRBS($I$3,$I$4,$I$5,$I$6,$J$9, $I$10,_xll.ORF.SPOTRATE($I$12,$I$10),$I$13,$I$14)</f>
        <v>1.4311972628506684</v>
      </c>
      <c r="G35" s="19">
        <f t="shared" si="7"/>
        <v>3.482867845983284E-3</v>
      </c>
      <c r="H35" s="3">
        <f t="shared" si="9"/>
        <v>3.2324160457268721E-4</v>
      </c>
      <c r="I35">
        <f t="shared" si="10"/>
        <v>5.1718656731629953E-3</v>
      </c>
      <c r="J35" s="31">
        <f>E35-E34</f>
        <v>3.5630046263983584E-3</v>
      </c>
      <c r="K35" s="32">
        <f t="shared" si="11"/>
        <v>0.71629951833821837</v>
      </c>
    </row>
    <row r="36" spans="1:11" x14ac:dyDescent="0.45">
      <c r="A36">
        <v>6</v>
      </c>
      <c r="B36">
        <f t="shared" si="8"/>
        <v>3200</v>
      </c>
      <c r="C36">
        <f t="shared" si="8"/>
        <v>3200</v>
      </c>
      <c r="D36">
        <f t="shared" si="6"/>
        <v>1</v>
      </c>
      <c r="E36">
        <f>_xll.ORF.BARRBSPDE($I$3,$I$6,$I$10,$I$5,J$8,$I$11,$I$4,$I$12,$I$13,$I$14,$U$2:$V$4, $L$6)</f>
        <v>1.4296817135770725</v>
      </c>
      <c r="F36">
        <f>_xll.ORF.BARRBS($I$3,$I$4,$I$5,$I$6,$J$9, $I$10,_xll.ORF.SPOTRATE($I$12,$I$10),$I$13,$I$14)</f>
        <v>1.4311972628506684</v>
      </c>
      <c r="G36" s="19">
        <f t="shared" si="7"/>
        <v>1.5155492735958731E-3</v>
      </c>
      <c r="H36" s="3">
        <f t="shared" si="9"/>
        <v>8.0810401143171801E-5</v>
      </c>
      <c r="I36">
        <f t="shared" si="10"/>
        <v>2.5859328365814976E-3</v>
      </c>
      <c r="J36" s="31">
        <f>E36-E35</f>
        <v>1.9673185723874109E-3</v>
      </c>
      <c r="K36" s="32">
        <f t="shared" si="11"/>
        <v>0.55215156270399313</v>
      </c>
    </row>
    <row r="38" spans="1:11" x14ac:dyDescent="0.45">
      <c r="I38" s="14" t="s">
        <v>55</v>
      </c>
    </row>
    <row r="40" spans="1:11" x14ac:dyDescent="0.45">
      <c r="A40" s="18" t="s">
        <v>60</v>
      </c>
    </row>
    <row r="41" spans="1:11" ht="28.5" x14ac:dyDescent="0.45">
      <c r="A41" s="14" t="s">
        <v>40</v>
      </c>
      <c r="B41" s="17" t="s">
        <v>16</v>
      </c>
      <c r="C41" s="17" t="s">
        <v>17</v>
      </c>
      <c r="D41" s="14" t="s">
        <v>19</v>
      </c>
      <c r="E41" s="14" t="s">
        <v>56</v>
      </c>
      <c r="F41" s="11" t="s">
        <v>49</v>
      </c>
      <c r="G41" s="14" t="s">
        <v>43</v>
      </c>
      <c r="H41" s="14" t="s">
        <v>44</v>
      </c>
      <c r="I41" s="14" t="s">
        <v>45</v>
      </c>
      <c r="J41" s="28" t="s">
        <v>50</v>
      </c>
      <c r="K41" s="28" t="s">
        <v>51</v>
      </c>
    </row>
    <row r="42" spans="1:11" x14ac:dyDescent="0.45">
      <c r="A42">
        <v>1</v>
      </c>
      <c r="B42" s="12">
        <f t="array" ref="B42:C42">$B$13:$C$13</f>
        <v>100</v>
      </c>
      <c r="C42">
        <v>100</v>
      </c>
      <c r="D42">
        <f>$E$12</f>
        <v>1</v>
      </c>
      <c r="E42">
        <f>_xll.ORF.BARRBSPDE($I$3,$I$6,$I$10,$I$5,K$8,$I$11,$I$4,$I$12,$I$13,$I$14,$K$2:$L$4, $L$6)</f>
        <v>6.2248033963703904</v>
      </c>
      <c r="F42">
        <f>_xll.ORF.BARRBS($I$3,$I$4,$I$5,$I$6,$K$9, $I$10,_xll.ORF.SPOTRATE($I$12,$I$10),$I$13,$I$14)</f>
        <v>5.870175525056692</v>
      </c>
      <c r="G42" s="19">
        <f>ABS(E42-F42)</f>
        <v>0.35462787131369833</v>
      </c>
      <c r="H42" s="16">
        <f>G42</f>
        <v>0.35462787131369833</v>
      </c>
      <c r="I42" s="16">
        <f>H42</f>
        <v>0.35462787131369833</v>
      </c>
      <c r="J42" s="29"/>
      <c r="K42" s="30"/>
    </row>
    <row r="43" spans="1:11" x14ac:dyDescent="0.45">
      <c r="A43">
        <v>2</v>
      </c>
      <c r="B43">
        <f>B42*2</f>
        <v>200</v>
      </c>
      <c r="C43">
        <f>C42*2</f>
        <v>200</v>
      </c>
      <c r="D43">
        <f t="shared" ref="D43:D47" si="12">$E$12</f>
        <v>1</v>
      </c>
      <c r="E43">
        <f>_xll.ORF.BARRBSPDE($I$3,$I$6,$I$10,$I$5,K$8,$I$11,$I$4,$I$12,$I$13,$I$14,$M$2:$N$4, $L$6)</f>
        <v>6.0476815964994994</v>
      </c>
      <c r="F43">
        <f>_xll.ORF.BARRBS($I$3,$I$4,$I$5,$I$6,$K$9, $I$10,_xll.ORF.SPOTRATE($I$12,$I$10),$I$13,$I$14)</f>
        <v>5.870175525056692</v>
      </c>
      <c r="G43" s="19">
        <f t="shared" ref="G43:G47" si="13">ABS(E43-F43)</f>
        <v>0.17750607144280739</v>
      </c>
      <c r="H43" s="3">
        <f>H42/4</f>
        <v>8.8656967828424582E-2</v>
      </c>
      <c r="I43">
        <f>I42/2</f>
        <v>0.17731393565684916</v>
      </c>
      <c r="J43" s="31">
        <f>E43-E42</f>
        <v>-0.17712179987089094</v>
      </c>
      <c r="K43" s="31"/>
    </row>
    <row r="44" spans="1:11" x14ac:dyDescent="0.45">
      <c r="A44">
        <v>3</v>
      </c>
      <c r="B44">
        <f t="shared" ref="B44:C47" si="14">B43*2</f>
        <v>400</v>
      </c>
      <c r="C44">
        <f t="shared" si="14"/>
        <v>400</v>
      </c>
      <c r="D44">
        <f t="shared" si="12"/>
        <v>1</v>
      </c>
      <c r="E44">
        <f>_xll.ORF.BARRBSPDE($I$3,$I$6,$I$10,$I$5,K$8,$I$11,$I$4,$I$12,$I$13,$I$14,$O$2:$P$4, $L$6)</f>
        <v>5.9685013904369795</v>
      </c>
      <c r="F44">
        <f>_xll.ORF.BARRBS($I$3,$I$4,$I$5,$I$6,$K$9, $I$10,_xll.ORF.SPOTRATE($I$12,$I$10),$I$13,$I$14)</f>
        <v>5.870175525056692</v>
      </c>
      <c r="G44" s="19">
        <f t="shared" si="13"/>
        <v>9.8325865380287425E-2</v>
      </c>
      <c r="H44" s="3">
        <f t="shared" ref="H44:H47" si="15">H43/4</f>
        <v>2.2164241957106146E-2</v>
      </c>
      <c r="I44">
        <f t="shared" ref="I44:I47" si="16">I43/2</f>
        <v>8.8656967828424582E-2</v>
      </c>
      <c r="J44" s="31">
        <f>E44-E43</f>
        <v>-7.9180206062519964E-2</v>
      </c>
      <c r="K44" s="32">
        <f>J44/J43</f>
        <v>0.44703817441013272</v>
      </c>
    </row>
    <row r="45" spans="1:11" x14ac:dyDescent="0.45">
      <c r="A45">
        <v>4</v>
      </c>
      <c r="B45">
        <f t="shared" si="14"/>
        <v>800</v>
      </c>
      <c r="C45">
        <f t="shared" si="14"/>
        <v>800</v>
      </c>
      <c r="D45">
        <f t="shared" si="12"/>
        <v>1</v>
      </c>
      <c r="E45">
        <f>_xll.ORF.BARRBSPDE($I$3,$I$6,$I$10,$I$5,K$8,$I$11,$I$4,$I$12,$I$13,$I$14,$Q$2:$R$4, $L$6)</f>
        <v>5.9184965210492626</v>
      </c>
      <c r="F45">
        <f>_xll.ORF.BARRBS($I$3,$I$4,$I$5,$I$6,$K$9, $I$10,_xll.ORF.SPOTRATE($I$12,$I$10),$I$13,$I$14)</f>
        <v>5.870175525056692</v>
      </c>
      <c r="G45" s="19">
        <f t="shared" si="13"/>
        <v>4.8320995992570559E-2</v>
      </c>
      <c r="H45" s="3">
        <f t="shared" si="15"/>
        <v>5.5410604892765364E-3</v>
      </c>
      <c r="I45">
        <f t="shared" si="16"/>
        <v>4.4328483914212291E-2</v>
      </c>
      <c r="J45" s="31">
        <f>E45-E44</f>
        <v>-5.0004869387716866E-2</v>
      </c>
      <c r="K45" s="32">
        <f t="shared" ref="K45:K47" si="17">J45/J44</f>
        <v>0.6315324482514415</v>
      </c>
    </row>
    <row r="46" spans="1:11" x14ac:dyDescent="0.45">
      <c r="A46">
        <v>5</v>
      </c>
      <c r="B46">
        <f t="shared" si="14"/>
        <v>1600</v>
      </c>
      <c r="C46">
        <f t="shared" si="14"/>
        <v>1600</v>
      </c>
      <c r="D46">
        <f t="shared" si="12"/>
        <v>1</v>
      </c>
      <c r="E46">
        <f>_xll.ORF.BARRBSPDE($I$3,$I$6,$I$10,$I$5,K$8,$I$11,$I$4,$I$12,$I$13,$I$14,$S$2:$T$4, $L$6)</f>
        <v>5.8945266905015643</v>
      </c>
      <c r="F46">
        <f>_xll.ORF.BARRBS($I$3,$I$4,$I$5,$I$6,$K$9, $I$10,_xll.ORF.SPOTRATE($I$12,$I$10),$I$13,$I$14)</f>
        <v>5.870175525056692</v>
      </c>
      <c r="G46" s="19">
        <f t="shared" si="13"/>
        <v>2.4351165444872258E-2</v>
      </c>
      <c r="H46" s="3">
        <f t="shared" si="15"/>
        <v>1.3852651223191341E-3</v>
      </c>
      <c r="I46">
        <f t="shared" si="16"/>
        <v>2.2164241957106146E-2</v>
      </c>
      <c r="J46" s="31">
        <f>E46-E45</f>
        <v>-2.3969830547698301E-2</v>
      </c>
      <c r="K46" s="32">
        <f t="shared" si="17"/>
        <v>0.47934992814092264</v>
      </c>
    </row>
    <row r="47" spans="1:11" x14ac:dyDescent="0.45">
      <c r="A47">
        <v>6</v>
      </c>
      <c r="B47">
        <f t="shared" si="14"/>
        <v>3200</v>
      </c>
      <c r="C47">
        <f t="shared" si="14"/>
        <v>3200</v>
      </c>
      <c r="D47">
        <f t="shared" si="12"/>
        <v>1</v>
      </c>
      <c r="E47">
        <f>_xll.ORF.BARRBSPDE($I$3,$I$6,$I$10,$I$5,K$8,$I$11,$I$4,$I$12,$I$13,$I$14,$U$2:$V$4, $L$6)</f>
        <v>5.8827011761556136</v>
      </c>
      <c r="F47">
        <f>_xll.ORF.BARRBS($I$3,$I$4,$I$5,$I$6,$K$9, $I$10,_xll.ORF.SPOTRATE($I$12,$I$10),$I$13,$I$14)</f>
        <v>5.870175525056692</v>
      </c>
      <c r="G47" s="19">
        <f t="shared" si="13"/>
        <v>1.2525651098921564E-2</v>
      </c>
      <c r="H47" s="3">
        <f t="shared" si="15"/>
        <v>3.4631628057978352E-4</v>
      </c>
      <c r="I47">
        <f t="shared" si="16"/>
        <v>1.1082120978553073E-2</v>
      </c>
      <c r="J47" s="31">
        <f>E47-E46</f>
        <v>-1.1825514345950694E-2</v>
      </c>
      <c r="K47" s="32">
        <f t="shared" si="17"/>
        <v>0.4933499351369523</v>
      </c>
    </row>
    <row r="49" spans="1:11" x14ac:dyDescent="0.45">
      <c r="I49" s="14" t="s">
        <v>55</v>
      </c>
    </row>
    <row r="53" spans="1:11" x14ac:dyDescent="0.45">
      <c r="A53" s="18" t="s">
        <v>60</v>
      </c>
    </row>
    <row r="54" spans="1:11" ht="28.5" x14ac:dyDescent="0.45">
      <c r="A54" s="14" t="s">
        <v>40</v>
      </c>
      <c r="B54" s="17" t="s">
        <v>16</v>
      </c>
      <c r="C54" s="17" t="s">
        <v>17</v>
      </c>
      <c r="D54" s="14" t="s">
        <v>19</v>
      </c>
      <c r="E54" s="14" t="s">
        <v>56</v>
      </c>
      <c r="F54" s="11" t="s">
        <v>49</v>
      </c>
      <c r="G54" s="14" t="s">
        <v>43</v>
      </c>
      <c r="H54" s="14" t="s">
        <v>44</v>
      </c>
      <c r="I54" s="14" t="s">
        <v>45</v>
      </c>
      <c r="J54" s="28" t="s">
        <v>50</v>
      </c>
      <c r="K54" s="28" t="s">
        <v>51</v>
      </c>
    </row>
    <row r="55" spans="1:11" x14ac:dyDescent="0.45">
      <c r="A55">
        <v>1</v>
      </c>
      <c r="B55" s="12">
        <f t="array" ref="B55:C55">$B$13:$C$13</f>
        <v>100</v>
      </c>
      <c r="C55">
        <v>100</v>
      </c>
      <c r="D55">
        <f>$E$12</f>
        <v>1</v>
      </c>
      <c r="E55">
        <f>_xll.ORF.BARRBSPDE($I$3,$I$6,$I$10,$I$5,L$8,$I$11,$I$4,$I$12,$I$13,$I$14,$K$2:$L$4, $L$6)</f>
        <v>9.6400755629535784</v>
      </c>
      <c r="F55">
        <f>_xll.ORF.BARRBS($I$3,$I$4,$I$5,$I$6,$L$9, $I$10,_xll.ORF.SPOTRATE($I$12,$I$10),$I$13,$I$14)</f>
        <v>9.5879877809293088</v>
      </c>
      <c r="G55" s="19">
        <f>ABS(E55-F55)</f>
        <v>5.2087782024269558E-2</v>
      </c>
      <c r="H55" s="16">
        <f>G55</f>
        <v>5.2087782024269558E-2</v>
      </c>
      <c r="I55" s="16">
        <f>H55</f>
        <v>5.2087782024269558E-2</v>
      </c>
      <c r="J55" s="29"/>
      <c r="K55" s="30"/>
    </row>
    <row r="56" spans="1:11" x14ac:dyDescent="0.45">
      <c r="A56">
        <v>2</v>
      </c>
      <c r="B56">
        <f>B55*2</f>
        <v>200</v>
      </c>
      <c r="C56">
        <f>C55*2</f>
        <v>200</v>
      </c>
      <c r="D56">
        <f t="shared" ref="D56:D60" si="18">$E$12</f>
        <v>1</v>
      </c>
      <c r="E56">
        <f>_xll.ORF.BARRBSPDE($I$3,$I$6,$I$10,$I$5,L$8,$I$11,$I$4,$I$12,$I$13,$I$14,$M$2:$N$4, $L$6)</f>
        <v>9.6092567556424147</v>
      </c>
      <c r="F56">
        <f>_xll.ORF.BARRBS($I$3,$I$4,$I$5,$I$6,$L$9, $I$10,_xll.ORF.SPOTRATE($I$12,$I$10),$I$13,$I$14)</f>
        <v>9.5879877809293088</v>
      </c>
      <c r="G56" s="19">
        <f t="shared" ref="G56:G60" si="19">ABS(E56-F56)</f>
        <v>2.1268974713105848E-2</v>
      </c>
      <c r="H56" s="3">
        <f>H55/4</f>
        <v>1.3021945506067389E-2</v>
      </c>
      <c r="I56">
        <f>I55/2</f>
        <v>2.6043891012134779E-2</v>
      </c>
      <c r="J56" s="31">
        <f>E56-E55</f>
        <v>-3.081880731116371E-2</v>
      </c>
      <c r="K56" s="31"/>
    </row>
    <row r="57" spans="1:11" x14ac:dyDescent="0.45">
      <c r="A57">
        <v>3</v>
      </c>
      <c r="B57">
        <f t="shared" ref="B57:C60" si="20">B56*2</f>
        <v>400</v>
      </c>
      <c r="C57">
        <f t="shared" si="20"/>
        <v>400</v>
      </c>
      <c r="D57">
        <f t="shared" si="18"/>
        <v>1</v>
      </c>
      <c r="E57">
        <f>_xll.ORF.BARRBSPDE($I$3,$I$6,$I$10,$I$5,L$8,$I$11,$I$4,$I$12,$I$13,$I$14,$O$2:$P$4, $L$6)</f>
        <v>9.5954581695530834</v>
      </c>
      <c r="F57">
        <f>_xll.ORF.BARRBS($I$3,$I$4,$I$5,$I$6,$L$9, $I$10,_xll.ORF.SPOTRATE($I$12,$I$10),$I$13,$I$14)</f>
        <v>9.5879877809293088</v>
      </c>
      <c r="G57" s="19">
        <f t="shared" si="19"/>
        <v>7.470388623774582E-3</v>
      </c>
      <c r="H57" s="3">
        <f t="shared" ref="H57:H60" si="21">H56/4</f>
        <v>3.2554863765168474E-3</v>
      </c>
      <c r="I57">
        <f t="shared" ref="I57:I60" si="22">I56/2</f>
        <v>1.3021945506067389E-2</v>
      </c>
      <c r="J57" s="31">
        <f>E57-E56</f>
        <v>-1.3798586089331266E-2</v>
      </c>
      <c r="K57" s="32">
        <f>J57/J56</f>
        <v>0.44773264422640097</v>
      </c>
    </row>
    <row r="58" spans="1:11" x14ac:dyDescent="0.45">
      <c r="A58">
        <v>4</v>
      </c>
      <c r="B58">
        <f t="shared" si="20"/>
        <v>800</v>
      </c>
      <c r="C58">
        <f t="shared" si="20"/>
        <v>800</v>
      </c>
      <c r="D58">
        <f t="shared" si="18"/>
        <v>1</v>
      </c>
      <c r="E58">
        <f>_xll.ORF.BARRBSPDE($I$3,$I$6,$I$10,$I$5,L$8,$I$11,$I$4,$I$12,$I$13,$I$14,$Q$2:$R$4, $L$6)</f>
        <v>9.59175828805542</v>
      </c>
      <c r="F58">
        <f>_xll.ORF.BARRBS($I$3,$I$4,$I$5,$I$6,$L$9, $I$10,_xll.ORF.SPOTRATE($I$12,$I$10),$I$13,$I$14)</f>
        <v>9.5879877809293088</v>
      </c>
      <c r="G58" s="19">
        <f t="shared" si="19"/>
        <v>3.7705071261111556E-3</v>
      </c>
      <c r="H58" s="3">
        <f t="shared" si="21"/>
        <v>8.1387159412921184E-4</v>
      </c>
      <c r="I58">
        <f t="shared" si="22"/>
        <v>6.5109727530336947E-3</v>
      </c>
      <c r="J58" s="31">
        <f>E58-E57</f>
        <v>-3.6998814976634264E-3</v>
      </c>
      <c r="K58" s="32">
        <f t="shared" ref="K58:K60" si="23">J58/J57</f>
        <v>0.26813482727220039</v>
      </c>
    </row>
    <row r="59" spans="1:11" x14ac:dyDescent="0.45">
      <c r="A59">
        <v>5</v>
      </c>
      <c r="B59">
        <f t="shared" si="20"/>
        <v>1600</v>
      </c>
      <c r="C59">
        <f t="shared" si="20"/>
        <v>1600</v>
      </c>
      <c r="D59">
        <f t="shared" si="18"/>
        <v>1</v>
      </c>
      <c r="E59">
        <f>_xll.ORF.BARRBSPDE($I$3,$I$6,$I$10,$I$5,L$8,$I$11,$I$4,$I$12,$I$13,$I$14,$S$2:$T$4, $L$6)</f>
        <v>9.5899190217089707</v>
      </c>
      <c r="F59">
        <f>_xll.ORF.BARRBS($I$3,$I$4,$I$5,$I$6,$L$9, $I$10,_xll.ORF.SPOTRATE($I$12,$I$10),$I$13,$I$14)</f>
        <v>9.5879877809293088</v>
      </c>
      <c r="G59" s="19">
        <f t="shared" si="19"/>
        <v>1.9312407796618913E-3</v>
      </c>
      <c r="H59" s="3">
        <f t="shared" si="21"/>
        <v>2.0346789853230296E-4</v>
      </c>
      <c r="I59">
        <f t="shared" si="22"/>
        <v>3.2554863765168474E-3</v>
      </c>
      <c r="J59" s="31">
        <f>E59-E58</f>
        <v>-1.8392663464492642E-3</v>
      </c>
      <c r="K59" s="32">
        <f t="shared" si="23"/>
        <v>0.49711493398121259</v>
      </c>
    </row>
    <row r="60" spans="1:11" x14ac:dyDescent="0.45">
      <c r="A60">
        <v>6</v>
      </c>
      <c r="B60">
        <f t="shared" si="20"/>
        <v>3200</v>
      </c>
      <c r="C60">
        <f t="shared" si="20"/>
        <v>3200</v>
      </c>
      <c r="D60">
        <f t="shared" si="18"/>
        <v>1</v>
      </c>
      <c r="E60">
        <f>_xll.ORF.BARRBSPDE($I$3,$I$6,$I$10,$I$5,L$8,$I$11,$I$4,$I$12,$I$13,$I$14,$U$2:$V$4, $L$6)</f>
        <v>9.5890339994604581</v>
      </c>
      <c r="F60">
        <f>_xll.ORF.BARRBS($I$3,$I$4,$I$5,$I$6,$L$9, $I$10,_xll.ORF.SPOTRATE($I$12,$I$10),$I$13,$I$14)</f>
        <v>9.5879877809293088</v>
      </c>
      <c r="G60" s="19">
        <f t="shared" si="19"/>
        <v>1.0462185311492789E-3</v>
      </c>
      <c r="H60" s="3">
        <f t="shared" si="21"/>
        <v>5.086697463307574E-5</v>
      </c>
      <c r="I60">
        <f t="shared" si="22"/>
        <v>1.6277431882584237E-3</v>
      </c>
      <c r="J60" s="31">
        <f>E60-E59</f>
        <v>-8.8502224851261246E-4</v>
      </c>
      <c r="K60" s="32">
        <f t="shared" si="23"/>
        <v>0.48118221171238379</v>
      </c>
    </row>
    <row r="62" spans="1:11" x14ac:dyDescent="0.45">
      <c r="I62" s="14" t="s">
        <v>55</v>
      </c>
    </row>
  </sheetData>
  <mergeCells count="3">
    <mergeCell ref="D7:F9"/>
    <mergeCell ref="I23:M23"/>
    <mergeCell ref="H24:I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81A3-EE80-4BBF-8FE3-01FE09873FC4}">
  <dimension ref="A1:U41"/>
  <sheetViews>
    <sheetView topLeftCell="A10" workbookViewId="0">
      <selection activeCell="F26" sqref="F26"/>
    </sheetView>
  </sheetViews>
  <sheetFormatPr defaultRowHeight="14.25" x14ac:dyDescent="0.45"/>
  <cols>
    <col min="1" max="1" width="10.86328125" customWidth="1"/>
    <col min="3" max="3" width="10.265625" customWidth="1"/>
    <col min="8" max="8" width="20.59765625" customWidth="1"/>
    <col min="9" max="9" width="39.33203125" customWidth="1"/>
  </cols>
  <sheetData>
    <row r="1" spans="1:17" ht="15.75" x14ac:dyDescent="0.5">
      <c r="A1" s="1" t="s">
        <v>65</v>
      </c>
    </row>
    <row r="2" spans="1:17" x14ac:dyDescent="0.45">
      <c r="H2" s="2" t="s">
        <v>1</v>
      </c>
    </row>
    <row r="3" spans="1:17" x14ac:dyDescent="0.45">
      <c r="A3" t="s">
        <v>2</v>
      </c>
      <c r="B3" s="3" t="s">
        <v>66</v>
      </c>
      <c r="D3" t="s">
        <v>4</v>
      </c>
      <c r="H3" t="s">
        <v>5</v>
      </c>
      <c r="I3" s="3">
        <v>1</v>
      </c>
      <c r="J3">
        <v>-1</v>
      </c>
    </row>
    <row r="4" spans="1:17" x14ac:dyDescent="0.45">
      <c r="A4" t="s">
        <v>6</v>
      </c>
      <c r="B4" s="10">
        <v>0</v>
      </c>
      <c r="D4" s="4" t="str">
        <f>_xll.ORF.YCCREATE($B$3, A6:A11, B6:B11,$B$4)</f>
        <v>BGK¤1</v>
      </c>
      <c r="H4" t="s">
        <v>20</v>
      </c>
      <c r="I4" t="s">
        <v>23</v>
      </c>
      <c r="J4" t="s">
        <v>0</v>
      </c>
      <c r="K4" t="s">
        <v>76</v>
      </c>
      <c r="L4" t="s">
        <v>77</v>
      </c>
    </row>
    <row r="5" spans="1:17" x14ac:dyDescent="0.45">
      <c r="A5" t="s">
        <v>8</v>
      </c>
      <c r="B5" s="9" t="s">
        <v>9</v>
      </c>
      <c r="H5" t="s">
        <v>11</v>
      </c>
      <c r="I5" s="5">
        <v>100</v>
      </c>
    </row>
    <row r="6" spans="1:17" x14ac:dyDescent="0.45">
      <c r="A6" s="6">
        <f>1/12</f>
        <v>8.3333333333333329E-2</v>
      </c>
      <c r="B6" s="7">
        <v>0.2</v>
      </c>
      <c r="E6" s="22"/>
      <c r="H6" t="s">
        <v>7</v>
      </c>
      <c r="I6" s="5">
        <v>100</v>
      </c>
    </row>
    <row r="7" spans="1:17" x14ac:dyDescent="0.45">
      <c r="A7" s="3">
        <f>1/4</f>
        <v>0.25</v>
      </c>
      <c r="B7" s="7">
        <v>0.2</v>
      </c>
      <c r="D7" s="41" t="s">
        <v>48</v>
      </c>
      <c r="E7" s="41"/>
      <c r="F7" s="41"/>
      <c r="H7" t="s">
        <v>46</v>
      </c>
      <c r="I7">
        <v>1</v>
      </c>
    </row>
    <row r="8" spans="1:17" x14ac:dyDescent="0.45">
      <c r="A8" s="3">
        <f>1/2</f>
        <v>0.5</v>
      </c>
      <c r="B8" s="7">
        <v>0.2</v>
      </c>
      <c r="D8" s="41"/>
      <c r="E8" s="41"/>
      <c r="F8" s="41"/>
      <c r="I8" s="43" t="s">
        <v>31</v>
      </c>
      <c r="J8" s="43"/>
      <c r="K8" s="43" t="s">
        <v>30</v>
      </c>
      <c r="L8" s="43"/>
      <c r="M8" s="43" t="s">
        <v>29</v>
      </c>
      <c r="N8" s="43"/>
    </row>
    <row r="9" spans="1:17" x14ac:dyDescent="0.45">
      <c r="A9" s="3">
        <f>3/4</f>
        <v>0.75</v>
      </c>
      <c r="B9" s="7">
        <v>0.2</v>
      </c>
      <c r="D9" s="41"/>
      <c r="E9" s="41"/>
      <c r="F9" s="41"/>
      <c r="I9" s="14" t="s">
        <v>72</v>
      </c>
      <c r="J9" s="14" t="s">
        <v>73</v>
      </c>
      <c r="K9" s="14" t="s">
        <v>72</v>
      </c>
      <c r="L9" s="14" t="s">
        <v>73</v>
      </c>
      <c r="M9" s="14" t="s">
        <v>72</v>
      </c>
      <c r="N9" s="14" t="s">
        <v>73</v>
      </c>
    </row>
    <row r="10" spans="1:17" ht="14.25" customHeight="1" x14ac:dyDescent="0.45">
      <c r="A10" s="3">
        <v>1</v>
      </c>
      <c r="B10" s="7">
        <v>0.2</v>
      </c>
      <c r="D10" s="11"/>
      <c r="E10" s="11"/>
      <c r="F10" s="11"/>
      <c r="H10" t="s">
        <v>21</v>
      </c>
      <c r="I10">
        <v>150</v>
      </c>
      <c r="J10">
        <v>50</v>
      </c>
      <c r="K10">
        <v>150</v>
      </c>
      <c r="L10">
        <v>50</v>
      </c>
      <c r="M10">
        <v>150</v>
      </c>
      <c r="N10">
        <v>50</v>
      </c>
    </row>
    <row r="11" spans="1:17" x14ac:dyDescent="0.45">
      <c r="A11" s="3">
        <v>2</v>
      </c>
      <c r="B11" s="7">
        <v>0.2</v>
      </c>
      <c r="H11" s="34" t="s">
        <v>47</v>
      </c>
      <c r="I11" s="35">
        <f>I10*EXP(0.5826*$I$16*SQRT(1/365))</f>
        <v>151.14792053845042</v>
      </c>
      <c r="J11" s="35">
        <f>J10*EXP(-0.5826*$I$16*SQRT(1/365))</f>
        <v>49.620265851372267</v>
      </c>
      <c r="K11" s="35">
        <f>K10*EXP(0.5826*$I$16*SQRT(1/52))</f>
        <v>153.06050718191526</v>
      </c>
      <c r="L11" s="35">
        <f>L10*EXP(-0.5826*$I$16*SQRT(1/52))</f>
        <v>49.00022963523903</v>
      </c>
      <c r="M11" s="35">
        <f>M10*EXP(0.5826*$I$16*SQRT(1/12))</f>
        <v>156.44129494726468</v>
      </c>
      <c r="N11" s="35">
        <f>N10*EXP(-0.5826*$I$16*SQRT(1/12))</f>
        <v>47.941306050478552</v>
      </c>
    </row>
    <row r="12" spans="1:17" x14ac:dyDescent="0.45">
      <c r="A12" s="3"/>
      <c r="B12" s="7"/>
      <c r="D12" t="s">
        <v>19</v>
      </c>
      <c r="E12">
        <v>1</v>
      </c>
      <c r="H12" t="s">
        <v>10</v>
      </c>
      <c r="I12" s="5">
        <v>1</v>
      </c>
    </row>
    <row r="13" spans="1:17" x14ac:dyDescent="0.45">
      <c r="B13" s="12"/>
      <c r="H13" t="s">
        <v>22</v>
      </c>
      <c r="I13" s="12">
        <v>2</v>
      </c>
      <c r="J13">
        <v>1</v>
      </c>
      <c r="K13">
        <v>0</v>
      </c>
      <c r="M13" s="42" t="s">
        <v>74</v>
      </c>
      <c r="N13" s="42"/>
      <c r="O13" s="42"/>
      <c r="P13" s="42"/>
      <c r="Q13" s="42"/>
    </row>
    <row r="14" spans="1:17" x14ac:dyDescent="0.45">
      <c r="A14" s="18"/>
      <c r="H14" t="s">
        <v>12</v>
      </c>
      <c r="I14" s="5" t="str">
        <f>D4</f>
        <v>BGK¤1</v>
      </c>
      <c r="M14" s="42"/>
      <c r="N14" s="42"/>
      <c r="O14" s="42"/>
      <c r="P14" s="42"/>
      <c r="Q14" s="42"/>
    </row>
    <row r="15" spans="1:17" ht="14.25" customHeight="1" x14ac:dyDescent="0.45">
      <c r="B15" s="45" t="s">
        <v>82</v>
      </c>
      <c r="C15" s="45"/>
      <c r="D15" s="45"/>
      <c r="E15" s="45"/>
      <c r="F15" s="45"/>
      <c r="H15" t="s">
        <v>13</v>
      </c>
      <c r="I15" s="7">
        <v>0</v>
      </c>
      <c r="M15" s="42"/>
      <c r="N15" s="42"/>
      <c r="O15" s="42"/>
      <c r="P15" s="42"/>
      <c r="Q15" s="42"/>
    </row>
    <row r="16" spans="1:17" x14ac:dyDescent="0.45">
      <c r="B16" s="45"/>
      <c r="C16" s="45"/>
      <c r="D16" s="45"/>
      <c r="E16" s="45"/>
      <c r="F16" s="45"/>
      <c r="H16" t="s">
        <v>14</v>
      </c>
      <c r="I16" s="7">
        <v>0.25</v>
      </c>
      <c r="M16" s="42"/>
      <c r="N16" s="42"/>
      <c r="O16" s="42"/>
      <c r="P16" s="42"/>
      <c r="Q16" s="42"/>
    </row>
    <row r="17" spans="1:21" x14ac:dyDescent="0.45">
      <c r="B17" s="45"/>
      <c r="C17" s="45"/>
      <c r="D17" s="45"/>
      <c r="E17" s="45"/>
      <c r="F17" s="45"/>
      <c r="H17" s="14" t="s">
        <v>67</v>
      </c>
    </row>
    <row r="18" spans="1:21" x14ac:dyDescent="0.45">
      <c r="B18" s="45"/>
      <c r="C18" s="45"/>
      <c r="D18" s="45"/>
      <c r="E18" s="45"/>
      <c r="F18" s="45"/>
      <c r="H18" t="s">
        <v>16</v>
      </c>
      <c r="I18">
        <v>3000</v>
      </c>
    </row>
    <row r="19" spans="1:21" x14ac:dyDescent="0.45">
      <c r="B19" s="45"/>
      <c r="C19" s="45"/>
      <c r="D19" s="45"/>
      <c r="E19" s="45"/>
      <c r="F19" s="45"/>
      <c r="H19" t="s">
        <v>17</v>
      </c>
      <c r="I19">
        <v>3000</v>
      </c>
    </row>
    <row r="20" spans="1:21" x14ac:dyDescent="0.45">
      <c r="H20" t="s">
        <v>19</v>
      </c>
      <c r="I20">
        <v>1</v>
      </c>
    </row>
    <row r="22" spans="1:21" ht="18" x14ac:dyDescent="0.55000000000000004">
      <c r="A22" s="44" t="s">
        <v>80</v>
      </c>
      <c r="B22" s="44"/>
      <c r="C22" s="44"/>
      <c r="D22" s="44"/>
      <c r="E22" s="44"/>
      <c r="F22" s="44"/>
      <c r="G22" s="37"/>
      <c r="I22" s="44" t="s">
        <v>81</v>
      </c>
      <c r="J22" s="44"/>
      <c r="K22" s="44"/>
      <c r="L22" s="44"/>
      <c r="M22" s="44"/>
      <c r="N22" s="44"/>
      <c r="P22" s="44" t="s">
        <v>85</v>
      </c>
      <c r="Q22" s="44"/>
      <c r="R22" s="44"/>
      <c r="S22" s="44"/>
      <c r="T22" s="44"/>
      <c r="U22" s="44"/>
    </row>
    <row r="23" spans="1:21" x14ac:dyDescent="0.45">
      <c r="A23" s="43" t="s">
        <v>71</v>
      </c>
      <c r="B23" s="43"/>
      <c r="C23" s="43"/>
      <c r="D23" s="43"/>
      <c r="E23" s="43"/>
      <c r="F23" s="43"/>
      <c r="I23" s="43" t="s">
        <v>71</v>
      </c>
      <c r="J23" s="43"/>
      <c r="K23" s="43"/>
      <c r="L23" s="43"/>
      <c r="M23" s="43"/>
      <c r="N23" s="43"/>
      <c r="P23" s="43" t="s">
        <v>71</v>
      </c>
      <c r="Q23" s="43"/>
      <c r="R23" s="43"/>
      <c r="S23" s="43"/>
      <c r="T23" s="43"/>
      <c r="U23" s="43"/>
    </row>
    <row r="24" spans="1:21" x14ac:dyDescent="0.45">
      <c r="A24" s="43" t="s">
        <v>68</v>
      </c>
      <c r="B24" s="43"/>
      <c r="C24" s="43"/>
      <c r="D24" s="43" t="s">
        <v>69</v>
      </c>
      <c r="E24" s="43"/>
      <c r="F24" s="43"/>
      <c r="I24" s="43" t="s">
        <v>68</v>
      </c>
      <c r="J24" s="43"/>
      <c r="K24" s="43"/>
      <c r="L24" s="43" t="s">
        <v>69</v>
      </c>
      <c r="M24" s="43"/>
      <c r="N24" s="43"/>
      <c r="P24" s="43" t="s">
        <v>68</v>
      </c>
      <c r="Q24" s="43"/>
      <c r="R24" s="43"/>
      <c r="S24" s="43" t="s">
        <v>69</v>
      </c>
      <c r="T24" s="43"/>
      <c r="U24" s="43"/>
    </row>
    <row r="25" spans="1:21" x14ac:dyDescent="0.45">
      <c r="A25" s="14" t="s">
        <v>27</v>
      </c>
      <c r="B25" s="14" t="s">
        <v>70</v>
      </c>
      <c r="C25" s="14" t="s">
        <v>50</v>
      </c>
      <c r="D25" s="14" t="s">
        <v>27</v>
      </c>
      <c r="E25" s="14" t="s">
        <v>70</v>
      </c>
      <c r="F25" s="14" t="s">
        <v>50</v>
      </c>
      <c r="I25" s="14" t="s">
        <v>27</v>
      </c>
      <c r="J25" s="14" t="s">
        <v>70</v>
      </c>
      <c r="K25" s="14" t="s">
        <v>50</v>
      </c>
      <c r="L25" s="14" t="s">
        <v>27</v>
      </c>
      <c r="M25" s="14" t="s">
        <v>70</v>
      </c>
      <c r="N25" s="14" t="s">
        <v>50</v>
      </c>
      <c r="P25" s="14" t="s">
        <v>27</v>
      </c>
      <c r="Q25" s="14" t="s">
        <v>70</v>
      </c>
      <c r="R25" s="14" t="s">
        <v>50</v>
      </c>
      <c r="S25" s="14" t="s">
        <v>27</v>
      </c>
      <c r="T25" s="14" t="s">
        <v>70</v>
      </c>
      <c r="U25" s="14" t="s">
        <v>50</v>
      </c>
    </row>
    <row r="26" spans="1:21" x14ac:dyDescent="0.45">
      <c r="A26">
        <f t="array" ref="A26">_xll.ORF.BARRBSPDE($I$3,$I$6,$I$12,$I$5,$I$10,$I$13,$I$4,$I$14,$I$15,$I$16,$H$18:$I$20, $I$7)</f>
        <v>7.9661355666973517</v>
      </c>
      <c r="B26">
        <f>_xll.ORF.BARRBS($I$3,$I$4,$I$5,$I$6,$I$11, $I$12,_xll.ORF.SPOTRATE($I$14,$I$12),$I$15,$I$16)</f>
        <v>7.9404101049919973</v>
      </c>
      <c r="C26" s="36">
        <f>ABS(A26-B26)</f>
        <v>2.5725461705354391E-2</v>
      </c>
      <c r="D26">
        <f>_xll.ORF.BARRBSPDE($I$3,$I$6,$I$12,$I$5,$J$10,$I$13,$J$4,$I$14,$I$15,$I$16,$H$18:$I$20, $I$7)</f>
        <v>20.833632334716938</v>
      </c>
      <c r="E26">
        <f>_xll.ORF.BARRBS($I$3,$J$4,$I$5,$I$6,$J$11, $I$12,_xll.ORF.SPOTRATE($I$14,$I$12),$I$15,$I$16)</f>
        <v>20.833625048620586</v>
      </c>
      <c r="F26" s="36">
        <f>ABS(D26-E26)</f>
        <v>7.2860963520327005E-6</v>
      </c>
      <c r="I26">
        <f t="array" ref="I26">_xll.ORF.BARRBSPDE($I$3,$I$6,$I$12,$I$5,$I$10,$J$13,$I$4,$I$14,$I$15,$I$16,$H$18:$I$20, $I$7)</f>
        <v>8.5338451079592534</v>
      </c>
      <c r="J26">
        <f>_xll.ORF.BARRBS($I$3,$I$4,$I$5,$I$6,$K$11, $I$12,_xll.ORF.SPOTRATE($I$14,$I$12),$I$15,$I$16)</f>
        <v>8.5164674906712108</v>
      </c>
      <c r="K26" s="36">
        <f>ABS(I26-J26)</f>
        <v>1.7377617288042657E-2</v>
      </c>
      <c r="L26">
        <f>_xll.ORF.BARRBSPDE($I$3,$I$6,$I$12,$I$5,$J$10,$J$13,$J$4,$I$14,$I$15,$I$16,$H$18:$I$20, $I$7)</f>
        <v>20.833632249982486</v>
      </c>
      <c r="M26">
        <f>_xll.ORF.BARRBS($I$3,$J$4,$I$5,$I$6,$L$11, $I$12,_xll.ORF.SPOTRATE($I$14,$I$12),$I$15,$I$16)</f>
        <v>20.833625065719939</v>
      </c>
      <c r="N26" s="36">
        <f>ABS(L26-M26)</f>
        <v>7.1842625466445043E-6</v>
      </c>
      <c r="P26">
        <f t="array" ref="P26">_xll.ORF.BARRBSPDE($I$3,$I$6,$I$12,$I$5,$I$10,$K$13,$I$4,$I$14,$I$15,$I$16,$H$18:$I$20, $I$7)</f>
        <v>9.461811212570419</v>
      </c>
      <c r="Q26">
        <f t="array" ref="Q26">_xll.ORF.BARRBS($I$3,$I$4,$I$5,$I$6,$M$11, $I$12,_xll.ORF.SPOTRATE($I$14,$I$12),$I$15,$I$16)</f>
        <v>9.5208646001767789</v>
      </c>
      <c r="R26" s="36">
        <f>ABS(P26-Q26)</f>
        <v>5.9053387606359919E-2</v>
      </c>
      <c r="S26">
        <f>_xll.ORF.BARRBSPDE($I$3,$I$6,$I$12,$I$5,$J$10,$K$13,$J$4,$I$14,$I$15,$I$16,$H$18:$I$20, $I$7)</f>
        <v>20.833632194814729</v>
      </c>
      <c r="T26">
        <f>_xll.ORF.BARRBS($I$3,$J$4,$I$5,$I$6,$N$11, $I$12,_xll.ORF.SPOTRATE($I$14,$I$12),$I$15,$I$16)</f>
        <v>20.833625079238004</v>
      </c>
      <c r="U26" s="36">
        <f>ABS(S26-T26)</f>
        <v>7.1155767251696034E-6</v>
      </c>
    </row>
    <row r="28" spans="1:21" x14ac:dyDescent="0.45">
      <c r="A28" s="43" t="s">
        <v>75</v>
      </c>
      <c r="B28" s="43"/>
      <c r="C28" s="43"/>
      <c r="D28" s="43"/>
      <c r="E28" s="43"/>
      <c r="F28" s="43"/>
      <c r="I28" s="43" t="s">
        <v>75</v>
      </c>
      <c r="J28" s="43"/>
      <c r="K28" s="43"/>
      <c r="L28" s="43"/>
      <c r="M28" s="43"/>
      <c r="N28" s="43"/>
      <c r="P28" s="43" t="s">
        <v>75</v>
      </c>
      <c r="Q28" s="43"/>
      <c r="R28" s="43"/>
      <c r="S28" s="43"/>
      <c r="T28" s="43"/>
      <c r="U28" s="43"/>
    </row>
    <row r="29" spans="1:21" x14ac:dyDescent="0.45">
      <c r="A29" s="43" t="s">
        <v>68</v>
      </c>
      <c r="B29" s="43"/>
      <c r="C29" s="43"/>
      <c r="D29" s="43" t="s">
        <v>69</v>
      </c>
      <c r="E29" s="43"/>
      <c r="F29" s="43"/>
      <c r="I29" s="43" t="s">
        <v>68</v>
      </c>
      <c r="J29" s="43"/>
      <c r="K29" s="43"/>
      <c r="L29" s="43" t="s">
        <v>69</v>
      </c>
      <c r="M29" s="43"/>
      <c r="N29" s="43"/>
      <c r="P29" s="43" t="s">
        <v>68</v>
      </c>
      <c r="Q29" s="43"/>
      <c r="R29" s="43"/>
      <c r="S29" s="43" t="s">
        <v>69</v>
      </c>
      <c r="T29" s="43"/>
      <c r="U29" s="43"/>
    </row>
    <row r="30" spans="1:21" x14ac:dyDescent="0.45">
      <c r="A30" s="14" t="s">
        <v>27</v>
      </c>
      <c r="B30" s="14" t="s">
        <v>70</v>
      </c>
      <c r="C30" s="14" t="s">
        <v>50</v>
      </c>
      <c r="D30" s="14" t="s">
        <v>27</v>
      </c>
      <c r="E30" s="14" t="s">
        <v>70</v>
      </c>
      <c r="F30" s="14" t="s">
        <v>50</v>
      </c>
      <c r="I30" s="14" t="s">
        <v>27</v>
      </c>
      <c r="J30" s="14" t="s">
        <v>70</v>
      </c>
      <c r="K30" s="14" t="s">
        <v>50</v>
      </c>
      <c r="L30" s="14" t="s">
        <v>27</v>
      </c>
      <c r="M30" s="14" t="s">
        <v>70</v>
      </c>
      <c r="N30" s="14" t="s">
        <v>50</v>
      </c>
      <c r="P30" s="14" t="s">
        <v>27</v>
      </c>
      <c r="Q30" s="14" t="s">
        <v>70</v>
      </c>
      <c r="R30" s="14" t="s">
        <v>50</v>
      </c>
      <c r="S30" s="14" t="s">
        <v>27</v>
      </c>
      <c r="T30" s="14" t="s">
        <v>70</v>
      </c>
      <c r="U30" s="14" t="s">
        <v>50</v>
      </c>
    </row>
    <row r="31" spans="1:21" x14ac:dyDescent="0.45">
      <c r="A31">
        <f>_xll.ORF.BARRBSPDE($J$3,$I$6,$I$12,$I$5,$I$10,$I$13,$I$4,$I$14,$I$15,$I$16,$H$18:$I$20, $I$7)</f>
        <v>2.7053070011230065</v>
      </c>
      <c r="B31">
        <f>_xll.ORF.BARRBS($J$3,$I$4,$I$5,$I$6,$I$11, $I$12,_xll.ORF.SPOTRATE($I$14,$I$12),$I$15,$I$16)</f>
        <v>2.7052883429856798</v>
      </c>
      <c r="C31" s="36">
        <f>ABS(A31-B31)</f>
        <v>1.8658137326710289E-5</v>
      </c>
      <c r="D31">
        <f>_xll.ORF.BARRBSPDE($J$3,$I$6,$I$12,$I$5,$J$10,$I$13,$J$4,$I$14,$I$15,$I$16,$H$18:$I$20, $I$7)</f>
        <v>2.6814742793985968</v>
      </c>
      <c r="E31" s="16">
        <f>_xll.ORF.BARRBS($J$3,$J$4,$I$5,$I$6,$J$11, $I$12,_xll.ORF.SPOTRATE($I$14,$I$12),$I$15,$I$16)</f>
        <v>2.6815549751617764</v>
      </c>
      <c r="F31" s="36">
        <f>ABS(D31-E31)</f>
        <v>8.0695763179594593E-5</v>
      </c>
      <c r="I31">
        <f>_xll.ORF.BARRBSPDE($J$3,$I$6,$I$12,$I$5,$I$10,$J$13,$I$4,$I$14,$I$15,$I$16,$H$18:$I$20, $I$7)</f>
        <v>2.7057406200407792</v>
      </c>
      <c r="J31">
        <f>_xll.ORF.BARRBS($J$3,$I$4,$I$5,$I$6,$K$11, $I$12,_xll.ORF.SPOTRATE($I$14,$I$12),$I$15,$I$16)</f>
        <v>2.7057345213867063</v>
      </c>
      <c r="K31" s="36">
        <f>ABS(I31-J31)</f>
        <v>6.0986540728613647E-6</v>
      </c>
      <c r="L31">
        <f t="array" ref="L31">_xll.ORF.BARRBSPDE($J$3,$I$6,$I$12,$I$5,$J$10,$J$13,$J$4,$I$14,$I$15,$I$16,$H$18:$I$20, $I$7)</f>
        <v>2.6856121814698817</v>
      </c>
      <c r="M31" s="16">
        <f>_xll.ORF.BARRBS($J$3,$J$4,$I$5,$I$6,$L$11, $I$12,_xll.ORF.SPOTRATE($I$14,$I$12),$I$15,$I$16)</f>
        <v>2.6856559581836139</v>
      </c>
      <c r="N31" s="36">
        <f>ABS(L31-M31)</f>
        <v>4.3776713732235351E-5</v>
      </c>
      <c r="P31">
        <f t="array" ref="P31">_xll.ORF.BARRBSPDE($J$3,$I$6,$I$12,$I$5,$I$10,$K$13,$I$4,$I$14,$I$15,$I$16,$H$18:$I$20, $I$7)</f>
        <v>2.7061998015806381</v>
      </c>
      <c r="Q31">
        <f>_xll.ORF.BARRBS($J$3,$I$4,$I$5,$I$6,$M$11, $I$12,_xll.ORF.SPOTRATE($I$14,$I$12),$I$15,$I$16)</f>
        <v>2.7062120664862062</v>
      </c>
      <c r="R31" s="36">
        <f>ABS(P31-Q31)</f>
        <v>1.2264905568049045E-5</v>
      </c>
      <c r="S31">
        <f>_xll.ORF.BARRBSPDE($J$3,$I$6,$I$12,$I$5,$J$10,$K$13,$J$4,$I$14,$I$15,$I$16,$H$18:$I$20, $I$7)</f>
        <v>2.6911079407280374</v>
      </c>
      <c r="T31" s="16">
        <f>_xll.ORF.BARRBS($J$3,$J$4,$I$5,$I$6,$N$11, $I$12,_xll.ORF.SPOTRATE($I$14,$I$12),$I$15,$I$16)</f>
        <v>2.6913543359902903</v>
      </c>
      <c r="U31" s="36">
        <f>ABS(S31-T31)</f>
        <v>2.4639526225289643E-4</v>
      </c>
    </row>
    <row r="33" spans="1:21" x14ac:dyDescent="0.45">
      <c r="A33" s="43" t="s">
        <v>78</v>
      </c>
      <c r="B33" s="43"/>
      <c r="C33" s="43"/>
      <c r="D33" s="43"/>
      <c r="E33" s="43"/>
      <c r="F33" s="43"/>
      <c r="I33" s="43" t="s">
        <v>78</v>
      </c>
      <c r="J33" s="43"/>
      <c r="K33" s="43"/>
      <c r="L33" s="43"/>
      <c r="M33" s="43"/>
      <c r="N33" s="43"/>
      <c r="P33" s="43" t="s">
        <v>78</v>
      </c>
      <c r="Q33" s="43"/>
      <c r="R33" s="43"/>
      <c r="S33" s="43"/>
      <c r="T33" s="43"/>
      <c r="U33" s="43"/>
    </row>
    <row r="34" spans="1:21" x14ac:dyDescent="0.45">
      <c r="A34" s="43" t="s">
        <v>68</v>
      </c>
      <c r="B34" s="43"/>
      <c r="C34" s="43"/>
      <c r="D34" s="43" t="s">
        <v>69</v>
      </c>
      <c r="E34" s="43"/>
      <c r="F34" s="43"/>
      <c r="I34" s="43" t="s">
        <v>68</v>
      </c>
      <c r="J34" s="43"/>
      <c r="K34" s="43"/>
      <c r="L34" s="43" t="s">
        <v>69</v>
      </c>
      <c r="M34" s="43"/>
      <c r="N34" s="43"/>
      <c r="P34" s="43" t="s">
        <v>68</v>
      </c>
      <c r="Q34" s="43"/>
      <c r="R34" s="43"/>
      <c r="S34" s="43" t="s">
        <v>69</v>
      </c>
      <c r="T34" s="43"/>
      <c r="U34" s="43"/>
    </row>
    <row r="35" spans="1:21" x14ac:dyDescent="0.45">
      <c r="A35" s="14" t="s">
        <v>27</v>
      </c>
      <c r="B35" s="14" t="s">
        <v>70</v>
      </c>
      <c r="C35" s="14" t="s">
        <v>50</v>
      </c>
      <c r="D35" s="14" t="s">
        <v>27</v>
      </c>
      <c r="E35" s="14" t="s">
        <v>70</v>
      </c>
      <c r="F35" s="14" t="s">
        <v>50</v>
      </c>
      <c r="I35" s="14" t="s">
        <v>27</v>
      </c>
      <c r="J35" s="14" t="s">
        <v>70</v>
      </c>
      <c r="K35" s="14" t="s">
        <v>50</v>
      </c>
      <c r="L35" s="14" t="s">
        <v>27</v>
      </c>
      <c r="M35" s="14" t="s">
        <v>70</v>
      </c>
      <c r="N35" s="14" t="s">
        <v>50</v>
      </c>
      <c r="P35" s="14" t="s">
        <v>27</v>
      </c>
      <c r="Q35" s="14" t="s">
        <v>70</v>
      </c>
      <c r="R35" s="14" t="s">
        <v>50</v>
      </c>
      <c r="S35" s="14" t="s">
        <v>27</v>
      </c>
      <c r="T35" s="14" t="s">
        <v>70</v>
      </c>
      <c r="U35" s="14" t="s">
        <v>50</v>
      </c>
    </row>
    <row r="36" spans="1:21" x14ac:dyDescent="0.45">
      <c r="A36">
        <f>_xll.ORF.BARRBSPDE($I$3,$I$6,$I$12,$I$5,$I$10,$I$13,$K$4,$I$14,$I$15,$I$16,$H$18:$I$20, $I$7)</f>
        <v>12.867487502453193</v>
      </c>
      <c r="B36">
        <f>_xll.ORF.BARRBS($I$3,$K$4,$I$5,$I$6,$I$11, $I$12,_xll.ORF.SPOTRATE($I$14,$I$12),$I$15,$I$16)</f>
        <v>12.893214981239225</v>
      </c>
      <c r="C36" s="36">
        <f>ABS(A36-B36)</f>
        <v>2.5727478786032876E-2</v>
      </c>
      <c r="D36">
        <f>_xll.ORF.BARRBSPDE($I$3,$I$6,$I$12,$I$5,$J$10,$I$13,$L$4,$I$14,$I$15,$I$16,$H$18:$I$20, $I$7)</f>
        <v>0</v>
      </c>
      <c r="E36">
        <f>_xll.ORF.BARRBS($I$3,$L$4,$I$5,$I$6,$J$11, $I$12,_xll.ORF.SPOTRATE($I$14,$I$12),$I$15,$I$16)</f>
        <v>3.7610634665674406E-8</v>
      </c>
      <c r="F36" s="36">
        <f>ABS(D36-E36)</f>
        <v>3.7610634665674406E-8</v>
      </c>
      <c r="I36">
        <f>_xll.ORF.BARRBSPDE($I$3,$I$6,$I$12,$I$5,$I$10,$J$13,$K$4,$I$14,$I$15,$I$16,$H$18:$I$20, $I$7)</f>
        <v>12.299777961191291</v>
      </c>
      <c r="J36">
        <f>_xll.ORF.BARRBS($I$3,$K$4,$I$5,$I$6,$K$11, $I$12,_xll.ORF.SPOTRATE($I$14,$I$12),$I$15,$I$16)</f>
        <v>12.317157595560012</v>
      </c>
      <c r="K36" s="36">
        <f>ABS(I36-J36)</f>
        <v>1.7379634368721142E-2</v>
      </c>
      <c r="L36">
        <f>_xll.ORF.BARRBSPDE($I$3,$I$6,$I$12,$I$5,$J$10,$J$13,$L$4,$I$14,$I$15,$I$16,$H$18:$I$20, $I$7)</f>
        <v>0</v>
      </c>
      <c r="M36">
        <f>_xll.ORF.BARRBS($I$3,$L$4,$I$5,$I$6,$L$11, $I$12,_xll.ORF.SPOTRATE($I$14,$I$12),$I$15,$I$16)</f>
        <v>2.051128188842814E-8</v>
      </c>
      <c r="N36" s="36">
        <f>ABS(L36-M36)</f>
        <v>2.051128188842814E-8</v>
      </c>
      <c r="P36">
        <f t="array" ref="P36">_xll.ORF.BARRBSPDE($I$3,$I$6,$I$12,$I$5,$I$10,$K$13,$K$4,$I$14,$I$15,$I$16,$H$18:$I$20, $I$7)</f>
        <v>11.371811856580125</v>
      </c>
      <c r="Q36">
        <f>_xll.ORF.BARRBS($I$3,$K$4,$I$5,$I$6,$M$11, $I$12,_xll.ORF.SPOTRATE($I$14,$I$12),$I$15,$I$16)</f>
        <v>11.312760486054444</v>
      </c>
      <c r="R36" s="36">
        <f>ABS(P36-Q36)</f>
        <v>5.9051370525681435E-2</v>
      </c>
      <c r="S36">
        <f>_xll.ORF.BARRBSPDE($I$3,$I$6,$I$12,$I$5,$J$10,$K$13,$L$4,$I$14,$I$15,$I$16,$H$18:$I$20, $I$7)</f>
        <v>0</v>
      </c>
      <c r="T36">
        <f>_xll.ORF.BARRBS($I$3,$L$4,$I$5,$I$6,$N$11, $I$12,_xll.ORF.SPOTRATE($I$14,$I$12),$I$15,$I$16)</f>
        <v>6.9932170551909015E-9</v>
      </c>
      <c r="U36" s="36">
        <f>ABS(S36-T36)</f>
        <v>6.9932170551909015E-9</v>
      </c>
    </row>
    <row r="38" spans="1:21" x14ac:dyDescent="0.45">
      <c r="A38" s="43" t="s">
        <v>79</v>
      </c>
      <c r="B38" s="43"/>
      <c r="C38" s="43"/>
      <c r="D38" s="43"/>
      <c r="E38" s="43"/>
      <c r="F38" s="43"/>
      <c r="I38" s="43" t="s">
        <v>79</v>
      </c>
      <c r="J38" s="43"/>
      <c r="K38" s="43"/>
      <c r="L38" s="43"/>
      <c r="M38" s="43"/>
      <c r="N38" s="43"/>
      <c r="P38" s="43" t="s">
        <v>79</v>
      </c>
      <c r="Q38" s="43"/>
      <c r="R38" s="43"/>
      <c r="S38" s="43"/>
      <c r="T38" s="43"/>
      <c r="U38" s="43"/>
    </row>
    <row r="39" spans="1:21" x14ac:dyDescent="0.45">
      <c r="A39" s="43" t="s">
        <v>68</v>
      </c>
      <c r="B39" s="43"/>
      <c r="C39" s="43"/>
      <c r="D39" s="43" t="s">
        <v>69</v>
      </c>
      <c r="E39" s="43"/>
      <c r="F39" s="43"/>
      <c r="I39" s="43" t="s">
        <v>68</v>
      </c>
      <c r="J39" s="43"/>
      <c r="K39" s="43"/>
      <c r="L39" s="43" t="s">
        <v>69</v>
      </c>
      <c r="M39" s="43"/>
      <c r="N39" s="43"/>
      <c r="P39" s="43" t="s">
        <v>68</v>
      </c>
      <c r="Q39" s="43"/>
      <c r="R39" s="43"/>
      <c r="S39" s="43" t="s">
        <v>69</v>
      </c>
      <c r="T39" s="43"/>
      <c r="U39" s="43"/>
    </row>
    <row r="40" spans="1:21" x14ac:dyDescent="0.45">
      <c r="A40" s="14" t="s">
        <v>27</v>
      </c>
      <c r="B40" s="14" t="s">
        <v>70</v>
      </c>
      <c r="C40" s="14" t="s">
        <v>50</v>
      </c>
      <c r="D40" s="14" t="s">
        <v>27</v>
      </c>
      <c r="E40" s="14" t="s">
        <v>70</v>
      </c>
      <c r="F40" s="14" t="s">
        <v>50</v>
      </c>
      <c r="I40" s="14" t="s">
        <v>27</v>
      </c>
      <c r="J40" s="14" t="s">
        <v>70</v>
      </c>
      <c r="K40" s="14" t="s">
        <v>50</v>
      </c>
      <c r="L40" s="14" t="s">
        <v>27</v>
      </c>
      <c r="M40" s="14" t="s">
        <v>70</v>
      </c>
      <c r="N40" s="14" t="s">
        <v>50</v>
      </c>
      <c r="P40" s="14" t="s">
        <v>27</v>
      </c>
      <c r="Q40" s="14" t="s">
        <v>70</v>
      </c>
      <c r="R40" s="14" t="s">
        <v>50</v>
      </c>
      <c r="S40" s="14" t="s">
        <v>27</v>
      </c>
      <c r="T40" s="14" t="s">
        <v>70</v>
      </c>
      <c r="U40" s="14" t="s">
        <v>50</v>
      </c>
    </row>
    <row r="41" spans="1:21" x14ac:dyDescent="0.45">
      <c r="A41">
        <f>_xll.ORF.BARRBSPDE($J$3,$I$6,$I$12,$I$5,$I$10,$I$13,$K$4,$I$14,$I$15,$I$16,$H$18:$I$20, $I$7)</f>
        <v>1.3913757876800048E-3</v>
      </c>
      <c r="B41">
        <f>_xll.ORF.BARRBS($J$3,$K$4,$I$5,$I$6,$I$11, $I$12,_xll.ORF.SPOTRATE($I$14,$I$12),$I$15,$I$16)</f>
        <v>1.4120510437280083E-3</v>
      </c>
      <c r="C41" s="36">
        <f>ABS(A41-B41)</f>
        <v>2.0675256048003493E-5</v>
      </c>
      <c r="D41">
        <f>_xll.ORF.BARRBSPDE($J$3,$I$6,$I$12,$I$5,$J$10,$I$13,$L$4,$I$14,$I$15,$I$16,$H$18:$I$20, $I$7)</f>
        <v>2.5224097512089649E-2</v>
      </c>
      <c r="E41">
        <f>_xll.ORF.BARRBS($J$3,$L$4,$I$5,$I$6,$J$11, $I$12,_xll.ORF.SPOTRATE($I$14,$I$12),$I$15,$I$16)</f>
        <v>2.5145418867631508E-2</v>
      </c>
      <c r="F41" s="36">
        <f>ABS(D41-E41)</f>
        <v>7.8678644458141794E-5</v>
      </c>
      <c r="I41">
        <f>_xll.ORF.BARRBSPDE($J$3,$I$6,$I$12,$I$5,$I$10,$J$13,$K$4,$I$14,$I$15,$I$16,$H$18:$I$20, $I$7)</f>
        <v>9.5775686990728914E-4</v>
      </c>
      <c r="J41">
        <f>_xll.ORF.BARRBS($J$3,$K$4,$I$5,$I$6,$K$11, $I$12,_xll.ORF.SPOTRATE($I$14,$I$12),$I$15,$I$16)</f>
        <v>9.6587264270169698E-4</v>
      </c>
      <c r="K41" s="36">
        <f>ABS(I41-J41)</f>
        <v>8.1157727944078384E-6</v>
      </c>
      <c r="L41">
        <f>_xll.ORF.BARRBSPDE($J$3,$I$6,$I$12,$I$5,$J$10,$J$13,$L$4,$I$14,$I$15,$I$16,$H$18:$I$20, $I$7)</f>
        <v>2.1086195440804811E-2</v>
      </c>
      <c r="M41">
        <f>_xll.ORF.BARRBS($J$3,$L$4,$I$5,$I$6,$L$11, $I$12,_xll.ORF.SPOTRATE($I$14,$I$12),$I$15,$I$16)</f>
        <v>2.1044435845794116E-2</v>
      </c>
      <c r="N41" s="36">
        <f>ABS(L41-M41)</f>
        <v>4.1759595010695816E-5</v>
      </c>
      <c r="P41">
        <f t="array" ref="P41">_xll.ORF.BARRBSPDE($J$3,$I$6,$I$12,$I$5,$I$10,$K$13,$K$4,$I$14,$I$15,$I$16,$H$18:$I$20, $I$7)</f>
        <v>4.9857533004837862E-4</v>
      </c>
      <c r="Q41">
        <f>_xll.ORF.BARRBS($J$3,$K$4,$I$5,$I$6,$M$11, $I$12,_xll.ORF.SPOTRATE($I$14,$I$12),$I$15,$I$16)</f>
        <v>4.8832754320191941E-4</v>
      </c>
      <c r="R41" s="36">
        <f>ABS(P41-Q41)</f>
        <v>1.0247786846459203E-5</v>
      </c>
      <c r="S41">
        <f>_xll.ORF.BARRBSPDE($J$3,$I$6,$I$12,$I$5,$J$10,$K$13,$L$4,$I$14,$I$15,$I$16,$H$18:$I$20, $I$7)</f>
        <v>1.5590436182649103E-2</v>
      </c>
      <c r="T41">
        <f>_xll.ORF.BARRBS($J$3,$L$4,$I$5,$I$6,$N$11, $I$12,_xll.ORF.SPOTRATE($I$14,$I$12),$I$15,$I$16)</f>
        <v>1.5346058039117748E-2</v>
      </c>
      <c r="U41" s="36">
        <f>ABS(S41-T41)</f>
        <v>2.4437814353135516E-4</v>
      </c>
    </row>
  </sheetData>
  <mergeCells count="45">
    <mergeCell ref="P38:U38"/>
    <mergeCell ref="P39:R39"/>
    <mergeCell ref="S39:U39"/>
    <mergeCell ref="B15:F19"/>
    <mergeCell ref="P29:R29"/>
    <mergeCell ref="S29:U29"/>
    <mergeCell ref="P33:U33"/>
    <mergeCell ref="P34:R34"/>
    <mergeCell ref="S34:U34"/>
    <mergeCell ref="P22:U22"/>
    <mergeCell ref="P23:U23"/>
    <mergeCell ref="P24:R24"/>
    <mergeCell ref="S24:U24"/>
    <mergeCell ref="P28:U28"/>
    <mergeCell ref="I33:N33"/>
    <mergeCell ref="I34:K34"/>
    <mergeCell ref="L34:N34"/>
    <mergeCell ref="I38:N38"/>
    <mergeCell ref="I39:K39"/>
    <mergeCell ref="L39:N39"/>
    <mergeCell ref="I23:N23"/>
    <mergeCell ref="I24:K24"/>
    <mergeCell ref="L24:N24"/>
    <mergeCell ref="I28:N28"/>
    <mergeCell ref="I29:K29"/>
    <mergeCell ref="L29:N29"/>
    <mergeCell ref="I8:J8"/>
    <mergeCell ref="K8:L8"/>
    <mergeCell ref="M8:N8"/>
    <mergeCell ref="A22:F22"/>
    <mergeCell ref="I22:N22"/>
    <mergeCell ref="D7:F9"/>
    <mergeCell ref="M13:Q16"/>
    <mergeCell ref="A38:F38"/>
    <mergeCell ref="A39:C39"/>
    <mergeCell ref="D39:F39"/>
    <mergeCell ref="A33:F33"/>
    <mergeCell ref="A34:C34"/>
    <mergeCell ref="D34:F34"/>
    <mergeCell ref="A23:F23"/>
    <mergeCell ref="A28:F28"/>
    <mergeCell ref="A29:C29"/>
    <mergeCell ref="D29:F29"/>
    <mergeCell ref="A24:C24"/>
    <mergeCell ref="D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(c)</vt:lpstr>
      <vt:lpstr>Question 1 Crank Nicholson</vt:lpstr>
      <vt:lpstr>Question 1 Fully Implicit</vt:lpstr>
      <vt:lpstr>Question 2 BGK 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2019-12-23T20:51:52Z</dcterms:created>
  <dcterms:modified xsi:type="dcterms:W3CDTF">2020-01-07T00:34:49Z</dcterms:modified>
</cp:coreProperties>
</file>