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orflib-0.10.0\"/>
    </mc:Choice>
  </mc:AlternateContent>
  <xr:revisionPtr revIDLastSave="0" documentId="13_ncr:1_{A05A13A7-F60B-41D7-B320-E18F2FE6C4F6}" xr6:coauthVersionLast="41" xr6:coauthVersionMax="41" xr10:uidLastSave="{00000000-0000-0000-0000-000000000000}"/>
  <bookViews>
    <workbookView xWindow="-98" yWindow="-98" windowWidth="19396" windowHeight="11596" activeTab="2" xr2:uid="{1FDA0D2E-C4E0-450D-967F-C7C83C83AA5E}"/>
  </bookViews>
  <sheets>
    <sheet name="Test" sheetId="1" r:id="rId1"/>
    <sheet name="part (c)" sheetId="2" r:id="rId2"/>
    <sheet name="Question 1 Crank Nicholson" sheetId="3" r:id="rId3"/>
    <sheet name="Question 1 Crank Nicholson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0" i="4" l="1"/>
  <c r="D59" i="4"/>
  <c r="D58" i="4"/>
  <c r="D57" i="4"/>
  <c r="D56" i="4"/>
  <c r="D55" i="4"/>
  <c r="C55" i="4"/>
  <c r="C56" i="4" s="1"/>
  <c r="C57" i="4" s="1"/>
  <c r="C58" i="4" s="1"/>
  <c r="C59" i="4" s="1"/>
  <c r="C60" i="4" s="1"/>
  <c r="B55" i="4" a="1"/>
  <c r="B55" i="4" s="1"/>
  <c r="B56" i="4" s="1"/>
  <c r="B57" i="4" s="1"/>
  <c r="B58" i="4" s="1"/>
  <c r="B59" i="4" s="1"/>
  <c r="B60" i="4" s="1"/>
  <c r="D47" i="4"/>
  <c r="D46" i="4"/>
  <c r="D45" i="4"/>
  <c r="D44" i="4"/>
  <c r="D43" i="4"/>
  <c r="D42" i="4"/>
  <c r="B42" i="4" a="1"/>
  <c r="C42" i="4" s="1"/>
  <c r="C43" i="4" s="1"/>
  <c r="C44" i="4" s="1"/>
  <c r="C45" i="4" s="1"/>
  <c r="C46" i="4" s="1"/>
  <c r="C47" i="4" s="1"/>
  <c r="D36" i="4"/>
  <c r="D35" i="4"/>
  <c r="D34" i="4"/>
  <c r="D33" i="4"/>
  <c r="D32" i="4"/>
  <c r="D31" i="4"/>
  <c r="C31" i="4"/>
  <c r="C32" i="4" s="1"/>
  <c r="C33" i="4" s="1"/>
  <c r="C34" i="4" s="1"/>
  <c r="C35" i="4" s="1"/>
  <c r="C36" i="4" s="1"/>
  <c r="B31" i="4" a="1"/>
  <c r="B31" i="4" s="1"/>
  <c r="B32" i="4" s="1"/>
  <c r="B33" i="4" s="1"/>
  <c r="B34" i="4" s="1"/>
  <c r="B35" i="4" s="1"/>
  <c r="B36" i="4" s="1"/>
  <c r="D21" i="4"/>
  <c r="D20" i="4"/>
  <c r="D19" i="4"/>
  <c r="B19" i="4"/>
  <c r="B20" i="4" s="1"/>
  <c r="D18" i="4"/>
  <c r="D17" i="4"/>
  <c r="D16" i="4"/>
  <c r="C16" i="4"/>
  <c r="C17" i="4" s="1"/>
  <c r="C18" i="4" s="1"/>
  <c r="C19" i="4" s="1"/>
  <c r="C20" i="4" s="1"/>
  <c r="C21" i="4" s="1"/>
  <c r="B16" i="4"/>
  <c r="B17" i="4" s="1"/>
  <c r="B18" i="4" s="1"/>
  <c r="L9" i="4"/>
  <c r="K9" i="4"/>
  <c r="J9" i="4"/>
  <c r="I9" i="4"/>
  <c r="A9" i="4"/>
  <c r="A8" i="4"/>
  <c r="A7" i="4"/>
  <c r="A6" i="4"/>
  <c r="U2" i="4"/>
  <c r="U2" i="4" a="1"/>
  <c r="U4" i="4" s="1"/>
  <c r="S2" i="4"/>
  <c r="S2" i="4" a="1"/>
  <c r="S4" i="4" s="1"/>
  <c r="Q2" i="4" a="1"/>
  <c r="O2" i="4" a="1"/>
  <c r="O2" i="4" s="1"/>
  <c r="M2" i="4" a="1"/>
  <c r="L2" i="4" a="1"/>
  <c r="K2" i="4" a="1"/>
  <c r="K2" i="4" s="1"/>
  <c r="D4" i="4"/>
  <c r="F56" i="3"/>
  <c r="F60" i="3"/>
  <c r="F57" i="3"/>
  <c r="F58" i="3"/>
  <c r="F59" i="3"/>
  <c r="F55" i="3"/>
  <c r="E60" i="3"/>
  <c r="E59" i="3"/>
  <c r="E58" i="3"/>
  <c r="E57" i="3"/>
  <c r="E56" i="3"/>
  <c r="E55" i="3"/>
  <c r="I12" i="4" l="1"/>
  <c r="Q4" i="4"/>
  <c r="Q3" i="4"/>
  <c r="Q2" i="4"/>
  <c r="T2" i="4" a="1"/>
  <c r="M4" i="4"/>
  <c r="M3" i="4"/>
  <c r="M2" i="4"/>
  <c r="N2" i="4" a="1"/>
  <c r="R2" i="4" a="1"/>
  <c r="K4" i="4"/>
  <c r="K3" i="4"/>
  <c r="O4" i="4"/>
  <c r="O3" i="4"/>
  <c r="L4" i="4"/>
  <c r="L3" i="4"/>
  <c r="P2" i="4" a="1"/>
  <c r="L2" i="4"/>
  <c r="B21" i="4"/>
  <c r="V2" i="4" s="1" a="1"/>
  <c r="S3" i="4"/>
  <c r="U3" i="4"/>
  <c r="B42" i="4"/>
  <c r="B43" i="4" s="1"/>
  <c r="B44" i="4" s="1"/>
  <c r="B45" i="4" s="1"/>
  <c r="B46" i="4" s="1"/>
  <c r="B47" i="4" s="1"/>
  <c r="B55" i="3" a="1"/>
  <c r="C55" i="3" s="1"/>
  <c r="B42" i="3" a="1"/>
  <c r="B42" i="3" s="1"/>
  <c r="D60" i="3"/>
  <c r="D59" i="3"/>
  <c r="D58" i="3"/>
  <c r="D57" i="3"/>
  <c r="D56" i="3"/>
  <c r="D55" i="3"/>
  <c r="D47" i="3"/>
  <c r="D46" i="3"/>
  <c r="D45" i="3"/>
  <c r="D44" i="3"/>
  <c r="D43" i="3"/>
  <c r="D42" i="3"/>
  <c r="B31" i="3" a="1"/>
  <c r="B31" i="3" s="1"/>
  <c r="C16" i="3"/>
  <c r="B16" i="3"/>
  <c r="I12" i="3"/>
  <c r="I9" i="3"/>
  <c r="L9" i="3"/>
  <c r="K9" i="3"/>
  <c r="J9" i="3"/>
  <c r="F21" i="4"/>
  <c r="E16" i="4"/>
  <c r="F19" i="4"/>
  <c r="F35" i="4"/>
  <c r="E42" i="4"/>
  <c r="F45" i="4"/>
  <c r="F47" i="4"/>
  <c r="F57" i="4"/>
  <c r="F59" i="4"/>
  <c r="F16" i="4"/>
  <c r="F17" i="4"/>
  <c r="F42" i="4"/>
  <c r="F43" i="4"/>
  <c r="F33" i="4"/>
  <c r="F18" i="4"/>
  <c r="F20" i="4"/>
  <c r="E31" i="4"/>
  <c r="F34" i="4"/>
  <c r="F36" i="4"/>
  <c r="F44" i="4"/>
  <c r="F46" i="4"/>
  <c r="E55" i="4"/>
  <c r="F58" i="4"/>
  <c r="F60" i="4"/>
  <c r="F31" i="4"/>
  <c r="F32" i="4"/>
  <c r="F55" i="4"/>
  <c r="F56" i="4"/>
  <c r="F43" i="3"/>
  <c r="F47" i="3"/>
  <c r="F44" i="3"/>
  <c r="F45" i="3"/>
  <c r="F46" i="3"/>
  <c r="F42" i="3"/>
  <c r="E47" i="3"/>
  <c r="E46" i="3"/>
  <c r="E45" i="3"/>
  <c r="E44" i="3"/>
  <c r="E43" i="3"/>
  <c r="E42" i="3"/>
  <c r="D4" i="3"/>
  <c r="G55" i="4" l="1"/>
  <c r="H55" i="4" s="1"/>
  <c r="G31" i="4"/>
  <c r="H31" i="4" s="1"/>
  <c r="G42" i="4"/>
  <c r="H42" i="4" s="1"/>
  <c r="G16" i="4"/>
  <c r="H16" i="4" s="1"/>
  <c r="V4" i="4"/>
  <c r="V3" i="4"/>
  <c r="V2" i="4"/>
  <c r="R4" i="4"/>
  <c r="R3" i="4"/>
  <c r="R2" i="4"/>
  <c r="P4" i="4"/>
  <c r="P3" i="4"/>
  <c r="P2" i="4"/>
  <c r="N4" i="4"/>
  <c r="N3" i="4"/>
  <c r="N2" i="4"/>
  <c r="T4" i="4"/>
  <c r="T3" i="4"/>
  <c r="T2" i="4"/>
  <c r="B55" i="3"/>
  <c r="B56" i="3" s="1"/>
  <c r="B57" i="3" s="1"/>
  <c r="B58" i="3" s="1"/>
  <c r="B59" i="3" s="1"/>
  <c r="B60" i="3" s="1"/>
  <c r="C42" i="3"/>
  <c r="G58" i="3"/>
  <c r="J58" i="3"/>
  <c r="G60" i="3"/>
  <c r="J60" i="3"/>
  <c r="G55" i="3"/>
  <c r="H55" i="3" s="1"/>
  <c r="J56" i="3"/>
  <c r="G56" i="3"/>
  <c r="G57" i="3"/>
  <c r="J57" i="3"/>
  <c r="G59" i="3"/>
  <c r="J59" i="3"/>
  <c r="K59" i="3" s="1"/>
  <c r="C56" i="3"/>
  <c r="C57" i="3" s="1"/>
  <c r="C58" i="3" s="1"/>
  <c r="C59" i="3" s="1"/>
  <c r="C60" i="3" s="1"/>
  <c r="C43" i="3"/>
  <c r="C44" i="3" s="1"/>
  <c r="C45" i="3" s="1"/>
  <c r="C46" i="3" s="1"/>
  <c r="C47" i="3" s="1"/>
  <c r="G44" i="3"/>
  <c r="J44" i="3"/>
  <c r="G46" i="3"/>
  <c r="J46" i="3"/>
  <c r="J45" i="3"/>
  <c r="G45" i="3"/>
  <c r="J47" i="3"/>
  <c r="G47" i="3"/>
  <c r="G42" i="3"/>
  <c r="H42" i="3" s="1"/>
  <c r="G43" i="3"/>
  <c r="J43" i="3"/>
  <c r="B43" i="3"/>
  <c r="B44" i="3" s="1"/>
  <c r="B45" i="3" s="1"/>
  <c r="B46" i="3" s="1"/>
  <c r="B47" i="3" s="1"/>
  <c r="C31" i="3"/>
  <c r="D36" i="3"/>
  <c r="D32" i="3"/>
  <c r="D33" i="3"/>
  <c r="D34" i="3"/>
  <c r="D35" i="3"/>
  <c r="D31" i="3"/>
  <c r="D17" i="3"/>
  <c r="D18" i="3"/>
  <c r="D19" i="3"/>
  <c r="D20" i="3"/>
  <c r="D21" i="3"/>
  <c r="D16" i="3"/>
  <c r="E45" i="4"/>
  <c r="E19" i="4"/>
  <c r="E58" i="4"/>
  <c r="E34" i="4"/>
  <c r="E47" i="4"/>
  <c r="E21" i="4"/>
  <c r="E60" i="4"/>
  <c r="E36" i="4"/>
  <c r="E59" i="4"/>
  <c r="E35" i="4"/>
  <c r="E46" i="4"/>
  <c r="E20" i="4"/>
  <c r="E56" i="4"/>
  <c r="E32" i="4"/>
  <c r="E43" i="4"/>
  <c r="E17" i="4"/>
  <c r="E57" i="4"/>
  <c r="E33" i="4"/>
  <c r="E44" i="4"/>
  <c r="E18" i="4"/>
  <c r="F21" i="3"/>
  <c r="G18" i="4" l="1"/>
  <c r="J18" i="4"/>
  <c r="G44" i="4"/>
  <c r="J44" i="4"/>
  <c r="J33" i="4"/>
  <c r="G33" i="4"/>
  <c r="G57" i="4"/>
  <c r="J57" i="4"/>
  <c r="G17" i="4"/>
  <c r="J17" i="4"/>
  <c r="G43" i="4"/>
  <c r="J43" i="4"/>
  <c r="J32" i="4"/>
  <c r="G32" i="4"/>
  <c r="J56" i="4"/>
  <c r="G56" i="4"/>
  <c r="G20" i="4"/>
  <c r="J20" i="4"/>
  <c r="G46" i="4"/>
  <c r="J46" i="4"/>
  <c r="G35" i="4"/>
  <c r="J35" i="4"/>
  <c r="G59" i="4"/>
  <c r="J59" i="4"/>
  <c r="G36" i="4"/>
  <c r="J36" i="4"/>
  <c r="K36" i="4" s="1"/>
  <c r="G60" i="4"/>
  <c r="J60" i="4"/>
  <c r="K60" i="4" s="1"/>
  <c r="G21" i="4"/>
  <c r="J21" i="4"/>
  <c r="K21" i="4" s="1"/>
  <c r="G47" i="4"/>
  <c r="J47" i="4"/>
  <c r="K47" i="4" s="1"/>
  <c r="G34" i="4"/>
  <c r="J34" i="4"/>
  <c r="G58" i="4"/>
  <c r="J58" i="4"/>
  <c r="K58" i="4" s="1"/>
  <c r="G19" i="4"/>
  <c r="J19" i="4"/>
  <c r="K19" i="4" s="1"/>
  <c r="G45" i="4"/>
  <c r="J45" i="4"/>
  <c r="K45" i="4" s="1"/>
  <c r="I55" i="4"/>
  <c r="I56" i="4" s="1"/>
  <c r="I57" i="4" s="1"/>
  <c r="I58" i="4" s="1"/>
  <c r="I59" i="4" s="1"/>
  <c r="I60" i="4" s="1"/>
  <c r="H56" i="4"/>
  <c r="H57" i="4" s="1"/>
  <c r="H58" i="4" s="1"/>
  <c r="H59" i="4" s="1"/>
  <c r="H60" i="4" s="1"/>
  <c r="H17" i="4"/>
  <c r="H18" i="4" s="1"/>
  <c r="H19" i="4" s="1"/>
  <c r="H20" i="4" s="1"/>
  <c r="H21" i="4" s="1"/>
  <c r="I16" i="4"/>
  <c r="I17" i="4" s="1"/>
  <c r="I18" i="4" s="1"/>
  <c r="I19" i="4" s="1"/>
  <c r="I20" i="4" s="1"/>
  <c r="I21" i="4" s="1"/>
  <c r="H43" i="4"/>
  <c r="H44" i="4" s="1"/>
  <c r="H45" i="4" s="1"/>
  <c r="H46" i="4" s="1"/>
  <c r="H47" i="4" s="1"/>
  <c r="I42" i="4"/>
  <c r="I43" i="4" s="1"/>
  <c r="I44" i="4" s="1"/>
  <c r="I45" i="4" s="1"/>
  <c r="I46" i="4" s="1"/>
  <c r="I47" i="4" s="1"/>
  <c r="I31" i="4"/>
  <c r="I32" i="4" s="1"/>
  <c r="I33" i="4" s="1"/>
  <c r="I34" i="4" s="1"/>
  <c r="I35" i="4" s="1"/>
  <c r="I36" i="4" s="1"/>
  <c r="H32" i="4"/>
  <c r="H33" i="4" s="1"/>
  <c r="H34" i="4" s="1"/>
  <c r="H35" i="4" s="1"/>
  <c r="H36" i="4" s="1"/>
  <c r="K57" i="3"/>
  <c r="K60" i="3"/>
  <c r="K58" i="3"/>
  <c r="I55" i="3"/>
  <c r="I56" i="3" s="1"/>
  <c r="I57" i="3" s="1"/>
  <c r="I58" i="3" s="1"/>
  <c r="I59" i="3" s="1"/>
  <c r="I60" i="3" s="1"/>
  <c r="H56" i="3"/>
  <c r="H57" i="3" s="1"/>
  <c r="H58" i="3" s="1"/>
  <c r="H59" i="3" s="1"/>
  <c r="H60" i="3" s="1"/>
  <c r="K47" i="3"/>
  <c r="K45" i="3"/>
  <c r="I42" i="3"/>
  <c r="I43" i="3" s="1"/>
  <c r="I44" i="3" s="1"/>
  <c r="I45" i="3" s="1"/>
  <c r="I46" i="3" s="1"/>
  <c r="I47" i="3" s="1"/>
  <c r="H43" i="3"/>
  <c r="H44" i="3" s="1"/>
  <c r="H45" i="3" s="1"/>
  <c r="H46" i="3" s="1"/>
  <c r="H47" i="3" s="1"/>
  <c r="K46" i="3"/>
  <c r="K44" i="3"/>
  <c r="B17" i="3"/>
  <c r="C17" i="3"/>
  <c r="K33" i="4" l="1"/>
  <c r="K59" i="4"/>
  <c r="K46" i="4"/>
  <c r="K57" i="4"/>
  <c r="K44" i="4"/>
  <c r="K34" i="4"/>
  <c r="K35" i="4"/>
  <c r="K20" i="4"/>
  <c r="K18" i="4"/>
  <c r="C32" i="3"/>
  <c r="C33" i="3" s="1"/>
  <c r="C34" i="3" s="1"/>
  <c r="C35" i="3" s="1"/>
  <c r="C36" i="3" s="1"/>
  <c r="B32" i="3"/>
  <c r="B33" i="3" s="1"/>
  <c r="B34" i="3" s="1"/>
  <c r="B35" i="3" s="1"/>
  <c r="B36" i="3" s="1"/>
  <c r="C18" i="3" l="1"/>
  <c r="C19" i="3" s="1"/>
  <c r="B18" i="3"/>
  <c r="N2" i="3" a="1"/>
  <c r="N2" i="3" s="1"/>
  <c r="L2" i="3" a="1"/>
  <c r="L2" i="3" s="1"/>
  <c r="U2" i="3" a="1"/>
  <c r="U2" i="3" s="1"/>
  <c r="S2" i="3" a="1"/>
  <c r="S4" i="3" s="1"/>
  <c r="Q2" i="3" a="1"/>
  <c r="Q4" i="3" s="1"/>
  <c r="O2" i="3" a="1"/>
  <c r="O4" i="3" s="1"/>
  <c r="M2" i="3" a="1"/>
  <c r="M4" i="3" s="1"/>
  <c r="K2" i="3" a="1"/>
  <c r="K2" i="3" s="1"/>
  <c r="B19" i="3" l="1"/>
  <c r="B20" i="3" s="1"/>
  <c r="B21" i="3" s="1"/>
  <c r="P2" i="3" a="1"/>
  <c r="P2" i="3" s="1"/>
  <c r="R2" i="3" a="1"/>
  <c r="R2" i="3" s="1"/>
  <c r="U3" i="3"/>
  <c r="C20" i="3"/>
  <c r="C21" i="3" s="1"/>
  <c r="U4" i="3"/>
  <c r="N4" i="3"/>
  <c r="N3" i="3"/>
  <c r="L4" i="3"/>
  <c r="L3" i="3"/>
  <c r="S2" i="3"/>
  <c r="S3" i="3"/>
  <c r="Q2" i="3"/>
  <c r="Q3" i="3"/>
  <c r="O2" i="3"/>
  <c r="O3" i="3"/>
  <c r="M3" i="3"/>
  <c r="M2" i="3"/>
  <c r="K4" i="3"/>
  <c r="K3" i="3"/>
  <c r="R4" i="3" l="1"/>
  <c r="P3" i="3"/>
  <c r="P4" i="3"/>
  <c r="R3" i="3"/>
  <c r="T2" i="3" a="1"/>
  <c r="T2" i="3" l="1"/>
  <c r="T4" i="3"/>
  <c r="T3" i="3"/>
  <c r="A9" i="3" l="1"/>
  <c r="A8" i="3"/>
  <c r="A7" i="3"/>
  <c r="A6" i="3"/>
  <c r="D35" i="2"/>
  <c r="C35" i="2"/>
  <c r="B33" i="2"/>
  <c r="B35" i="2"/>
  <c r="D30" i="2"/>
  <c r="C30" i="2"/>
  <c r="B30" i="2"/>
  <c r="B28" i="2"/>
  <c r="D25" i="2"/>
  <c r="C25" i="2"/>
  <c r="B25" i="2"/>
  <c r="B23" i="2"/>
  <c r="B18" i="2"/>
  <c r="A9" i="2" l="1"/>
  <c r="A8" i="2"/>
  <c r="A7" i="2"/>
  <c r="A6" i="2"/>
  <c r="D20" i="2"/>
  <c r="C20" i="2"/>
  <c r="B20" i="2"/>
  <c r="D4" i="2"/>
  <c r="F36" i="3"/>
  <c r="E19" i="3"/>
  <c r="F20" i="3"/>
  <c r="F32" i="3"/>
  <c r="E17" i="3"/>
  <c r="F18" i="3"/>
  <c r="F17" i="3"/>
  <c r="F31" i="3"/>
  <c r="E33" i="3"/>
  <c r="E18" i="3"/>
  <c r="E34" i="3"/>
  <c r="E16" i="3"/>
  <c r="F19" i="3"/>
  <c r="F16" i="3"/>
  <c r="E35" i="3"/>
  <c r="F34" i="3"/>
  <c r="E31" i="3"/>
  <c r="E20" i="3"/>
  <c r="E32" i="3"/>
  <c r="F33" i="3"/>
  <c r="F35" i="3"/>
  <c r="J34" i="3" l="1"/>
  <c r="J20" i="3"/>
  <c r="J18" i="3"/>
  <c r="J17" i="3"/>
  <c r="J19" i="3"/>
  <c r="J32" i="3"/>
  <c r="J35" i="3"/>
  <c r="J33" i="3"/>
  <c r="G16" i="3"/>
  <c r="V2" i="3" a="1"/>
  <c r="G31" i="3"/>
  <c r="H31" i="3" s="1"/>
  <c r="H32" i="3" s="1"/>
  <c r="G35" i="3"/>
  <c r="G32" i="3"/>
  <c r="G33" i="3"/>
  <c r="G34" i="3"/>
  <c r="G20" i="3"/>
  <c r="G17" i="3"/>
  <c r="G18" i="3"/>
  <c r="G19" i="3"/>
  <c r="H11" i="2"/>
  <c r="C9" i="1"/>
  <c r="B9" i="1"/>
  <c r="B10" i="1"/>
  <c r="K35" i="3" l="1"/>
  <c r="K18" i="3"/>
  <c r="K34" i="3"/>
  <c r="K19" i="3"/>
  <c r="K33" i="3"/>
  <c r="K20" i="3"/>
  <c r="H16" i="3"/>
  <c r="V4" i="3"/>
  <c r="V3" i="3"/>
  <c r="V2" i="3"/>
  <c r="H33" i="3"/>
  <c r="H34" i="3" s="1"/>
  <c r="H35" i="3" s="1"/>
  <c r="H36" i="3" s="1"/>
  <c r="I31" i="3"/>
  <c r="I32" i="3" s="1"/>
  <c r="B12" i="1"/>
  <c r="E36" i="3"/>
  <c r="E21" i="3"/>
  <c r="J36" i="3" l="1"/>
  <c r="K36" i="3" s="1"/>
  <c r="J21" i="3"/>
  <c r="K21" i="3" s="1"/>
  <c r="I16" i="3"/>
  <c r="I17" i="3" s="1"/>
  <c r="I18" i="3" s="1"/>
  <c r="I19" i="3" s="1"/>
  <c r="I20" i="3" s="1"/>
  <c r="I21" i="3" s="1"/>
  <c r="H17" i="3"/>
  <c r="H18" i="3" s="1"/>
  <c r="H19" i="3" s="1"/>
  <c r="H20" i="3" s="1"/>
  <c r="H21" i="3" s="1"/>
  <c r="G36" i="3"/>
  <c r="G21" i="3"/>
  <c r="I33" i="3"/>
  <c r="I34" i="3" s="1"/>
  <c r="I35" i="3" s="1"/>
  <c r="I36" i="3" s="1"/>
</calcChain>
</file>

<file path=xl/sharedStrings.xml><?xml version="1.0" encoding="utf-8"?>
<sst xmlns="http://schemas.openxmlformats.org/spreadsheetml/2006/main" count="227" uniqueCount="65">
  <si>
    <t>DI</t>
  </si>
  <si>
    <t>DO</t>
  </si>
  <si>
    <t>max value</t>
  </si>
  <si>
    <t>Product Specs</t>
  </si>
  <si>
    <t>CrvName</t>
  </si>
  <si>
    <t>USD</t>
  </si>
  <si>
    <t>Yield Curve Construction</t>
  </si>
  <si>
    <t>PayoffType</t>
  </si>
  <si>
    <t>InputType</t>
  </si>
  <si>
    <t>Strike</t>
  </si>
  <si>
    <t>TimeToMat</t>
  </si>
  <si>
    <t>Rate</t>
  </si>
  <si>
    <t>TimesToExer</t>
  </si>
  <si>
    <t>Spot</t>
  </si>
  <si>
    <t>DiscountCrv</t>
  </si>
  <si>
    <t>DivYield</t>
  </si>
  <si>
    <t>Volatility</t>
  </si>
  <si>
    <t>PDE Parameters</t>
  </si>
  <si>
    <t>NTimeSteps</t>
  </si>
  <si>
    <t>NSpotNodes</t>
  </si>
  <si>
    <t>NStdDevs</t>
  </si>
  <si>
    <t>Theta</t>
  </si>
  <si>
    <t>BarrierType</t>
  </si>
  <si>
    <t>Barrier Level</t>
  </si>
  <si>
    <t>Frequency</t>
  </si>
  <si>
    <t>UO</t>
  </si>
  <si>
    <t>FOR DO</t>
  </si>
  <si>
    <t>FOR UO</t>
  </si>
  <si>
    <t>Up and Out Call</t>
  </si>
  <si>
    <t>PDE</t>
  </si>
  <si>
    <t>Closed Form</t>
  </si>
  <si>
    <t>Monthly</t>
  </si>
  <si>
    <t>Weekly</t>
  </si>
  <si>
    <t>Daily</t>
  </si>
  <si>
    <t>Up and Out Put</t>
  </si>
  <si>
    <t>Down and Out Call</t>
  </si>
  <si>
    <t>Down and Out Put</t>
  </si>
  <si>
    <t>NOTE: Notice that the PDE knock-out barrier options all have higher prices than the continuously monitored closed form knock-out barrier options. This is because of the continuous monitoring making it more likely for an option to be knocked-out.</t>
  </si>
  <si>
    <t>PART C</t>
  </si>
  <si>
    <t>Crank-Nicholson: Theta = 0.5</t>
  </si>
  <si>
    <t>Fully Implicit: Theta = 1</t>
  </si>
  <si>
    <t>0: Monthly, 1:Weekly, 2: Daily</t>
  </si>
  <si>
    <t>Refinement</t>
  </si>
  <si>
    <t>Barrier Level 110</t>
  </si>
  <si>
    <t>Transpose to calculate</t>
  </si>
  <si>
    <t>Error</t>
  </si>
  <si>
    <t>QuadScaling</t>
  </si>
  <si>
    <t>LinearScaling</t>
  </si>
  <si>
    <t>AligntoBarrier</t>
  </si>
  <si>
    <t>Adusted Barrier Level</t>
  </si>
  <si>
    <t>Note: Adjusted barrier level is adjusted for the B-G-K adjustment formula</t>
  </si>
  <si>
    <t>Exact (using adjusted level)</t>
  </si>
  <si>
    <t>Question 1 Crank Nicholson and Fully Implicit</t>
  </si>
  <si>
    <t>Diff</t>
  </si>
  <si>
    <t>%Change in diff</t>
  </si>
  <si>
    <t>Verdict: exact price is wrong - remove this comment afterwards</t>
  </si>
  <si>
    <t>Initial Time Steps and Spot Nodes</t>
  </si>
  <si>
    <t>Barrier Level 125</t>
  </si>
  <si>
    <t>/green - can edit out</t>
  </si>
  <si>
    <t>PDE Price</t>
  </si>
  <si>
    <t>Exact Priced is obtained using the adjusted formula from Broadie-Glasserman-Kou</t>
  </si>
  <si>
    <t>Convergence is closer to linear, but exhibits many fluctuations.</t>
  </si>
  <si>
    <t>This is because of the explanation found in https://www.researchgate.net/profile/Aldo_Tagliani/publication/241128381_Discrete_Monitored_Barrier_Options_by_Finite_Difference_Schemes/links/0c96051e570b4bc941000000/Discrete-Monitored-Barrier-Options-by-Finite-Difference-Schemes.pdf</t>
  </si>
  <si>
    <t>Barrier Level 150</t>
  </si>
  <si>
    <t>AligntoBarrier is an entry that if 1, will set the grid to the barrier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</si>
</sst>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00000"/>
    <numFmt numFmtId="167" formatCode="0.000000"/>
    <numFmt numFmtId="168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2060"/>
      <name val="Arial"/>
      <family val="2"/>
    </font>
    <font>
      <sz val="10"/>
      <color rgb="FFC00000"/>
      <name val="Arial"/>
      <family val="2"/>
    </font>
    <font>
      <b/>
      <sz val="10"/>
      <color rgb="FF00206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9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  <xf numFmtId="164" fontId="4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1" fontId="4" fillId="0" borderId="0" xfId="0" applyNumberFormat="1" applyFon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8" fontId="0" fillId="0" borderId="0" xfId="0" applyNumberFormat="1"/>
    <xf numFmtId="1" fontId="0" fillId="0" borderId="0" xfId="0" applyNumberFormat="1"/>
    <xf numFmtId="0" fontId="9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10" fontId="13" fillId="0" borderId="0" xfId="0" applyNumberFormat="1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0" fontId="13" fillId="0" borderId="0" xfId="0" applyNumberFormat="1" applyFont="1"/>
    <xf numFmtId="0" fontId="0" fillId="0" borderId="0" xfId="0" applyAlignment="1">
      <alignment wrapText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110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Nicholson'!$G$16:$G$21</c:f>
              <c:numCache>
                <c:formatCode>General</c:formatCode>
                <c:ptCount val="6"/>
                <c:pt idx="0">
                  <c:v>1.8157853228555107E-2</c:v>
                </c:pt>
                <c:pt idx="1">
                  <c:v>1.3292613736771403E-2</c:v>
                </c:pt>
                <c:pt idx="2">
                  <c:v>8.7561138092346474E-3</c:v>
                </c:pt>
                <c:pt idx="3">
                  <c:v>1.5376081444307965E-3</c:v>
                </c:pt>
                <c:pt idx="4">
                  <c:v>5.7918827885970747E-4</c:v>
                </c:pt>
                <c:pt idx="5">
                  <c:v>1.9137250556554297E-4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58-42E4-8E4B-75FCD2497D7D}"/>
            </c:ext>
          </c:extLst>
        </c:ser>
        <c:ser>
          <c:idx val="1"/>
          <c:order val="1"/>
          <c:tx>
            <c:strRef>
              <c:f>'Question 1 Crank Nicholson'!$H$15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Nicholson'!$H$16:$H$21</c:f>
              <c:numCache>
                <c:formatCode>General</c:formatCode>
                <c:ptCount val="6"/>
                <c:pt idx="0" formatCode="0.000000">
                  <c:v>1.8157853228555107E-2</c:v>
                </c:pt>
                <c:pt idx="1">
                  <c:v>4.5394633071387767E-3</c:v>
                </c:pt>
                <c:pt idx="2">
                  <c:v>1.1348658267846942E-3</c:v>
                </c:pt>
                <c:pt idx="3">
                  <c:v>2.8371645669617355E-4</c:v>
                </c:pt>
                <c:pt idx="4">
                  <c:v>7.0929114174043387E-5</c:v>
                </c:pt>
                <c:pt idx="5">
                  <c:v>1.7732278543510847E-5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58-42E4-8E4B-75FCD2497D7D}"/>
            </c:ext>
          </c:extLst>
        </c:ser>
        <c:ser>
          <c:idx val="2"/>
          <c:order val="2"/>
          <c:tx>
            <c:strRef>
              <c:f>'Question 1 Crank Nicholson'!$I$15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Nicholson'!$I$16:$I$21</c:f>
              <c:numCache>
                <c:formatCode>General</c:formatCode>
                <c:ptCount val="6"/>
                <c:pt idx="0" formatCode="0.000000">
                  <c:v>1.8157853228555107E-2</c:v>
                </c:pt>
                <c:pt idx="1">
                  <c:v>9.0789266142775535E-3</c:v>
                </c:pt>
                <c:pt idx="2">
                  <c:v>4.5394633071387767E-3</c:v>
                </c:pt>
                <c:pt idx="3">
                  <c:v>2.2697316535693884E-3</c:v>
                </c:pt>
                <c:pt idx="4">
                  <c:v>1.1348658267846942E-3</c:v>
                </c:pt>
                <c:pt idx="5">
                  <c:v>5.6743291339234709E-4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58-42E4-8E4B-75FCD2497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125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Nicholson'!$G$31:$G$36</c:f>
              <c:numCache>
                <c:formatCode>General</c:formatCode>
                <c:ptCount val="6"/>
                <c:pt idx="0">
                  <c:v>0.11251589932198969</c:v>
                </c:pt>
                <c:pt idx="1">
                  <c:v>8.3120186841441512E-2</c:v>
                </c:pt>
                <c:pt idx="2">
                  <c:v>5.516795976891542E-2</c:v>
                </c:pt>
                <c:pt idx="3">
                  <c:v>8.7463367427644823E-3</c:v>
                </c:pt>
                <c:pt idx="4">
                  <c:v>3.0534700122637481E-3</c:v>
                </c:pt>
                <c:pt idx="5">
                  <c:v>6.3476957053376637E-4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8-4184-8F57-6A174A422890}"/>
            </c:ext>
          </c:extLst>
        </c:ser>
        <c:ser>
          <c:idx val="1"/>
          <c:order val="1"/>
          <c:tx>
            <c:strRef>
              <c:f>'Question 1 Crank Nicholson'!$H$15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Nicholson'!$H$31:$H$36</c:f>
              <c:numCache>
                <c:formatCode>General</c:formatCode>
                <c:ptCount val="6"/>
                <c:pt idx="0" formatCode="0.000000">
                  <c:v>0.11251589932198969</c:v>
                </c:pt>
                <c:pt idx="1">
                  <c:v>2.8128974830497422E-2</c:v>
                </c:pt>
                <c:pt idx="2">
                  <c:v>7.0322437076243555E-3</c:v>
                </c:pt>
                <c:pt idx="3">
                  <c:v>1.7580609269060889E-3</c:v>
                </c:pt>
                <c:pt idx="4">
                  <c:v>4.3951523172652222E-4</c:v>
                </c:pt>
                <c:pt idx="5">
                  <c:v>1.0987880793163055E-4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48-4184-8F57-6A174A422890}"/>
            </c:ext>
          </c:extLst>
        </c:ser>
        <c:ser>
          <c:idx val="2"/>
          <c:order val="2"/>
          <c:tx>
            <c:strRef>
              <c:f>'Question 1 Crank Nicholson'!$I$15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Nicholson'!$I$31:$I$36</c:f>
              <c:numCache>
                <c:formatCode>General</c:formatCode>
                <c:ptCount val="6"/>
                <c:pt idx="0" formatCode="0.000000">
                  <c:v>0.11251589932198969</c:v>
                </c:pt>
                <c:pt idx="1">
                  <c:v>5.6257949660994844E-2</c:v>
                </c:pt>
                <c:pt idx="2">
                  <c:v>2.8128974830497422E-2</c:v>
                </c:pt>
                <c:pt idx="3">
                  <c:v>1.4064487415248711E-2</c:v>
                </c:pt>
                <c:pt idx="4">
                  <c:v>7.0322437076243555E-3</c:v>
                </c:pt>
                <c:pt idx="5">
                  <c:v>3.5161218538121777E-3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8-4184-8F57-6A174A422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150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Nicholson'!$G$42:$G$47</c:f>
              <c:numCache>
                <c:formatCode>General</c:formatCode>
                <c:ptCount val="6"/>
                <c:pt idx="0">
                  <c:v>0.32437356767925518</c:v>
                </c:pt>
                <c:pt idx="1">
                  <c:v>0.1325332126820129</c:v>
                </c:pt>
                <c:pt idx="2">
                  <c:v>5.0169966271703004E-2</c:v>
                </c:pt>
                <c:pt idx="3">
                  <c:v>4.9220578947541505E-2</c:v>
                </c:pt>
                <c:pt idx="4">
                  <c:v>2.6398251646796211E-2</c:v>
                </c:pt>
                <c:pt idx="5">
                  <c:v>1.4386443101246371E-2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F-4B04-858E-0C0C4A7876EB}"/>
            </c:ext>
          </c:extLst>
        </c:ser>
        <c:ser>
          <c:idx val="1"/>
          <c:order val="1"/>
          <c:tx>
            <c:strRef>
              <c:f>'Question 1 Crank Nicholson'!$H$41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Nicholson'!$H$42:$H$47</c:f>
              <c:numCache>
                <c:formatCode>General</c:formatCode>
                <c:ptCount val="6"/>
                <c:pt idx="0" formatCode="0.000000">
                  <c:v>0.32437356767925518</c:v>
                </c:pt>
                <c:pt idx="1">
                  <c:v>8.1093391919813795E-2</c:v>
                </c:pt>
                <c:pt idx="2">
                  <c:v>2.0273347979953449E-2</c:v>
                </c:pt>
                <c:pt idx="3">
                  <c:v>5.0683369949883622E-3</c:v>
                </c:pt>
                <c:pt idx="4">
                  <c:v>1.2670842487470906E-3</c:v>
                </c:pt>
                <c:pt idx="5">
                  <c:v>3.1677106218677264E-4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7F-4B04-858E-0C0C4A7876EB}"/>
            </c:ext>
          </c:extLst>
        </c:ser>
        <c:ser>
          <c:idx val="2"/>
          <c:order val="2"/>
          <c:tx>
            <c:strRef>
              <c:f>'Question 1 Crank Nicholson'!$I$41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Nicholson'!$I$42:$I$47</c:f>
              <c:numCache>
                <c:formatCode>General</c:formatCode>
                <c:ptCount val="6"/>
                <c:pt idx="0" formatCode="0.000000">
                  <c:v>0.32437356767925518</c:v>
                </c:pt>
                <c:pt idx="1">
                  <c:v>0.16218678383962759</c:v>
                </c:pt>
                <c:pt idx="2">
                  <c:v>8.1093391919813795E-2</c:v>
                </c:pt>
                <c:pt idx="3">
                  <c:v>4.0546695959906898E-2</c:v>
                </c:pt>
                <c:pt idx="4">
                  <c:v>2.0273347979953449E-2</c:v>
                </c:pt>
                <c:pt idx="5">
                  <c:v>1.0136673989976724E-2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7F-4B04-858E-0C0C4A787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200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Nicholson'!$G$55:$G$60</c:f>
              <c:numCache>
                <c:formatCode>General</c:formatCode>
                <c:ptCount val="6"/>
                <c:pt idx="0">
                  <c:v>5.5457968344237329E-2</c:v>
                </c:pt>
                <c:pt idx="1">
                  <c:v>2.2389315302334012E-2</c:v>
                </c:pt>
                <c:pt idx="2">
                  <c:v>8.2606563887495099E-3</c:v>
                </c:pt>
                <c:pt idx="3">
                  <c:v>8.0555470638810078E-3</c:v>
                </c:pt>
                <c:pt idx="4">
                  <c:v>4.3419683045708979E-3</c:v>
                </c:pt>
                <c:pt idx="5">
                  <c:v>2.3687518001800356E-3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B-42FF-8FEB-A2A9B063E79B}"/>
            </c:ext>
          </c:extLst>
        </c:ser>
        <c:ser>
          <c:idx val="1"/>
          <c:order val="1"/>
          <c:tx>
            <c:strRef>
              <c:f>'Question 1 Crank Nicholson'!$H$41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Nicholson'!$H$55:$H$60</c:f>
              <c:numCache>
                <c:formatCode>General</c:formatCode>
                <c:ptCount val="6"/>
                <c:pt idx="0" formatCode="0.000000">
                  <c:v>5.5457968344237329E-2</c:v>
                </c:pt>
                <c:pt idx="1">
                  <c:v>1.3864492086059332E-2</c:v>
                </c:pt>
                <c:pt idx="2">
                  <c:v>3.4661230215148331E-3</c:v>
                </c:pt>
                <c:pt idx="3">
                  <c:v>8.6653075537870827E-4</c:v>
                </c:pt>
                <c:pt idx="4">
                  <c:v>2.1663268884467707E-4</c:v>
                </c:pt>
                <c:pt idx="5">
                  <c:v>5.4158172211169267E-5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B-42FF-8FEB-A2A9B063E79B}"/>
            </c:ext>
          </c:extLst>
        </c:ser>
        <c:ser>
          <c:idx val="2"/>
          <c:order val="2"/>
          <c:tx>
            <c:strRef>
              <c:f>'Question 1 Crank Nicholson'!$I$41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Nicholson'!$I$55:$I$60</c:f>
              <c:numCache>
                <c:formatCode>General</c:formatCode>
                <c:ptCount val="6"/>
                <c:pt idx="0" formatCode="0.000000">
                  <c:v>5.5457968344237329E-2</c:v>
                </c:pt>
                <c:pt idx="1">
                  <c:v>2.7728984172118665E-2</c:v>
                </c:pt>
                <c:pt idx="2">
                  <c:v>1.3864492086059332E-2</c:v>
                </c:pt>
                <c:pt idx="3">
                  <c:v>6.9322460430296662E-3</c:v>
                </c:pt>
                <c:pt idx="4">
                  <c:v>3.4661230215148331E-3</c:v>
                </c:pt>
                <c:pt idx="5">
                  <c:v>1.7330615107574165E-3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2B-42FF-8FEB-A2A9B063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110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 (2)'!$G$15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 (2)'!$A$16:$A$21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(2)'!$G$16:$G$21</c:f>
              <c:numCache>
                <c:formatCode>General</c:formatCode>
                <c:ptCount val="6"/>
                <c:pt idx="0">
                  <c:v>1.8157853228555107E-2</c:v>
                </c:pt>
                <c:pt idx="1">
                  <c:v>1.3292613736771403E-2</c:v>
                </c:pt>
                <c:pt idx="2">
                  <c:v>8.7561138092346474E-3</c:v>
                </c:pt>
                <c:pt idx="3">
                  <c:v>1.5376081444307965E-3</c:v>
                </c:pt>
                <c:pt idx="4">
                  <c:v>5.7918827885970747E-4</c:v>
                </c:pt>
                <c:pt idx="5">
                  <c:v>1.9137250556554297E-4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1E-4956-A9A1-78F03715C90B}"/>
            </c:ext>
          </c:extLst>
        </c:ser>
        <c:ser>
          <c:idx val="1"/>
          <c:order val="1"/>
          <c:tx>
            <c:strRef>
              <c:f>'Question 1 Crank Nicholson (2)'!$H$15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(2)'!$H$16:$H$21</c:f>
              <c:numCache>
                <c:formatCode>General</c:formatCode>
                <c:ptCount val="6"/>
                <c:pt idx="0" formatCode="0.000000">
                  <c:v>1.8157853228555107E-2</c:v>
                </c:pt>
                <c:pt idx="1">
                  <c:v>4.5394633071387767E-3</c:v>
                </c:pt>
                <c:pt idx="2">
                  <c:v>1.1348658267846942E-3</c:v>
                </c:pt>
                <c:pt idx="3">
                  <c:v>2.8371645669617355E-4</c:v>
                </c:pt>
                <c:pt idx="4">
                  <c:v>7.0929114174043387E-5</c:v>
                </c:pt>
                <c:pt idx="5">
                  <c:v>1.7732278543510847E-5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1E-4956-A9A1-78F03715C90B}"/>
            </c:ext>
          </c:extLst>
        </c:ser>
        <c:ser>
          <c:idx val="2"/>
          <c:order val="2"/>
          <c:tx>
            <c:strRef>
              <c:f>'Question 1 Crank Nicholson (2)'!$I$15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(2)'!$A$16:$A$21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(2)'!$I$16:$I$21</c:f>
              <c:numCache>
                <c:formatCode>General</c:formatCode>
                <c:ptCount val="6"/>
                <c:pt idx="0" formatCode="0.000000">
                  <c:v>1.8157853228555107E-2</c:v>
                </c:pt>
                <c:pt idx="1">
                  <c:v>9.0789266142775535E-3</c:v>
                </c:pt>
                <c:pt idx="2">
                  <c:v>4.5394633071387767E-3</c:v>
                </c:pt>
                <c:pt idx="3">
                  <c:v>2.2697316535693884E-3</c:v>
                </c:pt>
                <c:pt idx="4">
                  <c:v>1.1348658267846942E-3</c:v>
                </c:pt>
                <c:pt idx="5">
                  <c:v>5.6743291339234709E-4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1E-4956-A9A1-78F03715C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125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 (2)'!$G$15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 (2)'!$A$31:$A$36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(2)'!$G$31:$G$36</c:f>
              <c:numCache>
                <c:formatCode>General</c:formatCode>
                <c:ptCount val="6"/>
                <c:pt idx="0">
                  <c:v>0.11251589932198969</c:v>
                </c:pt>
                <c:pt idx="1">
                  <c:v>8.3120186841441512E-2</c:v>
                </c:pt>
                <c:pt idx="2">
                  <c:v>5.516795976891542E-2</c:v>
                </c:pt>
                <c:pt idx="3">
                  <c:v>8.7463367427644823E-3</c:v>
                </c:pt>
                <c:pt idx="4">
                  <c:v>3.0534700122637481E-3</c:v>
                </c:pt>
                <c:pt idx="5">
                  <c:v>6.3476957053376637E-4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0-46BC-B010-A13C0A559FC2}"/>
            </c:ext>
          </c:extLst>
        </c:ser>
        <c:ser>
          <c:idx val="1"/>
          <c:order val="1"/>
          <c:tx>
            <c:strRef>
              <c:f>'Question 1 Crank Nicholson (2)'!$H$15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(2)'!$H$31:$H$36</c:f>
              <c:numCache>
                <c:formatCode>General</c:formatCode>
                <c:ptCount val="6"/>
                <c:pt idx="0" formatCode="0.000000">
                  <c:v>0.11251589932198969</c:v>
                </c:pt>
                <c:pt idx="1">
                  <c:v>2.8128974830497422E-2</c:v>
                </c:pt>
                <c:pt idx="2">
                  <c:v>7.0322437076243555E-3</c:v>
                </c:pt>
                <c:pt idx="3">
                  <c:v>1.7580609269060889E-3</c:v>
                </c:pt>
                <c:pt idx="4">
                  <c:v>4.3951523172652222E-4</c:v>
                </c:pt>
                <c:pt idx="5">
                  <c:v>1.0987880793163055E-4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0-46BC-B010-A13C0A559FC2}"/>
            </c:ext>
          </c:extLst>
        </c:ser>
        <c:ser>
          <c:idx val="2"/>
          <c:order val="2"/>
          <c:tx>
            <c:strRef>
              <c:f>'Question 1 Crank Nicholson (2)'!$I$15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(2)'!$A$31:$A$36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(2)'!$I$31:$I$36</c:f>
              <c:numCache>
                <c:formatCode>General</c:formatCode>
                <c:ptCount val="6"/>
                <c:pt idx="0" formatCode="0.000000">
                  <c:v>0.11251589932198969</c:v>
                </c:pt>
                <c:pt idx="1">
                  <c:v>5.6257949660994844E-2</c:v>
                </c:pt>
                <c:pt idx="2">
                  <c:v>2.8128974830497422E-2</c:v>
                </c:pt>
                <c:pt idx="3">
                  <c:v>1.4064487415248711E-2</c:v>
                </c:pt>
                <c:pt idx="4">
                  <c:v>7.0322437076243555E-3</c:v>
                </c:pt>
                <c:pt idx="5">
                  <c:v>3.5161218538121777E-3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0-46BC-B010-A13C0A55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150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 (2)'!$G$41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 (2)'!$A$42:$A$47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(2)'!$G$42:$G$47</c:f>
              <c:numCache>
                <c:formatCode>General</c:formatCode>
                <c:ptCount val="6"/>
                <c:pt idx="0">
                  <c:v>0.32437356767925518</c:v>
                </c:pt>
                <c:pt idx="1">
                  <c:v>0.1325332126820129</c:v>
                </c:pt>
                <c:pt idx="2">
                  <c:v>5.0169966271703004E-2</c:v>
                </c:pt>
                <c:pt idx="3">
                  <c:v>4.9220578947541505E-2</c:v>
                </c:pt>
                <c:pt idx="4">
                  <c:v>2.6398251646796211E-2</c:v>
                </c:pt>
                <c:pt idx="5">
                  <c:v>1.4386443101246371E-2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07-477C-B78B-DC809689B085}"/>
            </c:ext>
          </c:extLst>
        </c:ser>
        <c:ser>
          <c:idx val="1"/>
          <c:order val="1"/>
          <c:tx>
            <c:strRef>
              <c:f>'Question 1 Crank Nicholson (2)'!$H$41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(2)'!$H$42:$H$47</c:f>
              <c:numCache>
                <c:formatCode>General</c:formatCode>
                <c:ptCount val="6"/>
                <c:pt idx="0" formatCode="0.000000">
                  <c:v>0.32437356767925518</c:v>
                </c:pt>
                <c:pt idx="1">
                  <c:v>8.1093391919813795E-2</c:v>
                </c:pt>
                <c:pt idx="2">
                  <c:v>2.0273347979953449E-2</c:v>
                </c:pt>
                <c:pt idx="3">
                  <c:v>5.0683369949883622E-3</c:v>
                </c:pt>
                <c:pt idx="4">
                  <c:v>1.2670842487470906E-3</c:v>
                </c:pt>
                <c:pt idx="5">
                  <c:v>3.1677106218677264E-4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07-477C-B78B-DC809689B085}"/>
            </c:ext>
          </c:extLst>
        </c:ser>
        <c:ser>
          <c:idx val="2"/>
          <c:order val="2"/>
          <c:tx>
            <c:strRef>
              <c:f>'Question 1 Crank Nicholson (2)'!$I$41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(2)'!$A$42:$A$47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(2)'!$I$42:$I$47</c:f>
              <c:numCache>
                <c:formatCode>General</c:formatCode>
                <c:ptCount val="6"/>
                <c:pt idx="0" formatCode="0.000000">
                  <c:v>0.32437356767925518</c:v>
                </c:pt>
                <c:pt idx="1">
                  <c:v>0.16218678383962759</c:v>
                </c:pt>
                <c:pt idx="2">
                  <c:v>8.1093391919813795E-2</c:v>
                </c:pt>
                <c:pt idx="3">
                  <c:v>4.0546695959906898E-2</c:v>
                </c:pt>
                <c:pt idx="4">
                  <c:v>2.0273347979953449E-2</c:v>
                </c:pt>
                <c:pt idx="5">
                  <c:v>1.0136673989976724E-2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07-477C-B78B-DC809689B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Convergence Graph for Barrier =</a:t>
            </a:r>
            <a:r>
              <a:rPr lang="en-US" sz="1200" baseline="0"/>
              <a:t> 200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 Crank Nicholson (2)'!$G$41</c:f>
              <c:strCache>
                <c:ptCount val="1"/>
                <c:pt idx="0">
                  <c:v>Error</c:v>
                </c:pt>
              </c:strCache>
            </c:strRef>
          </c:tx>
          <c:marker>
            <c:spPr>
              <a:ln w="38100">
                <a:solidFill>
                  <a:schemeClr val="accent1"/>
                </a:solidFill>
              </a:ln>
            </c:spPr>
          </c:marker>
          <c:xVal>
            <c:numRef>
              <c:f>'Question 1 Crank Nicholson (2)'!$A$55:$A$60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(2)'!$G$55:$G$60</c:f>
              <c:numCache>
                <c:formatCode>General</c:formatCode>
                <c:ptCount val="6"/>
                <c:pt idx="0">
                  <c:v>5.5457968344237329E-2</c:v>
                </c:pt>
                <c:pt idx="1">
                  <c:v>2.2389315302334012E-2</c:v>
                </c:pt>
                <c:pt idx="2">
                  <c:v>8.2606563887495099E-3</c:v>
                </c:pt>
                <c:pt idx="3">
                  <c:v>8.0555470638810078E-3</c:v>
                </c:pt>
                <c:pt idx="4">
                  <c:v>4.3419683045708979E-3</c:v>
                </c:pt>
                <c:pt idx="5">
                  <c:v>2.3687518001800356E-3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6-4BFC-AA93-729DF00430A4}"/>
            </c:ext>
          </c:extLst>
        </c:ser>
        <c:ser>
          <c:idx val="1"/>
          <c:order val="1"/>
          <c:tx>
            <c:strRef>
              <c:f>'Question 1 Crank Nicholson (2)'!$H$41</c:f>
              <c:strCache>
                <c:ptCount val="1"/>
                <c:pt idx="0">
                  <c:v>QuadScaling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(2)'!$H$55:$H$60</c:f>
              <c:numCache>
                <c:formatCode>General</c:formatCode>
                <c:ptCount val="6"/>
                <c:pt idx="0" formatCode="0.000000">
                  <c:v>5.5457968344237329E-2</c:v>
                </c:pt>
                <c:pt idx="1">
                  <c:v>1.3864492086059332E-2</c:v>
                </c:pt>
                <c:pt idx="2">
                  <c:v>3.4661230215148331E-3</c:v>
                </c:pt>
                <c:pt idx="3">
                  <c:v>8.6653075537870827E-4</c:v>
                </c:pt>
                <c:pt idx="4">
                  <c:v>2.1663268884467707E-4</c:v>
                </c:pt>
                <c:pt idx="5">
                  <c:v>5.4158172211169267E-5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36-4BFC-AA93-729DF00430A4}"/>
            </c:ext>
          </c:extLst>
        </c:ser>
        <c:ser>
          <c:idx val="2"/>
          <c:order val="2"/>
          <c:tx>
            <c:strRef>
              <c:f>'Question 1 Crank Nicholson (2)'!$I$41</c:f>
              <c:strCache>
                <c:ptCount val="1"/>
                <c:pt idx="0">
                  <c:v>LinearScaling</c:v>
                </c:pt>
              </c:strCache>
            </c:strRef>
          </c:tx>
          <c:marker>
            <c:symbol val="none"/>
          </c:marker>
          <c:xVal>
            <c:numRef>
              <c:f>'Question 1 Crank Nicholson (2)'!$A$55:$A$60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'Question 1 Crank Nicholson (2)'!$I$55:$I$60</c:f>
              <c:numCache>
                <c:formatCode>General</c:formatCode>
                <c:ptCount val="6"/>
                <c:pt idx="0" formatCode="0.000000">
                  <c:v>5.5457968344237329E-2</c:v>
                </c:pt>
                <c:pt idx="1">
                  <c:v>2.7728984172118665E-2</c:v>
                </c:pt>
                <c:pt idx="2">
                  <c:v>1.3864492086059332E-2</c:v>
                </c:pt>
                <c:pt idx="3">
                  <c:v>6.9322460430296662E-3</c:v>
                </c:pt>
                <c:pt idx="4">
                  <c:v>3.4661230215148331E-3</c:v>
                </c:pt>
                <c:pt idx="5">
                  <c:v>1.7330615107574165E-3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36-4BFC-AA93-729DF0043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2048"/>
        <c:axId val="2112636352"/>
      </c:scatterChart>
      <c:valAx>
        <c:axId val="10047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Refinement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2636352"/>
        <c:crossesAt val="-0.1"/>
        <c:crossBetween val="midCat"/>
      </c:valAx>
      <c:valAx>
        <c:axId val="21126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472048"/>
        <c:crossesAt val="0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0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61912</xdr:colOff>
      <xdr:row>14</xdr:row>
      <xdr:rowOff>309561</xdr:rowOff>
    </xdr:from>
    <xdr:to>
      <xdr:col>20</xdr:col>
      <xdr:colOff>619125</xdr:colOff>
      <xdr:row>27</xdr:row>
      <xdr:rowOff>65721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52251-B0E8-400A-B54E-4F917708C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52388</xdr:colOff>
      <xdr:row>27</xdr:row>
      <xdr:rowOff>61912</xdr:rowOff>
    </xdr:from>
    <xdr:to>
      <xdr:col>20</xdr:col>
      <xdr:colOff>609601</xdr:colOff>
      <xdr:row>40</xdr:row>
      <xdr:rowOff>180022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39977-3A34-4899-BB9C-66F3A08D7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40</xdr:row>
      <xdr:rowOff>204788</xdr:rowOff>
    </xdr:from>
    <xdr:to>
      <xdr:col>20</xdr:col>
      <xdr:colOff>614363</xdr:colOff>
      <xdr:row>53</xdr:row>
      <xdr:rowOff>322898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410888-4E8E-491B-9CA4-9C81DD5BD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61913</xdr:colOff>
      <xdr:row>53</xdr:row>
      <xdr:rowOff>338137</xdr:rowOff>
    </xdr:from>
    <xdr:to>
      <xdr:col>20</xdr:col>
      <xdr:colOff>619126</xdr:colOff>
      <xdr:row>68</xdr:row>
      <xdr:rowOff>94297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D0D0B6-DE1B-42CD-AEE9-E1F583FD3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61912</xdr:colOff>
      <xdr:row>14</xdr:row>
      <xdr:rowOff>309561</xdr:rowOff>
    </xdr:from>
    <xdr:to>
      <xdr:col>20</xdr:col>
      <xdr:colOff>619125</xdr:colOff>
      <xdr:row>27</xdr:row>
      <xdr:rowOff>65721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ADF99-139A-4280-A074-F45D99D87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52388</xdr:colOff>
      <xdr:row>27</xdr:row>
      <xdr:rowOff>61912</xdr:rowOff>
    </xdr:from>
    <xdr:to>
      <xdr:col>20</xdr:col>
      <xdr:colOff>609601</xdr:colOff>
      <xdr:row>40</xdr:row>
      <xdr:rowOff>180022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8196B-49E8-4573-8F53-24FB131D4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40</xdr:row>
      <xdr:rowOff>204788</xdr:rowOff>
    </xdr:from>
    <xdr:to>
      <xdr:col>20</xdr:col>
      <xdr:colOff>614363</xdr:colOff>
      <xdr:row>53</xdr:row>
      <xdr:rowOff>322898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9C4BF-A605-413E-A070-27C50B749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61913</xdr:colOff>
      <xdr:row>53</xdr:row>
      <xdr:rowOff>338137</xdr:rowOff>
    </xdr:from>
    <xdr:to>
      <xdr:col>20</xdr:col>
      <xdr:colOff>619126</xdr:colOff>
      <xdr:row>68</xdr:row>
      <xdr:rowOff>94297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30A93F-6EB3-4989-9A73-104B647A9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78E1-A581-4AF2-BE47-ECEDCD2A76B5}">
  <dimension ref="B2:J12"/>
  <sheetViews>
    <sheetView workbookViewId="0">
      <selection activeCell="B12" sqref="B12"/>
    </sheetView>
  </sheetViews>
  <sheetFormatPr defaultRowHeight="14.25" x14ac:dyDescent="0.45"/>
  <cols>
    <col min="2" max="2" width="12.19921875" bestFit="1" customWidth="1"/>
  </cols>
  <sheetData>
    <row r="2" spans="2:10" x14ac:dyDescent="0.45">
      <c r="B2">
        <v>1</v>
      </c>
      <c r="C2" t="s">
        <v>0</v>
      </c>
      <c r="D2">
        <v>101</v>
      </c>
      <c r="E2">
        <v>100</v>
      </c>
      <c r="F2">
        <v>99</v>
      </c>
      <c r="G2">
        <v>1</v>
      </c>
      <c r="H2">
        <v>0.05</v>
      </c>
      <c r="I2">
        <v>0.02</v>
      </c>
      <c r="J2">
        <v>0.4</v>
      </c>
    </row>
    <row r="3" spans="2:10" x14ac:dyDescent="0.45">
      <c r="C3" t="s">
        <v>1</v>
      </c>
    </row>
    <row r="8" spans="2:10" x14ac:dyDescent="0.45">
      <c r="C8" t="s">
        <v>2</v>
      </c>
    </row>
    <row r="9" spans="2:10" x14ac:dyDescent="0.45">
      <c r="B9">
        <f>_xll.ORF.BARRBS(B2,C2,D2,E2,F2,G2,H2,I2,J2)</f>
        <v>15.265662857083875</v>
      </c>
      <c r="C9">
        <f>_xll.ORF.EUROBS(B2,D2,E2,G2,H2,I2,J2)</f>
        <v>17.400341545937774</v>
      </c>
    </row>
    <row r="10" spans="2:10" x14ac:dyDescent="0.45">
      <c r="B10">
        <f>_xll.ORF.BARRBS(B2,C3,D2,E2,F2,G2,H2,I2,J2)</f>
        <v>2.1346786888538993</v>
      </c>
    </row>
    <row r="12" spans="2:10" x14ac:dyDescent="0.45">
      <c r="B12">
        <f>B9+B10</f>
        <v>17.400341545937774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EA1-64BA-46DB-8EAC-AC0803F893F9}">
  <dimension ref="A1:L35"/>
  <sheetViews>
    <sheetView topLeftCell="A7" workbookViewId="0">
      <selection activeCell="B18" sqref="B18"/>
    </sheetView>
  </sheetViews>
  <sheetFormatPr defaultRowHeight="14.25" x14ac:dyDescent="0.45"/>
  <cols>
    <col min="1" max="1" width="10.6640625" customWidth="1"/>
    <col min="2" max="2" width="22.1328125" customWidth="1"/>
    <col min="3" max="3" width="19" customWidth="1"/>
    <col min="4" max="4" width="20.19921875" customWidth="1"/>
  </cols>
  <sheetData>
    <row r="1" spans="1:12" ht="15.75" x14ac:dyDescent="0.5">
      <c r="A1" s="1" t="s">
        <v>38</v>
      </c>
    </row>
    <row r="2" spans="1:12" x14ac:dyDescent="0.45">
      <c r="G2" s="2" t="s">
        <v>3</v>
      </c>
    </row>
    <row r="3" spans="1:12" x14ac:dyDescent="0.45">
      <c r="A3" t="s">
        <v>4</v>
      </c>
      <c r="B3" s="3" t="s">
        <v>5</v>
      </c>
      <c r="D3" t="s">
        <v>6</v>
      </c>
      <c r="G3" t="s">
        <v>7</v>
      </c>
      <c r="H3" s="3">
        <v>1</v>
      </c>
      <c r="I3">
        <v>-1</v>
      </c>
    </row>
    <row r="4" spans="1:12" x14ac:dyDescent="0.45">
      <c r="A4" t="s">
        <v>8</v>
      </c>
      <c r="B4" s="10">
        <v>0</v>
      </c>
      <c r="D4" s="4" t="str">
        <f>_xll.ORF.YCCREATE($B$3, A6:A14, B6:B14,$B$4)</f>
        <v>USD¤2</v>
      </c>
      <c r="G4" t="s">
        <v>22</v>
      </c>
      <c r="H4" t="s">
        <v>25</v>
      </c>
      <c r="I4" t="s">
        <v>1</v>
      </c>
    </row>
    <row r="5" spans="1:12" x14ac:dyDescent="0.45">
      <c r="A5" t="s">
        <v>10</v>
      </c>
      <c r="B5" s="9" t="s">
        <v>11</v>
      </c>
      <c r="G5" t="s">
        <v>13</v>
      </c>
      <c r="H5" s="5">
        <v>100</v>
      </c>
    </row>
    <row r="6" spans="1:12" x14ac:dyDescent="0.45">
      <c r="A6" s="6">
        <f>1/12</f>
        <v>8.3333333333333329E-2</v>
      </c>
      <c r="B6" s="7">
        <v>0.05</v>
      </c>
      <c r="G6" t="s">
        <v>9</v>
      </c>
      <c r="H6" s="5">
        <v>100</v>
      </c>
    </row>
    <row r="7" spans="1:12" x14ac:dyDescent="0.45">
      <c r="A7" s="3">
        <f>1/4</f>
        <v>0.25</v>
      </c>
      <c r="B7" s="7">
        <v>0.05</v>
      </c>
      <c r="H7" t="s">
        <v>27</v>
      </c>
      <c r="I7" t="s">
        <v>26</v>
      </c>
    </row>
    <row r="8" spans="1:12" x14ac:dyDescent="0.45">
      <c r="A8" s="3">
        <f>1/2</f>
        <v>0.5</v>
      </c>
      <c r="B8" s="7">
        <v>0.05</v>
      </c>
      <c r="D8" s="11"/>
      <c r="E8" s="11"/>
      <c r="G8" t="s">
        <v>23</v>
      </c>
      <c r="H8">
        <v>108</v>
      </c>
      <c r="I8">
        <v>92</v>
      </c>
    </row>
    <row r="9" spans="1:12" x14ac:dyDescent="0.45">
      <c r="A9" s="3">
        <f>3/4</f>
        <v>0.75</v>
      </c>
      <c r="B9" s="7">
        <v>0.05</v>
      </c>
      <c r="D9" s="11"/>
      <c r="E9" s="11"/>
      <c r="G9" t="s">
        <v>12</v>
      </c>
      <c r="H9" s="5">
        <v>1</v>
      </c>
    </row>
    <row r="10" spans="1:12" x14ac:dyDescent="0.45">
      <c r="A10" s="3">
        <v>1</v>
      </c>
      <c r="B10" s="7">
        <v>0.05</v>
      </c>
      <c r="D10" s="11"/>
      <c r="E10" s="11"/>
      <c r="G10" t="s">
        <v>24</v>
      </c>
      <c r="H10" s="12">
        <v>0</v>
      </c>
      <c r="I10">
        <v>1</v>
      </c>
      <c r="J10">
        <v>2</v>
      </c>
      <c r="L10" t="s">
        <v>41</v>
      </c>
    </row>
    <row r="11" spans="1:12" x14ac:dyDescent="0.45">
      <c r="A11" s="3">
        <v>2</v>
      </c>
      <c r="B11" s="7">
        <v>0.05</v>
      </c>
      <c r="G11" t="s">
        <v>14</v>
      </c>
      <c r="H11" s="5" t="str">
        <f>D4</f>
        <v>USD¤2</v>
      </c>
    </row>
    <row r="12" spans="1:12" x14ac:dyDescent="0.45">
      <c r="A12" s="3">
        <v>3</v>
      </c>
      <c r="B12" s="7">
        <v>0.05</v>
      </c>
      <c r="G12" t="s">
        <v>15</v>
      </c>
      <c r="H12" s="7">
        <v>0.02</v>
      </c>
    </row>
    <row r="13" spans="1:12" x14ac:dyDescent="0.45">
      <c r="A13" s="3">
        <v>4</v>
      </c>
      <c r="B13" s="7">
        <v>0.05</v>
      </c>
      <c r="G13" t="s">
        <v>16</v>
      </c>
      <c r="H13" s="7">
        <v>0.3</v>
      </c>
    </row>
    <row r="14" spans="1:12" x14ac:dyDescent="0.45">
      <c r="A14" s="3">
        <v>5</v>
      </c>
      <c r="B14" s="7">
        <v>0.05</v>
      </c>
    </row>
    <row r="15" spans="1:12" x14ac:dyDescent="0.45">
      <c r="G15" s="2" t="s">
        <v>17</v>
      </c>
    </row>
    <row r="16" spans="1:12" x14ac:dyDescent="0.45">
      <c r="G16" s="3" t="s">
        <v>18</v>
      </c>
      <c r="H16" s="3">
        <v>500</v>
      </c>
    </row>
    <row r="17" spans="1:11" x14ac:dyDescent="0.45">
      <c r="B17" s="14" t="s">
        <v>28</v>
      </c>
      <c r="G17" s="3" t="s">
        <v>19</v>
      </c>
      <c r="H17" s="3">
        <v>500</v>
      </c>
    </row>
    <row r="18" spans="1:11" x14ac:dyDescent="0.45">
      <c r="A18" s="14" t="s">
        <v>30</v>
      </c>
      <c r="B18" s="13">
        <f>_xll.ORF.BARRBS($H$3,$H$4,$H$5,$H$6,$H$8, $H$9,$B$6,$H$12,$H$13)</f>
        <v>1.5937026375606678E-2</v>
      </c>
      <c r="C18" s="13"/>
      <c r="D18" s="13"/>
      <c r="G18" s="3" t="s">
        <v>20</v>
      </c>
      <c r="H18" s="8">
        <v>4</v>
      </c>
    </row>
    <row r="19" spans="1:11" x14ac:dyDescent="0.45">
      <c r="B19" s="14" t="s">
        <v>31</v>
      </c>
      <c r="C19" s="14" t="s">
        <v>32</v>
      </c>
      <c r="D19" s="14" t="s">
        <v>33</v>
      </c>
      <c r="G19" s="3" t="s">
        <v>21</v>
      </c>
      <c r="H19" s="8">
        <v>0.5</v>
      </c>
    </row>
    <row r="20" spans="1:11" x14ac:dyDescent="0.45">
      <c r="A20" s="14" t="s">
        <v>29</v>
      </c>
      <c r="B20" s="15">
        <f>_xll.ORF.BARRBSPDE($H$3,$H$6,$H$9,$H$5,$H$8,$H$10,$H$4,$H$11,$H$12,$H$13,$G$16:$H$19, 1)</f>
        <v>7.2573081612150564E-2</v>
      </c>
      <c r="C20" s="15">
        <f>_xll.ORF.BARRBSPDE($H$3,$H$6,$H$9,$H$5,$H$8,$I$10,$H$4,$H$11,$H$12,$H$13,$G$16:$H$19, 1)</f>
        <v>3.699320158899215E-2</v>
      </c>
      <c r="D20" s="15">
        <f>_xll.ORF.BARRBSPDE($H$3,$H$6,$H$9,$H$5,$H$8,$J$10,$H$4,$H$11,$H$12,$H$13,$G$16:$H$19, 1)</f>
        <v>2.0582246603160846E-2</v>
      </c>
    </row>
    <row r="22" spans="1:11" x14ac:dyDescent="0.45">
      <c r="B22" s="14" t="s">
        <v>35</v>
      </c>
    </row>
    <row r="23" spans="1:11" x14ac:dyDescent="0.45">
      <c r="A23" s="14" t="s">
        <v>30</v>
      </c>
      <c r="B23" s="13">
        <f>_xll.ORF.BARRBS($H$3,$I$4,$H$5,$H$6,$I$8, $H$9,$B$6,$H$12,$H$13)</f>
        <v>7.2501109401869162</v>
      </c>
      <c r="C23" s="13"/>
      <c r="D23" s="13"/>
    </row>
    <row r="24" spans="1:11" ht="14.25" customHeight="1" x14ac:dyDescent="0.45">
      <c r="B24" s="14" t="s">
        <v>31</v>
      </c>
      <c r="C24" s="14" t="s">
        <v>32</v>
      </c>
      <c r="D24" s="14" t="s">
        <v>33</v>
      </c>
      <c r="F24" s="23" t="s">
        <v>37</v>
      </c>
      <c r="G24" s="23"/>
      <c r="H24" s="23"/>
      <c r="I24" s="23"/>
      <c r="J24" s="23"/>
      <c r="K24" s="23"/>
    </row>
    <row r="25" spans="1:11" x14ac:dyDescent="0.45">
      <c r="A25" s="14" t="s">
        <v>29</v>
      </c>
      <c r="B25" s="15">
        <f>_xll.ORF.BARRBSPDE($H$3,$H$6,$H$9,$H$5,$I$8,$H$10,$I$4,$H$11,$H$12,$H$13,$G$16:$H$19, 1)</f>
        <v>9.9328653627141872</v>
      </c>
      <c r="C25" s="15">
        <f>_xll.ORF.BARRBSPDE($H$3,$H$6,$H$9,$H$5,$I$8,$I$10,$I$4,$H$11,$H$12,$H$13,$G$16:$H$19, 1)</f>
        <v>8.7475177445545036</v>
      </c>
      <c r="D25" s="15">
        <f>_xll.ORF.BARRBSPDE($H$3,$H$6,$H$9,$H$5,$I$8,$J$10,$I$4,$H$11,$H$12,$H$13,$G$16:$H$19, 1)</f>
        <v>7.8894420588175791</v>
      </c>
      <c r="F25" s="23"/>
      <c r="G25" s="23"/>
      <c r="H25" s="23"/>
      <c r="I25" s="23"/>
      <c r="J25" s="23"/>
      <c r="K25" s="23"/>
    </row>
    <row r="26" spans="1:11" x14ac:dyDescent="0.45">
      <c r="F26" s="23"/>
      <c r="G26" s="23"/>
      <c r="H26" s="23"/>
      <c r="I26" s="23"/>
      <c r="J26" s="23"/>
      <c r="K26" s="23"/>
    </row>
    <row r="27" spans="1:11" x14ac:dyDescent="0.45">
      <c r="B27" s="14" t="s">
        <v>34</v>
      </c>
      <c r="F27" s="23"/>
      <c r="G27" s="23"/>
      <c r="H27" s="23"/>
      <c r="I27" s="23"/>
      <c r="J27" s="23"/>
      <c r="K27" s="23"/>
    </row>
    <row r="28" spans="1:11" x14ac:dyDescent="0.45">
      <c r="A28" s="14" t="s">
        <v>30</v>
      </c>
      <c r="B28" s="13">
        <f>_xll.ORF.BARRBS($I$3,$H$4,$H$5,$H$6,$H$8, $H$9,$B$6,$H$12,$H$13)</f>
        <v>5.1190387241418254</v>
      </c>
      <c r="C28" s="13"/>
      <c r="D28" s="13"/>
    </row>
    <row r="29" spans="1:11" x14ac:dyDescent="0.45">
      <c r="B29" s="14" t="s">
        <v>31</v>
      </c>
      <c r="C29" s="14" t="s">
        <v>32</v>
      </c>
      <c r="D29" s="14" t="s">
        <v>33</v>
      </c>
    </row>
    <row r="30" spans="1:11" x14ac:dyDescent="0.45">
      <c r="A30" s="14" t="s">
        <v>29</v>
      </c>
      <c r="B30" s="15">
        <f>_xll.ORF.BARRBSPDE($I$3,$H$6,$H$9,$H$5,$H$8,$H$10,$H$4,$H$11,$H$12,$H$13,$G$16:$H$19, 1)</f>
        <v>7.2137666309937485</v>
      </c>
      <c r="C30" s="15">
        <f>_xll.ORF.BARRBSPDE($I$3,$H$6,$H$9,$H$5,$H$8,$I$10,$H$4,$H$11,$H$12,$H$13,$G$16:$H$19, 1)</f>
        <v>6.148854349887074</v>
      </c>
      <c r="D30" s="15">
        <f>_xll.ORF.BARRBSPDE($I$3,$H$6,$H$9,$H$5,$H$8,$J$10,$H$4,$H$11,$H$12,$H$13,$G$16:$H$19, 1)</f>
        <v>5.4103999886476206</v>
      </c>
    </row>
    <row r="32" spans="1:11" x14ac:dyDescent="0.45">
      <c r="B32" s="14" t="s">
        <v>36</v>
      </c>
    </row>
    <row r="33" spans="1:4" x14ac:dyDescent="0.45">
      <c r="A33" s="14" t="s">
        <v>30</v>
      </c>
      <c r="B33" s="13">
        <f>_xll.ORF.BARRBS($I$3,$I$4,$H$5,$H$6,$I$8, $H$9,$B$6,$H$12,$H$13)</f>
        <v>2.1221470619968485E-2</v>
      </c>
      <c r="C33" s="13"/>
      <c r="D33" s="13"/>
    </row>
    <row r="34" spans="1:4" x14ac:dyDescent="0.45">
      <c r="B34" s="14" t="s">
        <v>31</v>
      </c>
      <c r="C34" s="14" t="s">
        <v>32</v>
      </c>
      <c r="D34" s="14" t="s">
        <v>33</v>
      </c>
    </row>
    <row r="35" spans="1:4" x14ac:dyDescent="0.45">
      <c r="A35" s="14" t="s">
        <v>29</v>
      </c>
      <c r="B35" s="15">
        <f>_xll.ORF.BARRBSPDE($I$3,$H$6,$H$9,$H$5,$I$8,$H$10,$I$4,$H$11,$H$12,$H$13,$G$16:$H$19, 1)</f>
        <v>0.10289915233410289</v>
      </c>
      <c r="C35" s="15">
        <f>_xll.ORF.BARRBSPDE($I$3,$H$6,$H$9,$H$5,$I$8,$I$10,$I$4,$H$11,$H$12,$H$13,$G$16:$H$19, 1)</f>
        <v>5.5716158706307653E-2</v>
      </c>
      <c r="D35" s="15">
        <f>_xll.ORF.BARRBSPDE($I$3,$H$6,$H$9,$H$5,$I$8,$J$10,$I$4,$H$11,$H$12,$H$13,$G$16:$H$19, 1)</f>
        <v>3.3065465884736044E-2</v>
      </c>
    </row>
  </sheetData>
  <mergeCells count="1">
    <mergeCell ref="F24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3250-6526-47C8-9C8C-3A89F8D0700E}">
  <dimension ref="A1:V62"/>
  <sheetViews>
    <sheetView tabSelected="1" workbookViewId="0">
      <selection activeCell="J13" sqref="J13"/>
    </sheetView>
  </sheetViews>
  <sheetFormatPr defaultRowHeight="14.25" x14ac:dyDescent="0.45"/>
  <cols>
    <col min="1" max="1" width="30.33203125" customWidth="1"/>
    <col min="2" max="2" width="13.9296875" customWidth="1"/>
    <col min="3" max="3" width="12.06640625" customWidth="1"/>
    <col min="5" max="5" width="26.86328125" customWidth="1"/>
    <col min="6" max="6" width="15.46484375" customWidth="1"/>
    <col min="7" max="7" width="13.796875" customWidth="1"/>
    <col min="8" max="8" width="20.33203125" customWidth="1"/>
    <col min="9" max="9" width="11.9296875" customWidth="1"/>
    <col min="10" max="10" width="14.33203125" customWidth="1"/>
    <col min="11" max="11" width="11.9296875" customWidth="1"/>
  </cols>
  <sheetData>
    <row r="1" spans="1:22" ht="15.75" x14ac:dyDescent="0.5">
      <c r="A1" s="1" t="s">
        <v>52</v>
      </c>
      <c r="K1" s="14" t="s">
        <v>44</v>
      </c>
    </row>
    <row r="2" spans="1:22" x14ac:dyDescent="0.45">
      <c r="H2" s="2" t="s">
        <v>3</v>
      </c>
      <c r="K2" t="str">
        <f t="array" ref="K2:K4">TRANSPOSE($B$15:$D$15)</f>
        <v>NTimeSteps</v>
      </c>
      <c r="L2">
        <f t="array" ref="L2:L4">TRANSPOSE($B$16:$D$16)</f>
        <v>100</v>
      </c>
      <c r="M2" t="str">
        <f t="array" ref="M2:M4">TRANSPOSE($B$15:$D$15)</f>
        <v>NTimeSteps</v>
      </c>
      <c r="N2">
        <f t="array" ref="N2:N4">TRANSPOSE($B$17:$D$17)</f>
        <v>200</v>
      </c>
      <c r="O2" t="str">
        <f t="array" ref="O2:O4">TRANSPOSE($B$15:$D$15)</f>
        <v>NTimeSteps</v>
      </c>
      <c r="P2">
        <f t="array" ref="P2:P4">TRANSPOSE($B$18:$D$18)</f>
        <v>400</v>
      </c>
      <c r="Q2" t="str">
        <f t="array" ref="Q2:Q4">TRANSPOSE($B$15:$D$15)</f>
        <v>NTimeSteps</v>
      </c>
      <c r="R2">
        <f t="array" ref="R2:R4">TRANSPOSE($B$19:$D$19)</f>
        <v>800</v>
      </c>
      <c r="S2" t="str">
        <f t="array" ref="S2:S4">TRANSPOSE($B$15:$D$15)</f>
        <v>NTimeSteps</v>
      </c>
      <c r="T2">
        <f t="array" ref="T2:T4">TRANSPOSE($B$20:$D$20)</f>
        <v>1600</v>
      </c>
      <c r="U2" t="str">
        <f t="array" ref="U2:U4">TRANSPOSE($B$15:$D$15)</f>
        <v>NTimeSteps</v>
      </c>
      <c r="V2">
        <f t="array" ref="V2:V4">TRANSPOSE($B$21:$D$21)</f>
        <v>3200</v>
      </c>
    </row>
    <row r="3" spans="1:22" x14ac:dyDescent="0.45">
      <c r="A3" t="s">
        <v>4</v>
      </c>
      <c r="B3" s="3" t="s">
        <v>5</v>
      </c>
      <c r="D3" t="s">
        <v>6</v>
      </c>
      <c r="H3" t="s">
        <v>7</v>
      </c>
      <c r="I3" s="3">
        <v>1</v>
      </c>
      <c r="K3" t="str">
        <v>NSpotNodes</v>
      </c>
      <c r="L3">
        <v>100</v>
      </c>
      <c r="M3" t="str">
        <v>NSpotNodes</v>
      </c>
      <c r="N3">
        <v>200</v>
      </c>
      <c r="O3" t="str">
        <v>NSpotNodes</v>
      </c>
      <c r="P3">
        <v>400</v>
      </c>
      <c r="Q3" t="str">
        <v>NSpotNodes</v>
      </c>
      <c r="R3">
        <v>800</v>
      </c>
      <c r="S3" t="str">
        <v>NSpotNodes</v>
      </c>
      <c r="T3">
        <v>1600</v>
      </c>
      <c r="U3" t="str">
        <v>NSpotNodes</v>
      </c>
      <c r="V3">
        <v>3200</v>
      </c>
    </row>
    <row r="4" spans="1:22" x14ac:dyDescent="0.45">
      <c r="A4" t="s">
        <v>8</v>
      </c>
      <c r="B4" s="10">
        <v>0</v>
      </c>
      <c r="D4" s="4" t="str">
        <f>_xll.ORF.YCCREATE($B$3, A6:A11, B6:B11,$B$4)</f>
        <v>USD¤8</v>
      </c>
      <c r="H4" t="s">
        <v>22</v>
      </c>
      <c r="I4" t="s">
        <v>25</v>
      </c>
      <c r="K4" t="str">
        <v>Theta</v>
      </c>
      <c r="L4">
        <v>0.5</v>
      </c>
      <c r="M4" t="str">
        <v>Theta</v>
      </c>
      <c r="N4">
        <v>0.5</v>
      </c>
      <c r="O4" t="str">
        <v>Theta</v>
      </c>
      <c r="P4">
        <v>0.5</v>
      </c>
      <c r="Q4" t="str">
        <v>Theta</v>
      </c>
      <c r="R4">
        <v>0.5</v>
      </c>
      <c r="S4" t="str">
        <v>Theta</v>
      </c>
      <c r="T4">
        <v>0.5</v>
      </c>
      <c r="U4" t="str">
        <v>Theta</v>
      </c>
      <c r="V4">
        <v>0.5</v>
      </c>
    </row>
    <row r="5" spans="1:22" x14ac:dyDescent="0.45">
      <c r="A5" t="s">
        <v>10</v>
      </c>
      <c r="B5" s="9" t="s">
        <v>11</v>
      </c>
      <c r="H5" t="s">
        <v>13</v>
      </c>
      <c r="I5" s="5">
        <v>100</v>
      </c>
    </row>
    <row r="6" spans="1:22" x14ac:dyDescent="0.45">
      <c r="A6" s="6">
        <f>1/12</f>
        <v>8.3333333333333329E-2</v>
      </c>
      <c r="B6" s="7">
        <v>0</v>
      </c>
      <c r="E6" s="22" t="s">
        <v>55</v>
      </c>
      <c r="H6" t="s">
        <v>9</v>
      </c>
      <c r="I6" s="5">
        <v>100</v>
      </c>
      <c r="K6" t="s">
        <v>48</v>
      </c>
      <c r="L6">
        <v>1</v>
      </c>
      <c r="N6" t="s">
        <v>64</v>
      </c>
    </row>
    <row r="7" spans="1:22" x14ac:dyDescent="0.45">
      <c r="A7" s="3">
        <f>1/4</f>
        <v>0.25</v>
      </c>
      <c r="B7" s="7">
        <v>0</v>
      </c>
      <c r="D7" s="24" t="s">
        <v>50</v>
      </c>
      <c r="E7" s="24"/>
      <c r="F7" s="24"/>
      <c r="I7" t="s">
        <v>27</v>
      </c>
    </row>
    <row r="8" spans="1:22" ht="14.25" customHeight="1" x14ac:dyDescent="0.45">
      <c r="A8" s="3">
        <f>1/2</f>
        <v>0.5</v>
      </c>
      <c r="B8" s="7">
        <v>0</v>
      </c>
      <c r="D8" s="24"/>
      <c r="E8" s="24"/>
      <c r="F8" s="24"/>
      <c r="H8" t="s">
        <v>23</v>
      </c>
      <c r="I8">
        <v>110</v>
      </c>
      <c r="J8">
        <v>125</v>
      </c>
      <c r="K8">
        <v>150</v>
      </c>
      <c r="L8">
        <v>200</v>
      </c>
    </row>
    <row r="9" spans="1:22" x14ac:dyDescent="0.45">
      <c r="A9" s="3">
        <f>3/4</f>
        <v>0.75</v>
      </c>
      <c r="B9" s="7">
        <v>0</v>
      </c>
      <c r="D9" s="24"/>
      <c r="E9" s="24"/>
      <c r="F9" s="24"/>
      <c r="G9">
        <v>1</v>
      </c>
      <c r="H9" s="14" t="s">
        <v>49</v>
      </c>
      <c r="I9" s="20">
        <f>I8*EXP(0.5826*$I$14*SQRT(1/365))</f>
        <v>110.84180839486365</v>
      </c>
      <c r="J9" s="20">
        <f>J8*EXP(0.5826*$I$14*SQRT(1/365))</f>
        <v>125.95660044870868</v>
      </c>
      <c r="K9" s="20">
        <f>K8*EXP(0.5826*$I$14*SQRT(1/365))</f>
        <v>151.14792053845042</v>
      </c>
      <c r="L9" s="20">
        <f>L8*EXP(0.5826*$I$14*SQRT(1/365))</f>
        <v>201.53056071793389</v>
      </c>
    </row>
    <row r="10" spans="1:22" x14ac:dyDescent="0.45">
      <c r="A10" s="3">
        <v>1</v>
      </c>
      <c r="B10" s="7">
        <v>0</v>
      </c>
      <c r="D10" s="11"/>
      <c r="E10" s="11"/>
      <c r="F10" s="11"/>
      <c r="H10" t="s">
        <v>12</v>
      </c>
      <c r="I10" s="5">
        <v>1</v>
      </c>
      <c r="K10" t="s">
        <v>41</v>
      </c>
    </row>
    <row r="11" spans="1:22" x14ac:dyDescent="0.45">
      <c r="A11" s="3">
        <v>2</v>
      </c>
      <c r="B11" s="7">
        <v>0</v>
      </c>
      <c r="H11" t="s">
        <v>24</v>
      </c>
      <c r="I11" s="12">
        <v>2</v>
      </c>
      <c r="K11">
        <v>12</v>
      </c>
      <c r="L11">
        <v>52</v>
      </c>
      <c r="M11">
        <v>365</v>
      </c>
    </row>
    <row r="12" spans="1:22" x14ac:dyDescent="0.45">
      <c r="A12" s="3"/>
      <c r="B12" s="7"/>
      <c r="D12" t="s">
        <v>21</v>
      </c>
      <c r="E12">
        <v>0.5</v>
      </c>
      <c r="H12" t="s">
        <v>14</v>
      </c>
      <c r="I12" s="5" t="str">
        <f>D4</f>
        <v>USD¤8</v>
      </c>
      <c r="L12" t="s">
        <v>39</v>
      </c>
    </row>
    <row r="13" spans="1:22" x14ac:dyDescent="0.45">
      <c r="A13" t="s">
        <v>56</v>
      </c>
      <c r="B13" s="12">
        <v>100</v>
      </c>
      <c r="C13">
        <v>100</v>
      </c>
      <c r="H13" t="s">
        <v>15</v>
      </c>
      <c r="I13" s="7">
        <v>0</v>
      </c>
      <c r="L13" t="s">
        <v>40</v>
      </c>
    </row>
    <row r="14" spans="1:22" x14ac:dyDescent="0.45">
      <c r="A14" s="18" t="s">
        <v>43</v>
      </c>
      <c r="H14" t="s">
        <v>16</v>
      </c>
      <c r="I14" s="7">
        <v>0.25</v>
      </c>
    </row>
    <row r="15" spans="1:22" ht="28.5" x14ac:dyDescent="0.45">
      <c r="A15" s="14" t="s">
        <v>42</v>
      </c>
      <c r="B15" s="17" t="s">
        <v>18</v>
      </c>
      <c r="C15" s="17" t="s">
        <v>19</v>
      </c>
      <c r="D15" s="14" t="s">
        <v>21</v>
      </c>
      <c r="E15" s="14" t="s">
        <v>59</v>
      </c>
      <c r="F15" s="11" t="s">
        <v>51</v>
      </c>
      <c r="G15" s="14" t="s">
        <v>45</v>
      </c>
      <c r="H15" s="14" t="s">
        <v>46</v>
      </c>
      <c r="I15" s="14" t="s">
        <v>47</v>
      </c>
      <c r="J15" s="25" t="s">
        <v>53</v>
      </c>
      <c r="K15" s="25" t="s">
        <v>54</v>
      </c>
    </row>
    <row r="16" spans="1:22" x14ac:dyDescent="0.45">
      <c r="A16">
        <v>1</v>
      </c>
      <c r="B16" s="12">
        <f>B13</f>
        <v>100</v>
      </c>
      <c r="C16">
        <f>C13</f>
        <v>100</v>
      </c>
      <c r="D16">
        <f>$E$12</f>
        <v>0.5</v>
      </c>
      <c r="E16">
        <f>_xll.ORF.BARRBSPDE($I$3,$I$6,$I$10,$I$5,I$8,$I$11,$I$4,$I$12,$I$13,$I$14,$K$2:$L$4, $L$6)</f>
        <v>6.6898758006571205E-2</v>
      </c>
      <c r="F16">
        <f>_xll.ORF.BARRBS($I$3,$I$4,$I$5,$I$6,$I$9, $I$10,_xll.ORF.SPOTRATE($I$12,$I$10),$I$13,$I$14)</f>
        <v>8.5056611235126311E-2</v>
      </c>
      <c r="G16" s="19">
        <f>ABS(E16-F16)</f>
        <v>1.8157853228555107E-2</v>
      </c>
      <c r="H16" s="16">
        <f>G16</f>
        <v>1.8157853228555107E-2</v>
      </c>
      <c r="I16" s="16">
        <f>H16</f>
        <v>1.8157853228555107E-2</v>
      </c>
      <c r="J16" s="26"/>
      <c r="K16" s="27"/>
    </row>
    <row r="17" spans="1:13" x14ac:dyDescent="0.45">
      <c r="A17">
        <v>2</v>
      </c>
      <c r="B17" s="21">
        <f>B16*2</f>
        <v>200</v>
      </c>
      <c r="C17">
        <f>C16*2</f>
        <v>200</v>
      </c>
      <c r="D17">
        <f t="shared" ref="D17:D21" si="0">$E$12</f>
        <v>0.5</v>
      </c>
      <c r="E17">
        <f>_xll.ORF.BARRBSPDE($I$3,$I$6,$I$10,$I$5,I$8,$I$11,$I$4,$I$12,$I$13,$I$14,$M$2:$N$4, $L$6)</f>
        <v>7.1763997498354909E-2</v>
      </c>
      <c r="F17">
        <f>_xll.ORF.BARRBS($I$3,$I$4,$I$5,$I$6,$I$9, $I$10,_xll.ORF.SPOTRATE($I$12,$I$10),$I$13,$I$14)</f>
        <v>8.5056611235126311E-2</v>
      </c>
      <c r="G17" s="19">
        <f t="shared" ref="G17:G21" si="1">ABS(E17-F17)</f>
        <v>1.3292613736771403E-2</v>
      </c>
      <c r="H17" s="3">
        <f>H16/4</f>
        <v>4.5394633071387767E-3</v>
      </c>
      <c r="I17">
        <f>I16/2</f>
        <v>9.0789266142775535E-3</v>
      </c>
      <c r="J17" s="28">
        <f>E17-E16</f>
        <v>4.8652394917837044E-3</v>
      </c>
      <c r="K17" s="28"/>
    </row>
    <row r="18" spans="1:13" x14ac:dyDescent="0.45">
      <c r="A18">
        <v>3</v>
      </c>
      <c r="B18">
        <f t="shared" ref="B18:B21" si="2">B17*2</f>
        <v>400</v>
      </c>
      <c r="C18">
        <f t="shared" ref="C18:C21" si="3">C17*2</f>
        <v>400</v>
      </c>
      <c r="D18">
        <f t="shared" si="0"/>
        <v>0.5</v>
      </c>
      <c r="E18">
        <f>_xll.ORF.BARRBSPDE($I$3,$I$6,$I$10,$I$5,I$8,$I$11,$I$4,$I$12,$I$13,$I$14,$O$2:$P$4, $L$6)</f>
        <v>7.6300497425891664E-2</v>
      </c>
      <c r="F18">
        <f>_xll.ORF.BARRBS($I$3,$I$4,$I$5,$I$6,$I$9, $I$10,_xll.ORF.SPOTRATE($I$12,$I$10),$I$13,$I$14)</f>
        <v>8.5056611235126311E-2</v>
      </c>
      <c r="G18" s="19">
        <f t="shared" si="1"/>
        <v>8.7561138092346474E-3</v>
      </c>
      <c r="H18" s="3">
        <f t="shared" ref="H18:H21" si="4">H17/4</f>
        <v>1.1348658267846942E-3</v>
      </c>
      <c r="I18">
        <f t="shared" ref="I18:I21" si="5">I17/2</f>
        <v>4.5394633071387767E-3</v>
      </c>
      <c r="J18" s="28">
        <f>E18-E17</f>
        <v>4.5364999275367551E-3</v>
      </c>
      <c r="K18" s="29">
        <f>J18/J17</f>
        <v>0.93243095950320298</v>
      </c>
    </row>
    <row r="19" spans="1:13" x14ac:dyDescent="0.45">
      <c r="A19">
        <v>4</v>
      </c>
      <c r="B19">
        <f t="shared" si="2"/>
        <v>800</v>
      </c>
      <c r="C19">
        <f t="shared" si="3"/>
        <v>800</v>
      </c>
      <c r="D19">
        <f t="shared" si="0"/>
        <v>0.5</v>
      </c>
      <c r="E19">
        <f>_xll.ORF.BARRBSPDE($I$3,$I$6,$I$10,$I$5,I$8,$I$11,$I$4,$I$12,$I$13,$I$14,$Q$2:$R$4, $L$6)</f>
        <v>8.3519003090695515E-2</v>
      </c>
      <c r="F19">
        <f>_xll.ORF.BARRBS($I$3,$I$4,$I$5,$I$6,$I$9, $I$10,_xll.ORF.SPOTRATE($I$12,$I$10),$I$13,$I$14)</f>
        <v>8.5056611235126311E-2</v>
      </c>
      <c r="G19" s="19">
        <f t="shared" si="1"/>
        <v>1.5376081444307965E-3</v>
      </c>
      <c r="H19" s="3">
        <f t="shared" si="4"/>
        <v>2.8371645669617355E-4</v>
      </c>
      <c r="I19">
        <f t="shared" si="5"/>
        <v>2.2697316535693884E-3</v>
      </c>
      <c r="J19" s="28">
        <f>E19-E18</f>
        <v>7.2185056648038509E-3</v>
      </c>
      <c r="K19" s="29">
        <f t="shared" ref="K19:K21" si="6">J19/J18</f>
        <v>1.5912059473399751</v>
      </c>
    </row>
    <row r="20" spans="1:13" x14ac:dyDescent="0.45">
      <c r="A20">
        <v>5</v>
      </c>
      <c r="B20">
        <f t="shared" si="2"/>
        <v>1600</v>
      </c>
      <c r="C20">
        <f t="shared" si="3"/>
        <v>1600</v>
      </c>
      <c r="D20">
        <f t="shared" si="0"/>
        <v>0.5</v>
      </c>
      <c r="E20">
        <f>_xll.ORF.BARRBSPDE($I$3,$I$6,$I$10,$I$5,I$8,$I$11,$I$4,$I$12,$I$13,$I$14,$S$2:$T$4, $L$6)</f>
        <v>8.4477422956266604E-2</v>
      </c>
      <c r="F20">
        <f>_xll.ORF.BARRBS($I$3,$I$4,$I$5,$I$6,$I$9, $I$10,_xll.ORF.SPOTRATE($I$12,$I$10),$I$13,$I$14)</f>
        <v>8.5056611235126311E-2</v>
      </c>
      <c r="G20" s="19">
        <f t="shared" si="1"/>
        <v>5.7918827885970747E-4</v>
      </c>
      <c r="H20" s="3">
        <f t="shared" si="4"/>
        <v>7.0929114174043387E-5</v>
      </c>
      <c r="I20">
        <f t="shared" si="5"/>
        <v>1.1348658267846942E-3</v>
      </c>
      <c r="J20" s="28">
        <f>E20-E19</f>
        <v>9.5841986557108905E-4</v>
      </c>
      <c r="K20" s="29">
        <f t="shared" si="6"/>
        <v>0.13277261390043285</v>
      </c>
    </row>
    <row r="21" spans="1:13" x14ac:dyDescent="0.45">
      <c r="A21">
        <v>6</v>
      </c>
      <c r="B21">
        <f t="shared" si="2"/>
        <v>3200</v>
      </c>
      <c r="C21">
        <f t="shared" si="3"/>
        <v>3200</v>
      </c>
      <c r="D21">
        <f t="shared" si="0"/>
        <v>0.5</v>
      </c>
      <c r="E21">
        <f>_xll.ORF.BARRBSPDE($I$3,$I$6,$I$10,$I$5,I$8,$I$11,$I$4,$I$12,$I$13,$I$14,$U$2:$V$4, $L$6)</f>
        <v>8.4865238729560769E-2</v>
      </c>
      <c r="F21">
        <f>_xll.ORF.BARRBS($I$3,$I$4,$I$5,$I$6,$I$9, $I$10,_xll.ORF.SPOTRATE($I$12,$I$10),$I$13,$I$14)</f>
        <v>8.5056611235126311E-2</v>
      </c>
      <c r="G21" s="19">
        <f t="shared" si="1"/>
        <v>1.9137250556554297E-4</v>
      </c>
      <c r="H21" s="3">
        <f t="shared" si="4"/>
        <v>1.7732278543510847E-5</v>
      </c>
      <c r="I21">
        <f t="shared" si="5"/>
        <v>5.6743291339234709E-4</v>
      </c>
      <c r="J21" s="28">
        <f>E21-E20</f>
        <v>3.878157732941645E-4</v>
      </c>
      <c r="K21" s="29">
        <f t="shared" si="6"/>
        <v>0.40464079181317741</v>
      </c>
    </row>
    <row r="23" spans="1:13" ht="42.75" x14ac:dyDescent="0.45">
      <c r="B23" t="s">
        <v>60</v>
      </c>
      <c r="H23" s="35" t="s">
        <v>61</v>
      </c>
      <c r="I23" s="36" t="s">
        <v>62</v>
      </c>
      <c r="J23" s="36"/>
      <c r="K23" s="36"/>
      <c r="L23" s="36"/>
      <c r="M23" s="36"/>
    </row>
    <row r="24" spans="1:13" x14ac:dyDescent="0.45">
      <c r="H24" s="35"/>
      <c r="I24" s="14"/>
      <c r="J24" s="14"/>
      <c r="K24" s="14"/>
      <c r="L24" s="14"/>
      <c r="M24" s="14"/>
    </row>
    <row r="25" spans="1:13" x14ac:dyDescent="0.45">
      <c r="I25" s="14"/>
      <c r="J25" s="13"/>
      <c r="K25" s="13"/>
      <c r="L25" s="13"/>
      <c r="M25" s="13"/>
    </row>
    <row r="26" spans="1:13" x14ac:dyDescent="0.45">
      <c r="I26" s="14" t="s">
        <v>58</v>
      </c>
      <c r="J26" s="13"/>
      <c r="K26" s="13"/>
      <c r="L26" s="13"/>
      <c r="M26" s="13"/>
    </row>
    <row r="27" spans="1:13" x14ac:dyDescent="0.45">
      <c r="I27" s="14"/>
      <c r="J27" s="13"/>
      <c r="K27" s="13"/>
      <c r="L27" s="13"/>
      <c r="M27" s="13"/>
    </row>
    <row r="29" spans="1:13" x14ac:dyDescent="0.45">
      <c r="A29" s="18" t="s">
        <v>57</v>
      </c>
    </row>
    <row r="30" spans="1:13" ht="28.5" x14ac:dyDescent="0.45">
      <c r="A30" s="14" t="s">
        <v>42</v>
      </c>
      <c r="B30" s="17" t="s">
        <v>18</v>
      </c>
      <c r="C30" s="17" t="s">
        <v>19</v>
      </c>
      <c r="D30" s="14" t="s">
        <v>21</v>
      </c>
      <c r="E30" s="14" t="s">
        <v>59</v>
      </c>
      <c r="F30" s="11" t="s">
        <v>51</v>
      </c>
      <c r="G30" s="14" t="s">
        <v>45</v>
      </c>
      <c r="H30" s="14" t="s">
        <v>46</v>
      </c>
      <c r="I30" s="14" t="s">
        <v>47</v>
      </c>
      <c r="J30" s="30" t="s">
        <v>53</v>
      </c>
      <c r="K30" s="30" t="s">
        <v>54</v>
      </c>
    </row>
    <row r="31" spans="1:13" x14ac:dyDescent="0.45">
      <c r="A31">
        <v>1</v>
      </c>
      <c r="B31" s="12">
        <f t="array" ref="B31:C31">B13:C13</f>
        <v>100</v>
      </c>
      <c r="C31">
        <v>100</v>
      </c>
      <c r="D31">
        <f>$E$12</f>
        <v>0.5</v>
      </c>
      <c r="E31">
        <f>_xll.ORF.BARRBSPDE($I$3,$I$6,$I$10,$I$5,J$8,$I$11,$I$4,$I$12,$I$13,$I$14,$K$2:$L$4, $L$6)</f>
        <v>1.3186813635286787</v>
      </c>
      <c r="F31">
        <f>_xll.ORF.BARRBS($I$3,$I$4,$I$5,$I$6,$J$9, $I$10,_xll.ORF.SPOTRATE($I$12,$I$10),$I$13,$I$14)</f>
        <v>1.4311972628506684</v>
      </c>
      <c r="G31" s="19">
        <f>ABS(E31-F31)</f>
        <v>0.11251589932198969</v>
      </c>
      <c r="H31" s="16">
        <f>G31</f>
        <v>0.11251589932198969</v>
      </c>
      <c r="I31" s="16">
        <f>H31</f>
        <v>0.11251589932198969</v>
      </c>
      <c r="J31" s="31"/>
      <c r="K31" s="32"/>
    </row>
    <row r="32" spans="1:13" x14ac:dyDescent="0.45">
      <c r="A32">
        <v>2</v>
      </c>
      <c r="B32">
        <f>B31*2</f>
        <v>200</v>
      </c>
      <c r="C32">
        <f>C31*2</f>
        <v>200</v>
      </c>
      <c r="D32">
        <f t="shared" ref="D32:D36" si="7">$E$12</f>
        <v>0.5</v>
      </c>
      <c r="E32">
        <f>_xll.ORF.BARRBSPDE($I$3,$I$6,$I$10,$I$5,J$8,$I$11,$I$4,$I$12,$I$13,$I$14,$M$2:$N$4, $L$6)</f>
        <v>1.3480770760092269</v>
      </c>
      <c r="F32">
        <f>_xll.ORF.BARRBS($I$3,$I$4,$I$5,$I$6,$J$9, $I$10,_xll.ORF.SPOTRATE($I$12,$I$10),$I$13,$I$14)</f>
        <v>1.4311972628506684</v>
      </c>
      <c r="G32" s="19">
        <f t="shared" ref="G32:G36" si="8">ABS(E32-F32)</f>
        <v>8.3120186841441512E-2</v>
      </c>
      <c r="H32" s="3">
        <f>H31/4</f>
        <v>2.8128974830497422E-2</v>
      </c>
      <c r="I32">
        <f>I31/2</f>
        <v>5.6257949660994844E-2</v>
      </c>
      <c r="J32" s="33">
        <f>E32-E31</f>
        <v>2.9395712480548175E-2</v>
      </c>
      <c r="K32" s="33"/>
    </row>
    <row r="33" spans="1:11" x14ac:dyDescent="0.45">
      <c r="A33">
        <v>3</v>
      </c>
      <c r="B33">
        <f t="shared" ref="B33:C36" si="9">B32*2</f>
        <v>400</v>
      </c>
      <c r="C33">
        <f t="shared" si="9"/>
        <v>400</v>
      </c>
      <c r="D33">
        <f t="shared" si="7"/>
        <v>0.5</v>
      </c>
      <c r="E33">
        <f>_xll.ORF.BARRBSPDE($I$3,$I$6,$I$10,$I$5,J$8,$I$11,$I$4,$I$12,$I$13,$I$14,$O$2:$P$4, $L$6)</f>
        <v>1.376029303081753</v>
      </c>
      <c r="F33">
        <f>_xll.ORF.BARRBS($I$3,$I$4,$I$5,$I$6,$J$9, $I$10,_xll.ORF.SPOTRATE($I$12,$I$10),$I$13,$I$14)</f>
        <v>1.4311972628506684</v>
      </c>
      <c r="G33" s="19">
        <f t="shared" si="8"/>
        <v>5.516795976891542E-2</v>
      </c>
      <c r="H33" s="3">
        <f t="shared" ref="H33:H36" si="10">H32/4</f>
        <v>7.0322437076243555E-3</v>
      </c>
      <c r="I33">
        <f t="shared" ref="I33:I36" si="11">I32/2</f>
        <v>2.8128974830497422E-2</v>
      </c>
      <c r="J33" s="33">
        <f>E33-E32</f>
        <v>2.7952227072526092E-2</v>
      </c>
      <c r="K33" s="34">
        <f>J33/J32</f>
        <v>0.95089469564728968</v>
      </c>
    </row>
    <row r="34" spans="1:11" x14ac:dyDescent="0.45">
      <c r="A34">
        <v>4</v>
      </c>
      <c r="B34">
        <f t="shared" si="9"/>
        <v>800</v>
      </c>
      <c r="C34">
        <f t="shared" si="9"/>
        <v>800</v>
      </c>
      <c r="D34">
        <f t="shared" si="7"/>
        <v>0.5</v>
      </c>
      <c r="E34">
        <f>_xll.ORF.BARRBSPDE($I$3,$I$6,$I$10,$I$5,J$8,$I$11,$I$4,$I$12,$I$13,$I$14,$Q$2:$R$4, $L$6)</f>
        <v>1.4224509261079039</v>
      </c>
      <c r="F34">
        <f>_xll.ORF.BARRBS($I$3,$I$4,$I$5,$I$6,$J$9, $I$10,_xll.ORF.SPOTRATE($I$12,$I$10),$I$13,$I$14)</f>
        <v>1.4311972628506684</v>
      </c>
      <c r="G34" s="19">
        <f t="shared" si="8"/>
        <v>8.7463367427644823E-3</v>
      </c>
      <c r="H34" s="3">
        <f t="shared" si="10"/>
        <v>1.7580609269060889E-3</v>
      </c>
      <c r="I34">
        <f t="shared" si="11"/>
        <v>1.4064487415248711E-2</v>
      </c>
      <c r="J34" s="33">
        <f>E34-E33</f>
        <v>4.6421623026150938E-2</v>
      </c>
      <c r="K34" s="34">
        <f t="shared" ref="K34:K36" si="12">J34/J33</f>
        <v>1.6607486375129727</v>
      </c>
    </row>
    <row r="35" spans="1:11" x14ac:dyDescent="0.45">
      <c r="A35">
        <v>5</v>
      </c>
      <c r="B35">
        <f t="shared" si="9"/>
        <v>1600</v>
      </c>
      <c r="C35">
        <f t="shared" si="9"/>
        <v>1600</v>
      </c>
      <c r="D35">
        <f t="shared" si="7"/>
        <v>0.5</v>
      </c>
      <c r="E35">
        <f>_xll.ORF.BARRBSPDE($I$3,$I$6,$I$10,$I$5,J$8,$I$11,$I$4,$I$12,$I$13,$I$14,$S$2:$T$4, $L$6)</f>
        <v>1.4281437928384046</v>
      </c>
      <c r="F35">
        <f>_xll.ORF.BARRBS($I$3,$I$4,$I$5,$I$6,$J$9, $I$10,_xll.ORF.SPOTRATE($I$12,$I$10),$I$13,$I$14)</f>
        <v>1.4311972628506684</v>
      </c>
      <c r="G35" s="19">
        <f t="shared" si="8"/>
        <v>3.0534700122637481E-3</v>
      </c>
      <c r="H35" s="3">
        <f t="shared" si="10"/>
        <v>4.3951523172652222E-4</v>
      </c>
      <c r="I35">
        <f t="shared" si="11"/>
        <v>7.0322437076243555E-3</v>
      </c>
      <c r="J35" s="33">
        <f>E35-E34</f>
        <v>5.6928667305007341E-3</v>
      </c>
      <c r="K35" s="34">
        <f t="shared" si="12"/>
        <v>0.12263394425683354</v>
      </c>
    </row>
    <row r="36" spans="1:11" x14ac:dyDescent="0.45">
      <c r="A36">
        <v>6</v>
      </c>
      <c r="B36">
        <f t="shared" si="9"/>
        <v>3200</v>
      </c>
      <c r="C36">
        <f t="shared" si="9"/>
        <v>3200</v>
      </c>
      <c r="D36">
        <f t="shared" si="7"/>
        <v>0.5</v>
      </c>
      <c r="E36">
        <f>_xll.ORF.BARRBSPDE($I$3,$I$6,$I$10,$I$5,J$8,$I$11,$I$4,$I$12,$I$13,$I$14,$U$2:$V$4, $L$6)</f>
        <v>1.4305624932801346</v>
      </c>
      <c r="F36">
        <f>_xll.ORF.BARRBS($I$3,$I$4,$I$5,$I$6,$J$9, $I$10,_xll.ORF.SPOTRATE($I$12,$I$10),$I$13,$I$14)</f>
        <v>1.4311972628506684</v>
      </c>
      <c r="G36" s="19">
        <f t="shared" si="8"/>
        <v>6.3476957053376637E-4</v>
      </c>
      <c r="H36" s="3">
        <f t="shared" si="10"/>
        <v>1.0987880793163055E-4</v>
      </c>
      <c r="I36">
        <f t="shared" si="11"/>
        <v>3.5161218538121777E-3</v>
      </c>
      <c r="J36" s="33">
        <f>E36-E35</f>
        <v>2.4187004417299818E-3</v>
      </c>
      <c r="K36" s="34">
        <f t="shared" si="12"/>
        <v>0.42486510860535065</v>
      </c>
    </row>
    <row r="38" spans="1:11" x14ac:dyDescent="0.45">
      <c r="I38" s="14" t="s">
        <v>58</v>
      </c>
    </row>
    <row r="40" spans="1:11" x14ac:dyDescent="0.45">
      <c r="A40" s="18" t="s">
        <v>63</v>
      </c>
    </row>
    <row r="41" spans="1:11" ht="28.5" x14ac:dyDescent="0.45">
      <c r="A41" s="14" t="s">
        <v>42</v>
      </c>
      <c r="B41" s="17" t="s">
        <v>18</v>
      </c>
      <c r="C41" s="17" t="s">
        <v>19</v>
      </c>
      <c r="D41" s="14" t="s">
        <v>21</v>
      </c>
      <c r="E41" s="14" t="s">
        <v>59</v>
      </c>
      <c r="F41" s="11" t="s">
        <v>51</v>
      </c>
      <c r="G41" s="14" t="s">
        <v>45</v>
      </c>
      <c r="H41" s="14" t="s">
        <v>46</v>
      </c>
      <c r="I41" s="14" t="s">
        <v>47</v>
      </c>
      <c r="J41" s="30" t="s">
        <v>53</v>
      </c>
      <c r="K41" s="30" t="s">
        <v>54</v>
      </c>
    </row>
    <row r="42" spans="1:11" x14ac:dyDescent="0.45">
      <c r="A42">
        <v>1</v>
      </c>
      <c r="B42" s="12">
        <f t="array" ref="B42:C42">$B$13:$C$13</f>
        <v>100</v>
      </c>
      <c r="C42">
        <v>100</v>
      </c>
      <c r="D42">
        <f>$E$12</f>
        <v>0.5</v>
      </c>
      <c r="E42">
        <f>_xll.ORF.BARRBSPDE($I$3,$I$6,$I$10,$I$5,K$8,$I$11,$I$4,$I$12,$I$13,$I$14,$K$2:$L$4, $L$6)</f>
        <v>6.1945490927359472</v>
      </c>
      <c r="F42">
        <f>_xll.ORF.BARRBS($I$3,$I$4,$I$5,$I$6,$K$9, $I$10,_xll.ORF.SPOTRATE($I$12,$I$10),$I$13,$I$14)</f>
        <v>5.870175525056692</v>
      </c>
      <c r="G42" s="19">
        <f>ABS(E42-F42)</f>
        <v>0.32437356767925518</v>
      </c>
      <c r="H42" s="16">
        <f>G42</f>
        <v>0.32437356767925518</v>
      </c>
      <c r="I42" s="16">
        <f>H42</f>
        <v>0.32437356767925518</v>
      </c>
      <c r="J42" s="31"/>
      <c r="K42" s="32"/>
    </row>
    <row r="43" spans="1:11" x14ac:dyDescent="0.45">
      <c r="A43">
        <v>2</v>
      </c>
      <c r="B43">
        <f>B42*2</f>
        <v>200</v>
      </c>
      <c r="C43">
        <f>C42*2</f>
        <v>200</v>
      </c>
      <c r="D43">
        <f t="shared" ref="D43:D47" si="13">$E$12</f>
        <v>0.5</v>
      </c>
      <c r="E43">
        <f>_xll.ORF.BARRBSPDE($I$3,$I$6,$I$10,$I$5,K$8,$I$11,$I$4,$I$12,$I$13,$I$14,$M$2:$N$4, $L$6)</f>
        <v>6.0027087377387049</v>
      </c>
      <c r="F43">
        <f>_xll.ORF.BARRBS($I$3,$I$4,$I$5,$I$6,$K$9, $I$10,_xll.ORF.SPOTRATE($I$12,$I$10),$I$13,$I$14)</f>
        <v>5.870175525056692</v>
      </c>
      <c r="G43" s="19">
        <f t="shared" ref="G43:G47" si="14">ABS(E43-F43)</f>
        <v>0.1325332126820129</v>
      </c>
      <c r="H43" s="3">
        <f>H42/4</f>
        <v>8.1093391919813795E-2</v>
      </c>
      <c r="I43">
        <f>I42/2</f>
        <v>0.16218678383962759</v>
      </c>
      <c r="J43" s="33">
        <f>E43-E42</f>
        <v>-0.19184035499724228</v>
      </c>
      <c r="K43" s="33"/>
    </row>
    <row r="44" spans="1:11" x14ac:dyDescent="0.45">
      <c r="A44">
        <v>3</v>
      </c>
      <c r="B44">
        <f t="shared" ref="B44:C44" si="15">B43*2</f>
        <v>400</v>
      </c>
      <c r="C44">
        <f t="shared" si="15"/>
        <v>400</v>
      </c>
      <c r="D44">
        <f t="shared" si="13"/>
        <v>0.5</v>
      </c>
      <c r="E44">
        <f>_xll.ORF.BARRBSPDE($I$3,$I$6,$I$10,$I$5,K$8,$I$11,$I$4,$I$12,$I$13,$I$14,$O$2:$P$4, $L$6)</f>
        <v>5.920345491328395</v>
      </c>
      <c r="F44">
        <f>_xll.ORF.BARRBS($I$3,$I$4,$I$5,$I$6,$K$9, $I$10,_xll.ORF.SPOTRATE($I$12,$I$10),$I$13,$I$14)</f>
        <v>5.870175525056692</v>
      </c>
      <c r="G44" s="19">
        <f t="shared" si="14"/>
        <v>5.0169966271703004E-2</v>
      </c>
      <c r="H44" s="3">
        <f t="shared" ref="H44:H47" si="16">H43/4</f>
        <v>2.0273347979953449E-2</v>
      </c>
      <c r="I44">
        <f t="shared" ref="I44:I47" si="17">I43/2</f>
        <v>8.1093391919813795E-2</v>
      </c>
      <c r="J44" s="33">
        <f>E44-E43</f>
        <v>-8.2363246410309898E-2</v>
      </c>
      <c r="K44" s="34">
        <f>J44/J43</f>
        <v>0.42933222476310512</v>
      </c>
    </row>
    <row r="45" spans="1:11" x14ac:dyDescent="0.45">
      <c r="A45">
        <v>4</v>
      </c>
      <c r="B45">
        <f t="shared" ref="B45:C45" si="18">B44*2</f>
        <v>800</v>
      </c>
      <c r="C45">
        <f t="shared" si="18"/>
        <v>800</v>
      </c>
      <c r="D45">
        <f t="shared" si="13"/>
        <v>0.5</v>
      </c>
      <c r="E45">
        <f>_xll.ORF.BARRBSPDE($I$3,$I$6,$I$10,$I$5,K$8,$I$11,$I$4,$I$12,$I$13,$I$14,$Q$2:$R$4, $L$6)</f>
        <v>5.9193961040042335</v>
      </c>
      <c r="F45">
        <f>_xll.ORF.BARRBS($I$3,$I$4,$I$5,$I$6,$K$9, $I$10,_xll.ORF.SPOTRATE($I$12,$I$10),$I$13,$I$14)</f>
        <v>5.870175525056692</v>
      </c>
      <c r="G45" s="19">
        <f t="shared" si="14"/>
        <v>4.9220578947541505E-2</v>
      </c>
      <c r="H45" s="3">
        <f t="shared" si="16"/>
        <v>5.0683369949883622E-3</v>
      </c>
      <c r="I45">
        <f t="shared" si="17"/>
        <v>4.0546695959906898E-2</v>
      </c>
      <c r="J45" s="33">
        <f>E45-E44</f>
        <v>-9.4938732416149918E-4</v>
      </c>
      <c r="K45" s="34">
        <f t="shared" ref="K45:K47" si="19">J45/J44</f>
        <v>1.1526832240583693E-2</v>
      </c>
    </row>
    <row r="46" spans="1:11" x14ac:dyDescent="0.45">
      <c r="A46">
        <v>5</v>
      </c>
      <c r="B46">
        <f t="shared" ref="B46:C46" si="20">B45*2</f>
        <v>1600</v>
      </c>
      <c r="C46">
        <f t="shared" si="20"/>
        <v>1600</v>
      </c>
      <c r="D46">
        <f t="shared" si="13"/>
        <v>0.5</v>
      </c>
      <c r="E46">
        <f>_xll.ORF.BARRBSPDE($I$3,$I$6,$I$10,$I$5,K$8,$I$11,$I$4,$I$12,$I$13,$I$14,$S$2:$T$4, $L$6)</f>
        <v>5.8965737767034883</v>
      </c>
      <c r="F46">
        <f>_xll.ORF.BARRBS($I$3,$I$4,$I$5,$I$6,$K$9, $I$10,_xll.ORF.SPOTRATE($I$12,$I$10),$I$13,$I$14)</f>
        <v>5.870175525056692</v>
      </c>
      <c r="G46" s="19">
        <f t="shared" si="14"/>
        <v>2.6398251646796211E-2</v>
      </c>
      <c r="H46" s="3">
        <f t="shared" si="16"/>
        <v>1.2670842487470906E-3</v>
      </c>
      <c r="I46">
        <f t="shared" si="17"/>
        <v>2.0273347979953449E-2</v>
      </c>
      <c r="J46" s="33">
        <f>E46-E45</f>
        <v>-2.2822327300745293E-2</v>
      </c>
      <c r="K46" s="34">
        <f t="shared" si="19"/>
        <v>24.039005703917542</v>
      </c>
    </row>
    <row r="47" spans="1:11" x14ac:dyDescent="0.45">
      <c r="A47">
        <v>6</v>
      </c>
      <c r="B47">
        <f t="shared" ref="B47:C47" si="21">B46*2</f>
        <v>3200</v>
      </c>
      <c r="C47">
        <f t="shared" si="21"/>
        <v>3200</v>
      </c>
      <c r="D47">
        <f t="shared" si="13"/>
        <v>0.5</v>
      </c>
      <c r="E47">
        <f>_xll.ORF.BARRBSPDE($I$3,$I$6,$I$10,$I$5,K$8,$I$11,$I$4,$I$12,$I$13,$I$14,$U$2:$V$4, $L$6)</f>
        <v>5.8845619681579384</v>
      </c>
      <c r="F47">
        <f>_xll.ORF.BARRBS($I$3,$I$4,$I$5,$I$6,$K$9, $I$10,_xll.ORF.SPOTRATE($I$12,$I$10),$I$13,$I$14)</f>
        <v>5.870175525056692</v>
      </c>
      <c r="G47" s="19">
        <f t="shared" si="14"/>
        <v>1.4386443101246371E-2</v>
      </c>
      <c r="H47" s="3">
        <f t="shared" si="16"/>
        <v>3.1677106218677264E-4</v>
      </c>
      <c r="I47">
        <f t="shared" si="17"/>
        <v>1.0136673989976724E-2</v>
      </c>
      <c r="J47" s="33">
        <f>E47-E46</f>
        <v>-1.201180854554984E-2</v>
      </c>
      <c r="K47" s="34">
        <f t="shared" si="19"/>
        <v>0.52631830169036176</v>
      </c>
    </row>
    <row r="49" spans="1:11" x14ac:dyDescent="0.45">
      <c r="I49" s="14" t="s">
        <v>58</v>
      </c>
    </row>
    <row r="53" spans="1:11" x14ac:dyDescent="0.45">
      <c r="A53" s="18" t="s">
        <v>63</v>
      </c>
    </row>
    <row r="54" spans="1:11" ht="28.5" x14ac:dyDescent="0.45">
      <c r="A54" s="14" t="s">
        <v>42</v>
      </c>
      <c r="B54" s="17" t="s">
        <v>18</v>
      </c>
      <c r="C54" s="17" t="s">
        <v>19</v>
      </c>
      <c r="D54" s="14" t="s">
        <v>21</v>
      </c>
      <c r="E54" s="14" t="s">
        <v>59</v>
      </c>
      <c r="F54" s="11" t="s">
        <v>51</v>
      </c>
      <c r="G54" s="14" t="s">
        <v>45</v>
      </c>
      <c r="H54" s="14" t="s">
        <v>46</v>
      </c>
      <c r="I54" s="14" t="s">
        <v>47</v>
      </c>
      <c r="J54" s="30" t="s">
        <v>53</v>
      </c>
      <c r="K54" s="30" t="s">
        <v>54</v>
      </c>
    </row>
    <row r="55" spans="1:11" x14ac:dyDescent="0.45">
      <c r="A55">
        <v>1</v>
      </c>
      <c r="B55" s="12">
        <f t="array" ref="B55:C55">$B$13:$C$13</f>
        <v>100</v>
      </c>
      <c r="C55">
        <v>100</v>
      </c>
      <c r="D55">
        <f>$E$12</f>
        <v>0.5</v>
      </c>
      <c r="E55">
        <f>_xll.ORF.BARRBSPDE($I$3,$I$6,$I$10,$I$5,L$8,$I$11,$I$4,$I$12,$I$13,$I$14,$K$2:$L$4, $L$6)</f>
        <v>9.6434457492735461</v>
      </c>
      <c r="F55">
        <f>_xll.ORF.BARRBS($I$3,$I$4,$I$5,$I$6,$L$9, $I$10,_xll.ORF.SPOTRATE($I$12,$I$10),$I$13,$I$14)</f>
        <v>9.5879877809293088</v>
      </c>
      <c r="G55" s="19">
        <f>ABS(E55-F55)</f>
        <v>5.5457968344237329E-2</v>
      </c>
      <c r="H55" s="16">
        <f>G55</f>
        <v>5.5457968344237329E-2</v>
      </c>
      <c r="I55" s="16">
        <f>H55</f>
        <v>5.5457968344237329E-2</v>
      </c>
      <c r="J55" s="31"/>
      <c r="K55" s="32"/>
    </row>
    <row r="56" spans="1:11" x14ac:dyDescent="0.45">
      <c r="A56">
        <v>2</v>
      </c>
      <c r="B56">
        <f>B55*2</f>
        <v>200</v>
      </c>
      <c r="C56">
        <f>C55*2</f>
        <v>200</v>
      </c>
      <c r="D56">
        <f t="shared" ref="D56:D60" si="22">$E$12</f>
        <v>0.5</v>
      </c>
      <c r="E56">
        <f>_xll.ORF.BARRBSPDE($I$3,$I$6,$I$10,$I$5,L$8,$I$11,$I$4,$I$12,$I$13,$I$14,$M$2:$N$4, $L$6)</f>
        <v>9.6103770962316428</v>
      </c>
      <c r="F56">
        <f>_xll.ORF.BARRBS($I$3,$I$4,$I$5,$I$6,$L$9, $I$10,_xll.ORF.SPOTRATE($I$12,$I$10),$I$13,$I$14)</f>
        <v>9.5879877809293088</v>
      </c>
      <c r="G56" s="19">
        <f t="shared" ref="G56:G60" si="23">ABS(E56-F56)</f>
        <v>2.2389315302334012E-2</v>
      </c>
      <c r="H56" s="3">
        <f>H55/4</f>
        <v>1.3864492086059332E-2</v>
      </c>
      <c r="I56">
        <f>I55/2</f>
        <v>2.7728984172118665E-2</v>
      </c>
      <c r="J56" s="33">
        <f>E56-E55</f>
        <v>-3.3068653041903318E-2</v>
      </c>
      <c r="K56" s="33"/>
    </row>
    <row r="57" spans="1:11" x14ac:dyDescent="0.45">
      <c r="A57">
        <v>3</v>
      </c>
      <c r="B57">
        <f t="shared" ref="B57:C57" si="24">B56*2</f>
        <v>400</v>
      </c>
      <c r="C57">
        <f t="shared" si="24"/>
        <v>400</v>
      </c>
      <c r="D57">
        <f t="shared" si="22"/>
        <v>0.5</v>
      </c>
      <c r="E57">
        <f>_xll.ORF.BARRBSPDE($I$3,$I$6,$I$10,$I$5,L$8,$I$11,$I$4,$I$12,$I$13,$I$14,$O$2:$P$4, $L$6)</f>
        <v>9.5962484373180583</v>
      </c>
      <c r="F57">
        <f>_xll.ORF.BARRBS($I$3,$I$4,$I$5,$I$6,$L$9, $I$10,_xll.ORF.SPOTRATE($I$12,$I$10),$I$13,$I$14)</f>
        <v>9.5879877809293088</v>
      </c>
      <c r="G57" s="19">
        <f t="shared" si="23"/>
        <v>8.2606563887495099E-3</v>
      </c>
      <c r="H57" s="3">
        <f t="shared" ref="H57:H60" si="25">H56/4</f>
        <v>3.4661230215148331E-3</v>
      </c>
      <c r="I57">
        <f t="shared" ref="I57:I60" si="26">I56/2</f>
        <v>1.3864492086059332E-2</v>
      </c>
      <c r="J57" s="33">
        <f>E57-E56</f>
        <v>-1.4128658913584502E-2</v>
      </c>
      <c r="K57" s="34">
        <f>J57/J56</f>
        <v>0.42725232550842673</v>
      </c>
    </row>
    <row r="58" spans="1:11" x14ac:dyDescent="0.45">
      <c r="A58">
        <v>4</v>
      </c>
      <c r="B58">
        <f t="shared" ref="B58:C58" si="27">B57*2</f>
        <v>800</v>
      </c>
      <c r="C58">
        <f t="shared" si="27"/>
        <v>800</v>
      </c>
      <c r="D58">
        <f t="shared" si="22"/>
        <v>0.5</v>
      </c>
      <c r="E58">
        <f>_xll.ORF.BARRBSPDE($I$3,$I$6,$I$10,$I$5,L$8,$I$11,$I$4,$I$12,$I$13,$I$14,$Q$2:$R$4, $L$6)</f>
        <v>9.5960433279931898</v>
      </c>
      <c r="F58">
        <f>_xll.ORF.BARRBS($I$3,$I$4,$I$5,$I$6,$L$9, $I$10,_xll.ORF.SPOTRATE($I$12,$I$10),$I$13,$I$14)</f>
        <v>9.5879877809293088</v>
      </c>
      <c r="G58" s="19">
        <f t="shared" si="23"/>
        <v>8.0555470638810078E-3</v>
      </c>
      <c r="H58" s="3">
        <f t="shared" si="25"/>
        <v>8.6653075537870827E-4</v>
      </c>
      <c r="I58">
        <f t="shared" si="26"/>
        <v>6.9322460430296662E-3</v>
      </c>
      <c r="J58" s="33">
        <f>E58-E57</f>
        <v>-2.0510932486850209E-4</v>
      </c>
      <c r="K58" s="34">
        <f t="shared" ref="K58:K60" si="28">J58/J57</f>
        <v>1.4517253627751777E-2</v>
      </c>
    </row>
    <row r="59" spans="1:11" x14ac:dyDescent="0.45">
      <c r="A59">
        <v>5</v>
      </c>
      <c r="B59">
        <f t="shared" ref="B59:C59" si="29">B58*2</f>
        <v>1600</v>
      </c>
      <c r="C59">
        <f t="shared" si="29"/>
        <v>1600</v>
      </c>
      <c r="D59">
        <f t="shared" si="22"/>
        <v>0.5</v>
      </c>
      <c r="E59">
        <f>_xll.ORF.BARRBSPDE($I$3,$I$6,$I$10,$I$5,L$8,$I$11,$I$4,$I$12,$I$13,$I$14,$S$2:$T$4, $L$6)</f>
        <v>9.5923297492338797</v>
      </c>
      <c r="F59">
        <f>_xll.ORF.BARRBS($I$3,$I$4,$I$5,$I$6,$L$9, $I$10,_xll.ORF.SPOTRATE($I$12,$I$10),$I$13,$I$14)</f>
        <v>9.5879877809293088</v>
      </c>
      <c r="G59" s="19">
        <f t="shared" si="23"/>
        <v>4.3419683045708979E-3</v>
      </c>
      <c r="H59" s="3">
        <f t="shared" si="25"/>
        <v>2.1663268884467707E-4</v>
      </c>
      <c r="I59">
        <f t="shared" si="26"/>
        <v>3.4661230215148331E-3</v>
      </c>
      <c r="J59" s="33">
        <f>E59-E58</f>
        <v>-3.7135787593101099E-3</v>
      </c>
      <c r="K59" s="34">
        <f t="shared" si="28"/>
        <v>18.105362892159718</v>
      </c>
    </row>
    <row r="60" spans="1:11" x14ac:dyDescent="0.45">
      <c r="A60">
        <v>6</v>
      </c>
      <c r="B60">
        <f t="shared" ref="B60:C60" si="30">B59*2</f>
        <v>3200</v>
      </c>
      <c r="C60">
        <f t="shared" si="30"/>
        <v>3200</v>
      </c>
      <c r="D60">
        <f t="shared" si="22"/>
        <v>0.5</v>
      </c>
      <c r="E60">
        <f>_xll.ORF.BARRBSPDE($I$3,$I$6,$I$10,$I$5,L$8,$I$11,$I$4,$I$12,$I$13,$I$14,$U$2:$V$4, $L$6)</f>
        <v>9.5903565327294888</v>
      </c>
      <c r="F60">
        <f>_xll.ORF.BARRBS($I$3,$I$4,$I$5,$I$6,$L$9, $I$10,_xll.ORF.SPOTRATE($I$12,$I$10),$I$13,$I$14)</f>
        <v>9.5879877809293088</v>
      </c>
      <c r="G60" s="19">
        <f t="shared" si="23"/>
        <v>2.3687518001800356E-3</v>
      </c>
      <c r="H60" s="3">
        <f t="shared" si="25"/>
        <v>5.4158172211169267E-5</v>
      </c>
      <c r="I60">
        <f t="shared" si="26"/>
        <v>1.7330615107574165E-3</v>
      </c>
      <c r="J60" s="33">
        <f>E60-E59</f>
        <v>-1.9732165043908623E-3</v>
      </c>
      <c r="K60" s="34">
        <f t="shared" si="28"/>
        <v>0.53135173165344052</v>
      </c>
    </row>
    <row r="62" spans="1:11" x14ac:dyDescent="0.45">
      <c r="I62" s="14" t="s">
        <v>58</v>
      </c>
    </row>
  </sheetData>
  <mergeCells count="2">
    <mergeCell ref="I23:M23"/>
    <mergeCell ref="D7:F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AC70-D975-4154-86D5-5E10E702D18F}">
  <dimension ref="A1:V62"/>
  <sheetViews>
    <sheetView topLeftCell="F1" workbookViewId="0">
      <selection activeCell="O7" sqref="O7"/>
    </sheetView>
  </sheetViews>
  <sheetFormatPr defaultRowHeight="14.25" x14ac:dyDescent="0.45"/>
  <cols>
    <col min="1" max="1" width="30.33203125" customWidth="1"/>
    <col min="2" max="2" width="13.9296875" customWidth="1"/>
    <col min="3" max="3" width="12.06640625" customWidth="1"/>
    <col min="5" max="5" width="26.86328125" customWidth="1"/>
    <col min="6" max="6" width="15.46484375" customWidth="1"/>
    <col min="7" max="7" width="13.796875" customWidth="1"/>
    <col min="8" max="8" width="20.33203125" customWidth="1"/>
    <col min="9" max="9" width="11.9296875" customWidth="1"/>
    <col min="10" max="10" width="14.33203125" customWidth="1"/>
    <col min="11" max="11" width="11.9296875" customWidth="1"/>
  </cols>
  <sheetData>
    <row r="1" spans="1:22" ht="15.75" x14ac:dyDescent="0.5">
      <c r="A1" s="1" t="s">
        <v>52</v>
      </c>
      <c r="K1" s="14" t="s">
        <v>44</v>
      </c>
    </row>
    <row r="2" spans="1:22" x14ac:dyDescent="0.45">
      <c r="H2" s="2" t="s">
        <v>3</v>
      </c>
      <c r="K2" t="str">
        <f t="array" ref="K2:K4">TRANSPOSE($B$15:$D$15)</f>
        <v>NTimeSteps</v>
      </c>
      <c r="L2">
        <f t="array" ref="L2:L4">TRANSPOSE($B$16:$D$16)</f>
        <v>100</v>
      </c>
      <c r="M2" t="str">
        <f t="array" ref="M2:M4">TRANSPOSE($B$15:$D$15)</f>
        <v>NTimeSteps</v>
      </c>
      <c r="N2">
        <f t="array" ref="N2:N4">TRANSPOSE($B$17:$D$17)</f>
        <v>200</v>
      </c>
      <c r="O2" t="str">
        <f t="array" ref="O2:O4">TRANSPOSE($B$15:$D$15)</f>
        <v>NTimeSteps</v>
      </c>
      <c r="P2">
        <f t="array" ref="P2:P4">TRANSPOSE($B$18:$D$18)</f>
        <v>400</v>
      </c>
      <c r="Q2" t="str">
        <f t="array" ref="Q2:Q4">TRANSPOSE($B$15:$D$15)</f>
        <v>NTimeSteps</v>
      </c>
      <c r="R2">
        <f t="array" ref="R2:R4">TRANSPOSE($B$19:$D$19)</f>
        <v>800</v>
      </c>
      <c r="S2" t="str">
        <f t="array" ref="S2:S4">TRANSPOSE($B$15:$D$15)</f>
        <v>NTimeSteps</v>
      </c>
      <c r="T2">
        <f t="array" ref="T2:T4">TRANSPOSE($B$20:$D$20)</f>
        <v>1600</v>
      </c>
      <c r="U2" t="str">
        <f t="array" ref="U2:U4">TRANSPOSE($B$15:$D$15)</f>
        <v>NTimeSteps</v>
      </c>
      <c r="V2">
        <f t="array" ref="V2:V4">TRANSPOSE($B$21:$D$21)</f>
        <v>3200</v>
      </c>
    </row>
    <row r="3" spans="1:22" x14ac:dyDescent="0.45">
      <c r="A3" t="s">
        <v>4</v>
      </c>
      <c r="B3" s="3" t="s">
        <v>5</v>
      </c>
      <c r="D3" t="s">
        <v>6</v>
      </c>
      <c r="H3" t="s">
        <v>7</v>
      </c>
      <c r="I3" s="3">
        <v>1</v>
      </c>
      <c r="K3" t="str">
        <v>NSpotNodes</v>
      </c>
      <c r="L3">
        <v>100</v>
      </c>
      <c r="M3" t="str">
        <v>NSpotNodes</v>
      </c>
      <c r="N3">
        <v>200</v>
      </c>
      <c r="O3" t="str">
        <v>NSpotNodes</v>
      </c>
      <c r="P3">
        <v>400</v>
      </c>
      <c r="Q3" t="str">
        <v>NSpotNodes</v>
      </c>
      <c r="R3">
        <v>800</v>
      </c>
      <c r="S3" t="str">
        <v>NSpotNodes</v>
      </c>
      <c r="T3">
        <v>1600</v>
      </c>
      <c r="U3" t="str">
        <v>NSpotNodes</v>
      </c>
      <c r="V3">
        <v>3200</v>
      </c>
    </row>
    <row r="4" spans="1:22" x14ac:dyDescent="0.45">
      <c r="A4" t="s">
        <v>8</v>
      </c>
      <c r="B4" s="10">
        <v>0</v>
      </c>
      <c r="D4" s="4" t="str">
        <f>_xll.ORF.YCCREATE($B$3, A6:A11, B6:B11,$B$4)</f>
        <v>USD¤9</v>
      </c>
      <c r="H4" t="s">
        <v>22</v>
      </c>
      <c r="I4" t="s">
        <v>25</v>
      </c>
      <c r="K4" t="str">
        <v>Theta</v>
      </c>
      <c r="L4">
        <v>0.5</v>
      </c>
      <c r="M4" t="str">
        <v>Theta</v>
      </c>
      <c r="N4">
        <v>0.5</v>
      </c>
      <c r="O4" t="str">
        <v>Theta</v>
      </c>
      <c r="P4">
        <v>0.5</v>
      </c>
      <c r="Q4" t="str">
        <v>Theta</v>
      </c>
      <c r="R4">
        <v>0.5</v>
      </c>
      <c r="S4" t="str">
        <v>Theta</v>
      </c>
      <c r="T4">
        <v>0.5</v>
      </c>
      <c r="U4" t="str">
        <v>Theta</v>
      </c>
      <c r="V4">
        <v>0.5</v>
      </c>
    </row>
    <row r="5" spans="1:22" x14ac:dyDescent="0.45">
      <c r="A5" t="s">
        <v>10</v>
      </c>
      <c r="B5" s="9" t="s">
        <v>11</v>
      </c>
      <c r="H5" t="s">
        <v>13</v>
      </c>
      <c r="I5" s="5">
        <v>100</v>
      </c>
    </row>
    <row r="6" spans="1:22" x14ac:dyDescent="0.45">
      <c r="A6" s="6">
        <f>1/12</f>
        <v>8.3333333333333329E-2</v>
      </c>
      <c r="B6" s="7">
        <v>0</v>
      </c>
      <c r="E6" s="22" t="s">
        <v>55</v>
      </c>
      <c r="H6" t="s">
        <v>9</v>
      </c>
      <c r="I6" s="5">
        <v>100</v>
      </c>
      <c r="K6" t="s">
        <v>48</v>
      </c>
      <c r="L6">
        <v>1</v>
      </c>
    </row>
    <row r="7" spans="1:22" x14ac:dyDescent="0.45">
      <c r="A7" s="3">
        <f>1/4</f>
        <v>0.25</v>
      </c>
      <c r="B7" s="7">
        <v>0</v>
      </c>
      <c r="D7" s="24" t="s">
        <v>50</v>
      </c>
      <c r="E7" s="24"/>
      <c r="F7" s="24"/>
      <c r="I7" t="s">
        <v>27</v>
      </c>
    </row>
    <row r="8" spans="1:22" ht="14.25" customHeight="1" x14ac:dyDescent="0.45">
      <c r="A8" s="3">
        <f>1/2</f>
        <v>0.5</v>
      </c>
      <c r="B8" s="7">
        <v>0</v>
      </c>
      <c r="D8" s="24"/>
      <c r="E8" s="24"/>
      <c r="F8" s="24"/>
      <c r="H8" t="s">
        <v>23</v>
      </c>
      <c r="I8">
        <v>110</v>
      </c>
      <c r="J8">
        <v>125</v>
      </c>
      <c r="K8">
        <v>150</v>
      </c>
      <c r="L8">
        <v>200</v>
      </c>
    </row>
    <row r="9" spans="1:22" x14ac:dyDescent="0.45">
      <c r="A9" s="3">
        <f>3/4</f>
        <v>0.75</v>
      </c>
      <c r="B9" s="7">
        <v>0</v>
      </c>
      <c r="D9" s="24"/>
      <c r="E9" s="24"/>
      <c r="F9" s="24"/>
      <c r="G9">
        <v>1</v>
      </c>
      <c r="H9" s="14" t="s">
        <v>49</v>
      </c>
      <c r="I9" s="20">
        <f>I8*EXP(0.5826*$I$14*SQRT(1/365))</f>
        <v>110.84180839486365</v>
      </c>
      <c r="J9" s="20">
        <f>J8*EXP(0.5826*$I$14*SQRT(1/365))</f>
        <v>125.95660044870868</v>
      </c>
      <c r="K9" s="20">
        <f>K8*EXP(0.5826*$I$14*SQRT(1/365))</f>
        <v>151.14792053845042</v>
      </c>
      <c r="L9" s="20">
        <f>L8*EXP(0.5826*$I$14*SQRT(1/365))</f>
        <v>201.53056071793389</v>
      </c>
    </row>
    <row r="10" spans="1:22" x14ac:dyDescent="0.45">
      <c r="A10" s="3">
        <v>1</v>
      </c>
      <c r="B10" s="7">
        <v>0</v>
      </c>
      <c r="D10" s="11"/>
      <c r="E10" s="11"/>
      <c r="F10" s="11"/>
      <c r="H10" t="s">
        <v>12</v>
      </c>
      <c r="I10" s="5">
        <v>1</v>
      </c>
      <c r="K10" t="s">
        <v>41</v>
      </c>
    </row>
    <row r="11" spans="1:22" x14ac:dyDescent="0.45">
      <c r="A11" s="3">
        <v>2</v>
      </c>
      <c r="B11" s="7">
        <v>0</v>
      </c>
      <c r="H11" t="s">
        <v>24</v>
      </c>
      <c r="I11" s="12">
        <v>2</v>
      </c>
      <c r="K11">
        <v>12</v>
      </c>
      <c r="L11">
        <v>52</v>
      </c>
      <c r="M11">
        <v>365</v>
      </c>
    </row>
    <row r="12" spans="1:22" x14ac:dyDescent="0.45">
      <c r="A12" s="3"/>
      <c r="B12" s="7"/>
      <c r="D12" t="s">
        <v>21</v>
      </c>
      <c r="E12">
        <v>0.5</v>
      </c>
      <c r="H12" t="s">
        <v>14</v>
      </c>
      <c r="I12" s="5" t="str">
        <f>D4</f>
        <v>USD¤9</v>
      </c>
      <c r="L12" t="s">
        <v>39</v>
      </c>
    </row>
    <row r="13" spans="1:22" x14ac:dyDescent="0.45">
      <c r="A13" t="s">
        <v>56</v>
      </c>
      <c r="B13" s="12">
        <v>100</v>
      </c>
      <c r="C13">
        <v>100</v>
      </c>
      <c r="H13" t="s">
        <v>15</v>
      </c>
      <c r="I13" s="7">
        <v>0</v>
      </c>
      <c r="L13" t="s">
        <v>40</v>
      </c>
    </row>
    <row r="14" spans="1:22" x14ac:dyDescent="0.45">
      <c r="A14" s="18" t="s">
        <v>43</v>
      </c>
      <c r="H14" t="s">
        <v>16</v>
      </c>
      <c r="I14" s="7">
        <v>0.25</v>
      </c>
    </row>
    <row r="15" spans="1:22" ht="28.5" x14ac:dyDescent="0.45">
      <c r="A15" s="14" t="s">
        <v>42</v>
      </c>
      <c r="B15" s="17" t="s">
        <v>18</v>
      </c>
      <c r="C15" s="17" t="s">
        <v>19</v>
      </c>
      <c r="D15" s="14" t="s">
        <v>21</v>
      </c>
      <c r="E15" s="14" t="s">
        <v>59</v>
      </c>
      <c r="F15" s="11" t="s">
        <v>51</v>
      </c>
      <c r="G15" s="14" t="s">
        <v>45</v>
      </c>
      <c r="H15" s="14" t="s">
        <v>46</v>
      </c>
      <c r="I15" s="14" t="s">
        <v>47</v>
      </c>
      <c r="J15" s="25" t="s">
        <v>53</v>
      </c>
      <c r="K15" s="25" t="s">
        <v>54</v>
      </c>
    </row>
    <row r="16" spans="1:22" x14ac:dyDescent="0.45">
      <c r="A16">
        <v>1</v>
      </c>
      <c r="B16" s="12">
        <f>B13</f>
        <v>100</v>
      </c>
      <c r="C16">
        <f>C13</f>
        <v>100</v>
      </c>
      <c r="D16">
        <f>$E$12</f>
        <v>0.5</v>
      </c>
      <c r="E16">
        <f>_xll.ORF.BARRBSPDE($I$3,$I$6,$I$10,$I$5,I$8,$I$11,$I$4,$I$12,$I$13,$I$14,$K$2:$L$4, $L$6)</f>
        <v>6.6898758006571205E-2</v>
      </c>
      <c r="F16">
        <f>_xll.ORF.BARRBS($I$3,$I$4,$I$5,$I$6,$I$9, $I$10,_xll.ORF.SPOTRATE($I$12,$I$10),$I$13,$I$14)</f>
        <v>8.5056611235126311E-2</v>
      </c>
      <c r="G16" s="19">
        <f>ABS(E16-F16)</f>
        <v>1.8157853228555107E-2</v>
      </c>
      <c r="H16" s="16">
        <f>G16</f>
        <v>1.8157853228555107E-2</v>
      </c>
      <c r="I16" s="16">
        <f>H16</f>
        <v>1.8157853228555107E-2</v>
      </c>
      <c r="J16" s="26"/>
      <c r="K16" s="27"/>
    </row>
    <row r="17" spans="1:13" x14ac:dyDescent="0.45">
      <c r="A17">
        <v>2</v>
      </c>
      <c r="B17" s="21">
        <f>B16*2</f>
        <v>200</v>
      </c>
      <c r="C17">
        <f>C16*2</f>
        <v>200</v>
      </c>
      <c r="D17">
        <f t="shared" ref="D17:D21" si="0">$E$12</f>
        <v>0.5</v>
      </c>
      <c r="E17">
        <f>_xll.ORF.BARRBSPDE($I$3,$I$6,$I$10,$I$5,I$8,$I$11,$I$4,$I$12,$I$13,$I$14,$M$2:$N$4, $L$6)</f>
        <v>7.1763997498354909E-2</v>
      </c>
      <c r="F17">
        <f>_xll.ORF.BARRBS($I$3,$I$4,$I$5,$I$6,$I$9, $I$10,_xll.ORF.SPOTRATE($I$12,$I$10),$I$13,$I$14)</f>
        <v>8.5056611235126311E-2</v>
      </c>
      <c r="G17" s="19">
        <f t="shared" ref="G17:G21" si="1">ABS(E17-F17)</f>
        <v>1.3292613736771403E-2</v>
      </c>
      <c r="H17" s="3">
        <f>H16/4</f>
        <v>4.5394633071387767E-3</v>
      </c>
      <c r="I17">
        <f>I16/2</f>
        <v>9.0789266142775535E-3</v>
      </c>
      <c r="J17" s="28">
        <f>E17-E16</f>
        <v>4.8652394917837044E-3</v>
      </c>
      <c r="K17" s="28"/>
    </row>
    <row r="18" spans="1:13" x14ac:dyDescent="0.45">
      <c r="A18">
        <v>3</v>
      </c>
      <c r="B18">
        <f t="shared" ref="B18:C21" si="2">B17*2</f>
        <v>400</v>
      </c>
      <c r="C18">
        <f t="shared" si="2"/>
        <v>400</v>
      </c>
      <c r="D18">
        <f t="shared" si="0"/>
        <v>0.5</v>
      </c>
      <c r="E18">
        <f>_xll.ORF.BARRBSPDE($I$3,$I$6,$I$10,$I$5,I$8,$I$11,$I$4,$I$12,$I$13,$I$14,$O$2:$P$4, $L$6)</f>
        <v>7.6300497425891664E-2</v>
      </c>
      <c r="F18">
        <f>_xll.ORF.BARRBS($I$3,$I$4,$I$5,$I$6,$I$9, $I$10,_xll.ORF.SPOTRATE($I$12,$I$10),$I$13,$I$14)</f>
        <v>8.5056611235126311E-2</v>
      </c>
      <c r="G18" s="19">
        <f t="shared" si="1"/>
        <v>8.7561138092346474E-3</v>
      </c>
      <c r="H18" s="3">
        <f t="shared" ref="H18:H21" si="3">H17/4</f>
        <v>1.1348658267846942E-3</v>
      </c>
      <c r="I18">
        <f t="shared" ref="I18:I21" si="4">I17/2</f>
        <v>4.5394633071387767E-3</v>
      </c>
      <c r="J18" s="28">
        <f>E18-E17</f>
        <v>4.5364999275367551E-3</v>
      </c>
      <c r="K18" s="29">
        <f>J18/J17</f>
        <v>0.93243095950320298</v>
      </c>
    </row>
    <row r="19" spans="1:13" x14ac:dyDescent="0.45">
      <c r="A19">
        <v>4</v>
      </c>
      <c r="B19">
        <f t="shared" si="2"/>
        <v>800</v>
      </c>
      <c r="C19">
        <f t="shared" si="2"/>
        <v>800</v>
      </c>
      <c r="D19">
        <f t="shared" si="0"/>
        <v>0.5</v>
      </c>
      <c r="E19">
        <f>_xll.ORF.BARRBSPDE($I$3,$I$6,$I$10,$I$5,I$8,$I$11,$I$4,$I$12,$I$13,$I$14,$Q$2:$R$4, $L$6)</f>
        <v>8.3519003090695515E-2</v>
      </c>
      <c r="F19">
        <f>_xll.ORF.BARRBS($I$3,$I$4,$I$5,$I$6,$I$9, $I$10,_xll.ORF.SPOTRATE($I$12,$I$10),$I$13,$I$14)</f>
        <v>8.5056611235126311E-2</v>
      </c>
      <c r="G19" s="19">
        <f t="shared" si="1"/>
        <v>1.5376081444307965E-3</v>
      </c>
      <c r="H19" s="3">
        <f t="shared" si="3"/>
        <v>2.8371645669617355E-4</v>
      </c>
      <c r="I19">
        <f t="shared" si="4"/>
        <v>2.2697316535693884E-3</v>
      </c>
      <c r="J19" s="28">
        <f>E19-E18</f>
        <v>7.2185056648038509E-3</v>
      </c>
      <c r="K19" s="29">
        <f t="shared" ref="K19:K21" si="5">J19/J18</f>
        <v>1.5912059473399751</v>
      </c>
    </row>
    <row r="20" spans="1:13" x14ac:dyDescent="0.45">
      <c r="A20">
        <v>5</v>
      </c>
      <c r="B20">
        <f t="shared" si="2"/>
        <v>1600</v>
      </c>
      <c r="C20">
        <f t="shared" si="2"/>
        <v>1600</v>
      </c>
      <c r="D20">
        <f t="shared" si="0"/>
        <v>0.5</v>
      </c>
      <c r="E20">
        <f>_xll.ORF.BARRBSPDE($I$3,$I$6,$I$10,$I$5,I$8,$I$11,$I$4,$I$12,$I$13,$I$14,$S$2:$T$4, $L$6)</f>
        <v>8.4477422956266604E-2</v>
      </c>
      <c r="F20">
        <f>_xll.ORF.BARRBS($I$3,$I$4,$I$5,$I$6,$I$9, $I$10,_xll.ORF.SPOTRATE($I$12,$I$10),$I$13,$I$14)</f>
        <v>8.5056611235126311E-2</v>
      </c>
      <c r="G20" s="19">
        <f t="shared" si="1"/>
        <v>5.7918827885970747E-4</v>
      </c>
      <c r="H20" s="3">
        <f t="shared" si="3"/>
        <v>7.0929114174043387E-5</v>
      </c>
      <c r="I20">
        <f t="shared" si="4"/>
        <v>1.1348658267846942E-3</v>
      </c>
      <c r="J20" s="28">
        <f>E20-E19</f>
        <v>9.5841986557108905E-4</v>
      </c>
      <c r="K20" s="29">
        <f t="shared" si="5"/>
        <v>0.13277261390043285</v>
      </c>
    </row>
    <row r="21" spans="1:13" x14ac:dyDescent="0.45">
      <c r="A21">
        <v>6</v>
      </c>
      <c r="B21">
        <f t="shared" si="2"/>
        <v>3200</v>
      </c>
      <c r="C21">
        <f t="shared" si="2"/>
        <v>3200</v>
      </c>
      <c r="D21">
        <f t="shared" si="0"/>
        <v>0.5</v>
      </c>
      <c r="E21">
        <f>_xll.ORF.BARRBSPDE($I$3,$I$6,$I$10,$I$5,I$8,$I$11,$I$4,$I$12,$I$13,$I$14,$U$2:$V$4, $L$6)</f>
        <v>8.4865238729560769E-2</v>
      </c>
      <c r="F21">
        <f>_xll.ORF.BARRBS($I$3,$I$4,$I$5,$I$6,$I$9, $I$10,_xll.ORF.SPOTRATE($I$12,$I$10),$I$13,$I$14)</f>
        <v>8.5056611235126311E-2</v>
      </c>
      <c r="G21" s="19">
        <f t="shared" si="1"/>
        <v>1.9137250556554297E-4</v>
      </c>
      <c r="H21" s="3">
        <f t="shared" si="3"/>
        <v>1.7732278543510847E-5</v>
      </c>
      <c r="I21">
        <f t="shared" si="4"/>
        <v>5.6743291339234709E-4</v>
      </c>
      <c r="J21" s="28">
        <f>E21-E20</f>
        <v>3.878157732941645E-4</v>
      </c>
      <c r="K21" s="29">
        <f t="shared" si="5"/>
        <v>0.40464079181317741</v>
      </c>
    </row>
    <row r="23" spans="1:13" ht="42.75" x14ac:dyDescent="0.45">
      <c r="B23" t="s">
        <v>60</v>
      </c>
      <c r="H23" s="35" t="s">
        <v>61</v>
      </c>
      <c r="I23" s="36" t="s">
        <v>62</v>
      </c>
      <c r="J23" s="36"/>
      <c r="K23" s="36"/>
      <c r="L23" s="36"/>
      <c r="M23" s="36"/>
    </row>
    <row r="24" spans="1:13" x14ac:dyDescent="0.45">
      <c r="H24" s="35"/>
      <c r="I24" s="14"/>
      <c r="J24" s="14"/>
      <c r="K24" s="14"/>
      <c r="L24" s="14"/>
      <c r="M24" s="14"/>
    </row>
    <row r="25" spans="1:13" x14ac:dyDescent="0.45">
      <c r="I25" s="14"/>
      <c r="J25" s="13"/>
      <c r="K25" s="13"/>
      <c r="L25" s="13"/>
      <c r="M25" s="13"/>
    </row>
    <row r="26" spans="1:13" x14ac:dyDescent="0.45">
      <c r="I26" s="14" t="s">
        <v>58</v>
      </c>
      <c r="J26" s="13"/>
      <c r="K26" s="13"/>
      <c r="L26" s="13"/>
      <c r="M26" s="13"/>
    </row>
    <row r="27" spans="1:13" x14ac:dyDescent="0.45">
      <c r="I27" s="14"/>
      <c r="J27" s="13"/>
      <c r="K27" s="13"/>
      <c r="L27" s="13"/>
      <c r="M27" s="13"/>
    </row>
    <row r="29" spans="1:13" x14ac:dyDescent="0.45">
      <c r="A29" s="18" t="s">
        <v>57</v>
      </c>
    </row>
    <row r="30" spans="1:13" ht="28.5" x14ac:dyDescent="0.45">
      <c r="A30" s="14" t="s">
        <v>42</v>
      </c>
      <c r="B30" s="17" t="s">
        <v>18</v>
      </c>
      <c r="C30" s="17" t="s">
        <v>19</v>
      </c>
      <c r="D30" s="14" t="s">
        <v>21</v>
      </c>
      <c r="E30" s="14" t="s">
        <v>59</v>
      </c>
      <c r="F30" s="11" t="s">
        <v>51</v>
      </c>
      <c r="G30" s="14" t="s">
        <v>45</v>
      </c>
      <c r="H30" s="14" t="s">
        <v>46</v>
      </c>
      <c r="I30" s="14" t="s">
        <v>47</v>
      </c>
      <c r="J30" s="30" t="s">
        <v>53</v>
      </c>
      <c r="K30" s="30" t="s">
        <v>54</v>
      </c>
    </row>
    <row r="31" spans="1:13" x14ac:dyDescent="0.45">
      <c r="A31">
        <v>1</v>
      </c>
      <c r="B31" s="12">
        <f t="array" ref="B31:C31">B13:C13</f>
        <v>100</v>
      </c>
      <c r="C31">
        <v>100</v>
      </c>
      <c r="D31">
        <f>$E$12</f>
        <v>0.5</v>
      </c>
      <c r="E31">
        <f>_xll.ORF.BARRBSPDE($I$3,$I$6,$I$10,$I$5,J$8,$I$11,$I$4,$I$12,$I$13,$I$14,$K$2:$L$4, $L$6)</f>
        <v>1.3186813635286787</v>
      </c>
      <c r="F31">
        <f>_xll.ORF.BARRBS($I$3,$I$4,$I$5,$I$6,$J$9, $I$10,_xll.ORF.SPOTRATE($I$12,$I$10),$I$13,$I$14)</f>
        <v>1.4311972628506684</v>
      </c>
      <c r="G31" s="19">
        <f>ABS(E31-F31)</f>
        <v>0.11251589932198969</v>
      </c>
      <c r="H31" s="16">
        <f>G31</f>
        <v>0.11251589932198969</v>
      </c>
      <c r="I31" s="16">
        <f>H31</f>
        <v>0.11251589932198969</v>
      </c>
      <c r="J31" s="31"/>
      <c r="K31" s="32"/>
    </row>
    <row r="32" spans="1:13" x14ac:dyDescent="0.45">
      <c r="A32">
        <v>2</v>
      </c>
      <c r="B32">
        <f>B31*2</f>
        <v>200</v>
      </c>
      <c r="C32">
        <f>C31*2</f>
        <v>200</v>
      </c>
      <c r="D32">
        <f t="shared" ref="D32:D36" si="6">$E$12</f>
        <v>0.5</v>
      </c>
      <c r="E32">
        <f>_xll.ORF.BARRBSPDE($I$3,$I$6,$I$10,$I$5,J$8,$I$11,$I$4,$I$12,$I$13,$I$14,$M$2:$N$4, $L$6)</f>
        <v>1.3480770760092269</v>
      </c>
      <c r="F32">
        <f>_xll.ORF.BARRBS($I$3,$I$4,$I$5,$I$6,$J$9, $I$10,_xll.ORF.SPOTRATE($I$12,$I$10),$I$13,$I$14)</f>
        <v>1.4311972628506684</v>
      </c>
      <c r="G32" s="19">
        <f t="shared" ref="G32:G36" si="7">ABS(E32-F32)</f>
        <v>8.3120186841441512E-2</v>
      </c>
      <c r="H32" s="3">
        <f>H31/4</f>
        <v>2.8128974830497422E-2</v>
      </c>
      <c r="I32">
        <f>I31/2</f>
        <v>5.6257949660994844E-2</v>
      </c>
      <c r="J32" s="33">
        <f>E32-E31</f>
        <v>2.9395712480548175E-2</v>
      </c>
      <c r="K32" s="33"/>
    </row>
    <row r="33" spans="1:11" x14ac:dyDescent="0.45">
      <c r="A33">
        <v>3</v>
      </c>
      <c r="B33">
        <f t="shared" ref="B33:C36" si="8">B32*2</f>
        <v>400</v>
      </c>
      <c r="C33">
        <f t="shared" si="8"/>
        <v>400</v>
      </c>
      <c r="D33">
        <f t="shared" si="6"/>
        <v>0.5</v>
      </c>
      <c r="E33">
        <f>_xll.ORF.BARRBSPDE($I$3,$I$6,$I$10,$I$5,J$8,$I$11,$I$4,$I$12,$I$13,$I$14,$O$2:$P$4, $L$6)</f>
        <v>1.376029303081753</v>
      </c>
      <c r="F33">
        <f>_xll.ORF.BARRBS($I$3,$I$4,$I$5,$I$6,$J$9, $I$10,_xll.ORF.SPOTRATE($I$12,$I$10),$I$13,$I$14)</f>
        <v>1.4311972628506684</v>
      </c>
      <c r="G33" s="19">
        <f t="shared" si="7"/>
        <v>5.516795976891542E-2</v>
      </c>
      <c r="H33" s="3">
        <f t="shared" ref="H33:H36" si="9">H32/4</f>
        <v>7.0322437076243555E-3</v>
      </c>
      <c r="I33">
        <f t="shared" ref="I33:I36" si="10">I32/2</f>
        <v>2.8128974830497422E-2</v>
      </c>
      <c r="J33" s="33">
        <f>E33-E32</f>
        <v>2.7952227072526092E-2</v>
      </c>
      <c r="K33" s="34">
        <f>J33/J32</f>
        <v>0.95089469564728968</v>
      </c>
    </row>
    <row r="34" spans="1:11" x14ac:dyDescent="0.45">
      <c r="A34">
        <v>4</v>
      </c>
      <c r="B34">
        <f t="shared" si="8"/>
        <v>800</v>
      </c>
      <c r="C34">
        <f t="shared" si="8"/>
        <v>800</v>
      </c>
      <c r="D34">
        <f t="shared" si="6"/>
        <v>0.5</v>
      </c>
      <c r="E34">
        <f>_xll.ORF.BARRBSPDE($I$3,$I$6,$I$10,$I$5,J$8,$I$11,$I$4,$I$12,$I$13,$I$14,$Q$2:$R$4, $L$6)</f>
        <v>1.4224509261079039</v>
      </c>
      <c r="F34">
        <f>_xll.ORF.BARRBS($I$3,$I$4,$I$5,$I$6,$J$9, $I$10,_xll.ORF.SPOTRATE($I$12,$I$10),$I$13,$I$14)</f>
        <v>1.4311972628506684</v>
      </c>
      <c r="G34" s="19">
        <f t="shared" si="7"/>
        <v>8.7463367427644823E-3</v>
      </c>
      <c r="H34" s="3">
        <f t="shared" si="9"/>
        <v>1.7580609269060889E-3</v>
      </c>
      <c r="I34">
        <f t="shared" si="10"/>
        <v>1.4064487415248711E-2</v>
      </c>
      <c r="J34" s="33">
        <f>E34-E33</f>
        <v>4.6421623026150938E-2</v>
      </c>
      <c r="K34" s="34">
        <f t="shared" ref="K34:K36" si="11">J34/J33</f>
        <v>1.6607486375129727</v>
      </c>
    </row>
    <row r="35" spans="1:11" x14ac:dyDescent="0.45">
      <c r="A35">
        <v>5</v>
      </c>
      <c r="B35">
        <f t="shared" si="8"/>
        <v>1600</v>
      </c>
      <c r="C35">
        <f t="shared" si="8"/>
        <v>1600</v>
      </c>
      <c r="D35">
        <f t="shared" si="6"/>
        <v>0.5</v>
      </c>
      <c r="E35">
        <f>_xll.ORF.BARRBSPDE($I$3,$I$6,$I$10,$I$5,J$8,$I$11,$I$4,$I$12,$I$13,$I$14,$S$2:$T$4, $L$6)</f>
        <v>1.4281437928384046</v>
      </c>
      <c r="F35">
        <f>_xll.ORF.BARRBS($I$3,$I$4,$I$5,$I$6,$J$9, $I$10,_xll.ORF.SPOTRATE($I$12,$I$10),$I$13,$I$14)</f>
        <v>1.4311972628506684</v>
      </c>
      <c r="G35" s="19">
        <f t="shared" si="7"/>
        <v>3.0534700122637481E-3</v>
      </c>
      <c r="H35" s="3">
        <f t="shared" si="9"/>
        <v>4.3951523172652222E-4</v>
      </c>
      <c r="I35">
        <f t="shared" si="10"/>
        <v>7.0322437076243555E-3</v>
      </c>
      <c r="J35" s="33">
        <f>E35-E34</f>
        <v>5.6928667305007341E-3</v>
      </c>
      <c r="K35" s="34">
        <f t="shared" si="11"/>
        <v>0.12263394425683354</v>
      </c>
    </row>
    <row r="36" spans="1:11" x14ac:dyDescent="0.45">
      <c r="A36">
        <v>6</v>
      </c>
      <c r="B36">
        <f t="shared" si="8"/>
        <v>3200</v>
      </c>
      <c r="C36">
        <f t="shared" si="8"/>
        <v>3200</v>
      </c>
      <c r="D36">
        <f t="shared" si="6"/>
        <v>0.5</v>
      </c>
      <c r="E36">
        <f>_xll.ORF.BARRBSPDE($I$3,$I$6,$I$10,$I$5,J$8,$I$11,$I$4,$I$12,$I$13,$I$14,$U$2:$V$4, $L$6)</f>
        <v>1.4305624932801346</v>
      </c>
      <c r="F36">
        <f>_xll.ORF.BARRBS($I$3,$I$4,$I$5,$I$6,$J$9, $I$10,_xll.ORF.SPOTRATE($I$12,$I$10),$I$13,$I$14)</f>
        <v>1.4311972628506684</v>
      </c>
      <c r="G36" s="19">
        <f t="shared" si="7"/>
        <v>6.3476957053376637E-4</v>
      </c>
      <c r="H36" s="3">
        <f t="shared" si="9"/>
        <v>1.0987880793163055E-4</v>
      </c>
      <c r="I36">
        <f t="shared" si="10"/>
        <v>3.5161218538121777E-3</v>
      </c>
      <c r="J36" s="33">
        <f>E36-E35</f>
        <v>2.4187004417299818E-3</v>
      </c>
      <c r="K36" s="34">
        <f t="shared" si="11"/>
        <v>0.42486510860535065</v>
      </c>
    </row>
    <row r="38" spans="1:11" x14ac:dyDescent="0.45">
      <c r="I38" s="14" t="s">
        <v>58</v>
      </c>
    </row>
    <row r="40" spans="1:11" x14ac:dyDescent="0.45">
      <c r="A40" s="18" t="s">
        <v>63</v>
      </c>
    </row>
    <row r="41" spans="1:11" ht="28.5" x14ac:dyDescent="0.45">
      <c r="A41" s="14" t="s">
        <v>42</v>
      </c>
      <c r="B41" s="17" t="s">
        <v>18</v>
      </c>
      <c r="C41" s="17" t="s">
        <v>19</v>
      </c>
      <c r="D41" s="14" t="s">
        <v>21</v>
      </c>
      <c r="E41" s="14" t="s">
        <v>59</v>
      </c>
      <c r="F41" s="11" t="s">
        <v>51</v>
      </c>
      <c r="G41" s="14" t="s">
        <v>45</v>
      </c>
      <c r="H41" s="14" t="s">
        <v>46</v>
      </c>
      <c r="I41" s="14" t="s">
        <v>47</v>
      </c>
      <c r="J41" s="30" t="s">
        <v>53</v>
      </c>
      <c r="K41" s="30" t="s">
        <v>54</v>
      </c>
    </row>
    <row r="42" spans="1:11" x14ac:dyDescent="0.45">
      <c r="A42">
        <v>1</v>
      </c>
      <c r="B42" s="12">
        <f t="array" ref="B42:C42">$B$13:$C$13</f>
        <v>100</v>
      </c>
      <c r="C42">
        <v>100</v>
      </c>
      <c r="D42">
        <f>$E$12</f>
        <v>0.5</v>
      </c>
      <c r="E42">
        <f>_xll.ORF.BARRBSPDE($I$3,$I$6,$I$10,$I$5,K$8,$I$11,$I$4,$I$12,$I$13,$I$14,$K$2:$L$4, $L$6)</f>
        <v>6.1945490927359472</v>
      </c>
      <c r="F42">
        <f>_xll.ORF.BARRBS($I$3,$I$4,$I$5,$I$6,$K$9, $I$10,_xll.ORF.SPOTRATE($I$12,$I$10),$I$13,$I$14)</f>
        <v>5.870175525056692</v>
      </c>
      <c r="G42" s="19">
        <f>ABS(E42-F42)</f>
        <v>0.32437356767925518</v>
      </c>
      <c r="H42" s="16">
        <f>G42</f>
        <v>0.32437356767925518</v>
      </c>
      <c r="I42" s="16">
        <f>H42</f>
        <v>0.32437356767925518</v>
      </c>
      <c r="J42" s="31"/>
      <c r="K42" s="32"/>
    </row>
    <row r="43" spans="1:11" x14ac:dyDescent="0.45">
      <c r="A43">
        <v>2</v>
      </c>
      <c r="B43">
        <f>B42*2</f>
        <v>200</v>
      </c>
      <c r="C43">
        <f>C42*2</f>
        <v>200</v>
      </c>
      <c r="D43">
        <f t="shared" ref="D43:D47" si="12">$E$12</f>
        <v>0.5</v>
      </c>
      <c r="E43">
        <f>_xll.ORF.BARRBSPDE($I$3,$I$6,$I$10,$I$5,K$8,$I$11,$I$4,$I$12,$I$13,$I$14,$M$2:$N$4, $L$6)</f>
        <v>6.0027087377387049</v>
      </c>
      <c r="F43">
        <f>_xll.ORF.BARRBS($I$3,$I$4,$I$5,$I$6,$K$9, $I$10,_xll.ORF.SPOTRATE($I$12,$I$10),$I$13,$I$14)</f>
        <v>5.870175525056692</v>
      </c>
      <c r="G43" s="19">
        <f t="shared" ref="G43:G47" si="13">ABS(E43-F43)</f>
        <v>0.1325332126820129</v>
      </c>
      <c r="H43" s="3">
        <f>H42/4</f>
        <v>8.1093391919813795E-2</v>
      </c>
      <c r="I43">
        <f>I42/2</f>
        <v>0.16218678383962759</v>
      </c>
      <c r="J43" s="33">
        <f>E43-E42</f>
        <v>-0.19184035499724228</v>
      </c>
      <c r="K43" s="33"/>
    </row>
    <row r="44" spans="1:11" x14ac:dyDescent="0.45">
      <c r="A44">
        <v>3</v>
      </c>
      <c r="B44">
        <f t="shared" ref="B44:C47" si="14">B43*2</f>
        <v>400</v>
      </c>
      <c r="C44">
        <f t="shared" si="14"/>
        <v>400</v>
      </c>
      <c r="D44">
        <f t="shared" si="12"/>
        <v>0.5</v>
      </c>
      <c r="E44">
        <f>_xll.ORF.BARRBSPDE($I$3,$I$6,$I$10,$I$5,K$8,$I$11,$I$4,$I$12,$I$13,$I$14,$O$2:$P$4, $L$6)</f>
        <v>5.920345491328395</v>
      </c>
      <c r="F44">
        <f>_xll.ORF.BARRBS($I$3,$I$4,$I$5,$I$6,$K$9, $I$10,_xll.ORF.SPOTRATE($I$12,$I$10),$I$13,$I$14)</f>
        <v>5.870175525056692</v>
      </c>
      <c r="G44" s="19">
        <f t="shared" si="13"/>
        <v>5.0169966271703004E-2</v>
      </c>
      <c r="H44" s="3">
        <f t="shared" ref="H44:H47" si="15">H43/4</f>
        <v>2.0273347979953449E-2</v>
      </c>
      <c r="I44">
        <f t="shared" ref="I44:I47" si="16">I43/2</f>
        <v>8.1093391919813795E-2</v>
      </c>
      <c r="J44" s="33">
        <f>E44-E43</f>
        <v>-8.2363246410309898E-2</v>
      </c>
      <c r="K44" s="34">
        <f>J44/J43</f>
        <v>0.42933222476310512</v>
      </c>
    </row>
    <row r="45" spans="1:11" x14ac:dyDescent="0.45">
      <c r="A45">
        <v>4</v>
      </c>
      <c r="B45">
        <f t="shared" si="14"/>
        <v>800</v>
      </c>
      <c r="C45">
        <f t="shared" si="14"/>
        <v>800</v>
      </c>
      <c r="D45">
        <f t="shared" si="12"/>
        <v>0.5</v>
      </c>
      <c r="E45">
        <f>_xll.ORF.BARRBSPDE($I$3,$I$6,$I$10,$I$5,K$8,$I$11,$I$4,$I$12,$I$13,$I$14,$Q$2:$R$4, $L$6)</f>
        <v>5.9193961040042335</v>
      </c>
      <c r="F45">
        <f>_xll.ORF.BARRBS($I$3,$I$4,$I$5,$I$6,$K$9, $I$10,_xll.ORF.SPOTRATE($I$12,$I$10),$I$13,$I$14)</f>
        <v>5.870175525056692</v>
      </c>
      <c r="G45" s="19">
        <f t="shared" si="13"/>
        <v>4.9220578947541505E-2</v>
      </c>
      <c r="H45" s="3">
        <f t="shared" si="15"/>
        <v>5.0683369949883622E-3</v>
      </c>
      <c r="I45">
        <f t="shared" si="16"/>
        <v>4.0546695959906898E-2</v>
      </c>
      <c r="J45" s="33">
        <f>E45-E44</f>
        <v>-9.4938732416149918E-4</v>
      </c>
      <c r="K45" s="34">
        <f t="shared" ref="K45:K47" si="17">J45/J44</f>
        <v>1.1526832240583693E-2</v>
      </c>
    </row>
    <row r="46" spans="1:11" x14ac:dyDescent="0.45">
      <c r="A46">
        <v>5</v>
      </c>
      <c r="B46">
        <f t="shared" si="14"/>
        <v>1600</v>
      </c>
      <c r="C46">
        <f t="shared" si="14"/>
        <v>1600</v>
      </c>
      <c r="D46">
        <f t="shared" si="12"/>
        <v>0.5</v>
      </c>
      <c r="E46">
        <f>_xll.ORF.BARRBSPDE($I$3,$I$6,$I$10,$I$5,K$8,$I$11,$I$4,$I$12,$I$13,$I$14,$S$2:$T$4, $L$6)</f>
        <v>5.8965737767034883</v>
      </c>
      <c r="F46">
        <f>_xll.ORF.BARRBS($I$3,$I$4,$I$5,$I$6,$K$9, $I$10,_xll.ORF.SPOTRATE($I$12,$I$10),$I$13,$I$14)</f>
        <v>5.870175525056692</v>
      </c>
      <c r="G46" s="19">
        <f t="shared" si="13"/>
        <v>2.6398251646796211E-2</v>
      </c>
      <c r="H46" s="3">
        <f t="shared" si="15"/>
        <v>1.2670842487470906E-3</v>
      </c>
      <c r="I46">
        <f t="shared" si="16"/>
        <v>2.0273347979953449E-2</v>
      </c>
      <c r="J46" s="33">
        <f>E46-E45</f>
        <v>-2.2822327300745293E-2</v>
      </c>
      <c r="K46" s="34">
        <f t="shared" si="17"/>
        <v>24.039005703917542</v>
      </c>
    </row>
    <row r="47" spans="1:11" x14ac:dyDescent="0.45">
      <c r="A47">
        <v>6</v>
      </c>
      <c r="B47">
        <f t="shared" si="14"/>
        <v>3200</v>
      </c>
      <c r="C47">
        <f t="shared" si="14"/>
        <v>3200</v>
      </c>
      <c r="D47">
        <f t="shared" si="12"/>
        <v>0.5</v>
      </c>
      <c r="E47">
        <f>_xll.ORF.BARRBSPDE($I$3,$I$6,$I$10,$I$5,K$8,$I$11,$I$4,$I$12,$I$13,$I$14,$U$2:$V$4, $L$6)</f>
        <v>5.8845619681579384</v>
      </c>
      <c r="F47">
        <f>_xll.ORF.BARRBS($I$3,$I$4,$I$5,$I$6,$K$9, $I$10,_xll.ORF.SPOTRATE($I$12,$I$10),$I$13,$I$14)</f>
        <v>5.870175525056692</v>
      </c>
      <c r="G47" s="19">
        <f t="shared" si="13"/>
        <v>1.4386443101246371E-2</v>
      </c>
      <c r="H47" s="3">
        <f t="shared" si="15"/>
        <v>3.1677106218677264E-4</v>
      </c>
      <c r="I47">
        <f t="shared" si="16"/>
        <v>1.0136673989976724E-2</v>
      </c>
      <c r="J47" s="33">
        <f>E47-E46</f>
        <v>-1.201180854554984E-2</v>
      </c>
      <c r="K47" s="34">
        <f t="shared" si="17"/>
        <v>0.52631830169036176</v>
      </c>
    </row>
    <row r="49" spans="1:11" x14ac:dyDescent="0.45">
      <c r="I49" s="14" t="s">
        <v>58</v>
      </c>
    </row>
    <row r="53" spans="1:11" x14ac:dyDescent="0.45">
      <c r="A53" s="18" t="s">
        <v>63</v>
      </c>
    </row>
    <row r="54" spans="1:11" ht="28.5" x14ac:dyDescent="0.45">
      <c r="A54" s="14" t="s">
        <v>42</v>
      </c>
      <c r="B54" s="17" t="s">
        <v>18</v>
      </c>
      <c r="C54" s="17" t="s">
        <v>19</v>
      </c>
      <c r="D54" s="14" t="s">
        <v>21</v>
      </c>
      <c r="E54" s="14" t="s">
        <v>59</v>
      </c>
      <c r="F54" s="11" t="s">
        <v>51</v>
      </c>
      <c r="G54" s="14" t="s">
        <v>45</v>
      </c>
      <c r="H54" s="14" t="s">
        <v>46</v>
      </c>
      <c r="I54" s="14" t="s">
        <v>47</v>
      </c>
      <c r="J54" s="30" t="s">
        <v>53</v>
      </c>
      <c r="K54" s="30" t="s">
        <v>54</v>
      </c>
    </row>
    <row r="55" spans="1:11" x14ac:dyDescent="0.45">
      <c r="A55">
        <v>1</v>
      </c>
      <c r="B55" s="12">
        <f t="array" ref="B55:C55">$B$13:$C$13</f>
        <v>100</v>
      </c>
      <c r="C55">
        <v>100</v>
      </c>
      <c r="D55">
        <f>$E$12</f>
        <v>0.5</v>
      </c>
      <c r="E55">
        <f>_xll.ORF.BARRBSPDE($I$3,$I$6,$I$10,$I$5,L$8,$I$11,$I$4,$I$12,$I$13,$I$14,$K$2:$L$4, $L$6)</f>
        <v>9.6434457492735461</v>
      </c>
      <c r="F55">
        <f>_xll.ORF.BARRBS($I$3,$I$4,$I$5,$I$6,$L$9, $I$10,_xll.ORF.SPOTRATE($I$12,$I$10),$I$13,$I$14)</f>
        <v>9.5879877809293088</v>
      </c>
      <c r="G55" s="19">
        <f>ABS(E55-F55)</f>
        <v>5.5457968344237329E-2</v>
      </c>
      <c r="H55" s="16">
        <f>G55</f>
        <v>5.5457968344237329E-2</v>
      </c>
      <c r="I55" s="16">
        <f>H55</f>
        <v>5.5457968344237329E-2</v>
      </c>
      <c r="J55" s="31"/>
      <c r="K55" s="32"/>
    </row>
    <row r="56" spans="1:11" x14ac:dyDescent="0.45">
      <c r="A56">
        <v>2</v>
      </c>
      <c r="B56">
        <f>B55*2</f>
        <v>200</v>
      </c>
      <c r="C56">
        <f>C55*2</f>
        <v>200</v>
      </c>
      <c r="D56">
        <f t="shared" ref="D56:D60" si="18">$E$12</f>
        <v>0.5</v>
      </c>
      <c r="E56">
        <f>_xll.ORF.BARRBSPDE($I$3,$I$6,$I$10,$I$5,L$8,$I$11,$I$4,$I$12,$I$13,$I$14,$M$2:$N$4, $L$6)</f>
        <v>9.6103770962316428</v>
      </c>
      <c r="F56">
        <f>_xll.ORF.BARRBS($I$3,$I$4,$I$5,$I$6,$L$9, $I$10,_xll.ORF.SPOTRATE($I$12,$I$10),$I$13,$I$14)</f>
        <v>9.5879877809293088</v>
      </c>
      <c r="G56" s="19">
        <f t="shared" ref="G56:G60" si="19">ABS(E56-F56)</f>
        <v>2.2389315302334012E-2</v>
      </c>
      <c r="H56" s="3">
        <f>H55/4</f>
        <v>1.3864492086059332E-2</v>
      </c>
      <c r="I56">
        <f>I55/2</f>
        <v>2.7728984172118665E-2</v>
      </c>
      <c r="J56" s="33">
        <f>E56-E55</f>
        <v>-3.3068653041903318E-2</v>
      </c>
      <c r="K56" s="33"/>
    </row>
    <row r="57" spans="1:11" x14ac:dyDescent="0.45">
      <c r="A57">
        <v>3</v>
      </c>
      <c r="B57">
        <f t="shared" ref="B57:C60" si="20">B56*2</f>
        <v>400</v>
      </c>
      <c r="C57">
        <f t="shared" si="20"/>
        <v>400</v>
      </c>
      <c r="D57">
        <f t="shared" si="18"/>
        <v>0.5</v>
      </c>
      <c r="E57">
        <f>_xll.ORF.BARRBSPDE($I$3,$I$6,$I$10,$I$5,L$8,$I$11,$I$4,$I$12,$I$13,$I$14,$O$2:$P$4, $L$6)</f>
        <v>9.5962484373180583</v>
      </c>
      <c r="F57">
        <f>_xll.ORF.BARRBS($I$3,$I$4,$I$5,$I$6,$L$9, $I$10,_xll.ORF.SPOTRATE($I$12,$I$10),$I$13,$I$14)</f>
        <v>9.5879877809293088</v>
      </c>
      <c r="G57" s="19">
        <f t="shared" si="19"/>
        <v>8.2606563887495099E-3</v>
      </c>
      <c r="H57" s="3">
        <f t="shared" ref="H57:H60" si="21">H56/4</f>
        <v>3.4661230215148331E-3</v>
      </c>
      <c r="I57">
        <f t="shared" ref="I57:I60" si="22">I56/2</f>
        <v>1.3864492086059332E-2</v>
      </c>
      <c r="J57" s="33">
        <f>E57-E56</f>
        <v>-1.4128658913584502E-2</v>
      </c>
      <c r="K57" s="34">
        <f>J57/J56</f>
        <v>0.42725232550842673</v>
      </c>
    </row>
    <row r="58" spans="1:11" x14ac:dyDescent="0.45">
      <c r="A58">
        <v>4</v>
      </c>
      <c r="B58">
        <f t="shared" si="20"/>
        <v>800</v>
      </c>
      <c r="C58">
        <f t="shared" si="20"/>
        <v>800</v>
      </c>
      <c r="D58">
        <f t="shared" si="18"/>
        <v>0.5</v>
      </c>
      <c r="E58">
        <f>_xll.ORF.BARRBSPDE($I$3,$I$6,$I$10,$I$5,L$8,$I$11,$I$4,$I$12,$I$13,$I$14,$Q$2:$R$4, $L$6)</f>
        <v>9.5960433279931898</v>
      </c>
      <c r="F58">
        <f>_xll.ORF.BARRBS($I$3,$I$4,$I$5,$I$6,$L$9, $I$10,_xll.ORF.SPOTRATE($I$12,$I$10),$I$13,$I$14)</f>
        <v>9.5879877809293088</v>
      </c>
      <c r="G58" s="19">
        <f t="shared" si="19"/>
        <v>8.0555470638810078E-3</v>
      </c>
      <c r="H58" s="3">
        <f t="shared" si="21"/>
        <v>8.6653075537870827E-4</v>
      </c>
      <c r="I58">
        <f t="shared" si="22"/>
        <v>6.9322460430296662E-3</v>
      </c>
      <c r="J58" s="33">
        <f>E58-E57</f>
        <v>-2.0510932486850209E-4</v>
      </c>
      <c r="K58" s="34">
        <f t="shared" ref="K58:K60" si="23">J58/J57</f>
        <v>1.4517253627751777E-2</v>
      </c>
    </row>
    <row r="59" spans="1:11" x14ac:dyDescent="0.45">
      <c r="A59">
        <v>5</v>
      </c>
      <c r="B59">
        <f t="shared" si="20"/>
        <v>1600</v>
      </c>
      <c r="C59">
        <f t="shared" si="20"/>
        <v>1600</v>
      </c>
      <c r="D59">
        <f t="shared" si="18"/>
        <v>0.5</v>
      </c>
      <c r="E59">
        <f>_xll.ORF.BARRBSPDE($I$3,$I$6,$I$10,$I$5,L$8,$I$11,$I$4,$I$12,$I$13,$I$14,$S$2:$T$4, $L$6)</f>
        <v>9.5923297492338797</v>
      </c>
      <c r="F59">
        <f>_xll.ORF.BARRBS($I$3,$I$4,$I$5,$I$6,$L$9, $I$10,_xll.ORF.SPOTRATE($I$12,$I$10),$I$13,$I$14)</f>
        <v>9.5879877809293088</v>
      </c>
      <c r="G59" s="19">
        <f t="shared" si="19"/>
        <v>4.3419683045708979E-3</v>
      </c>
      <c r="H59" s="3">
        <f t="shared" si="21"/>
        <v>2.1663268884467707E-4</v>
      </c>
      <c r="I59">
        <f t="shared" si="22"/>
        <v>3.4661230215148331E-3</v>
      </c>
      <c r="J59" s="33">
        <f>E59-E58</f>
        <v>-3.7135787593101099E-3</v>
      </c>
      <c r="K59" s="34">
        <f t="shared" si="23"/>
        <v>18.105362892159718</v>
      </c>
    </row>
    <row r="60" spans="1:11" x14ac:dyDescent="0.45">
      <c r="A60">
        <v>6</v>
      </c>
      <c r="B60">
        <f t="shared" si="20"/>
        <v>3200</v>
      </c>
      <c r="C60">
        <f t="shared" si="20"/>
        <v>3200</v>
      </c>
      <c r="D60">
        <f t="shared" si="18"/>
        <v>0.5</v>
      </c>
      <c r="E60">
        <f>_xll.ORF.BARRBSPDE($I$3,$I$6,$I$10,$I$5,L$8,$I$11,$I$4,$I$12,$I$13,$I$14,$U$2:$V$4, $L$6)</f>
        <v>9.5903565327294888</v>
      </c>
      <c r="F60">
        <f>_xll.ORF.BARRBS($I$3,$I$4,$I$5,$I$6,$L$9, $I$10,_xll.ORF.SPOTRATE($I$12,$I$10),$I$13,$I$14)</f>
        <v>9.5879877809293088</v>
      </c>
      <c r="G60" s="19">
        <f t="shared" si="19"/>
        <v>2.3687518001800356E-3</v>
      </c>
      <c r="H60" s="3">
        <f t="shared" si="21"/>
        <v>5.4158172211169267E-5</v>
      </c>
      <c r="I60">
        <f t="shared" si="22"/>
        <v>1.7330615107574165E-3</v>
      </c>
      <c r="J60" s="33">
        <f>E60-E59</f>
        <v>-1.9732165043908623E-3</v>
      </c>
      <c r="K60" s="34">
        <f t="shared" si="23"/>
        <v>0.53135173165344052</v>
      </c>
    </row>
    <row r="62" spans="1:11" x14ac:dyDescent="0.45">
      <c r="I62" s="14" t="s">
        <v>58</v>
      </c>
    </row>
  </sheetData>
  <mergeCells count="2">
    <mergeCell ref="D7:F9"/>
    <mergeCell ref="I23:M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part (c)</vt:lpstr>
      <vt:lpstr>Question 1 Crank Nicholson</vt:lpstr>
      <vt:lpstr>Question 1 Crank Nicholson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2019-12-23T20:51:52Z</dcterms:created>
  <dcterms:modified xsi:type="dcterms:W3CDTF">2020-01-01T23:56:37Z</dcterms:modified>
</cp:coreProperties>
</file>