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rojects/HarpethRiver/Data/"/>
    </mc:Choice>
  </mc:AlternateContent>
  <xr:revisionPtr revIDLastSave="200" documentId="114_{DA26CF90-D971-40E8-B956-1FFDFB09DF7C}" xr6:coauthVersionLast="47" xr6:coauthVersionMax="47" xr10:uidLastSave="{1ABAB671-D924-4964-8D83-C30F166D3082}"/>
  <bookViews>
    <workbookView xWindow="-110" yWindow="-110" windowWidth="19420" windowHeight="10300" xr2:uid="{00000000-000D-0000-FFFF-FFFF00000000}"/>
  </bookViews>
  <sheets>
    <sheet name="Sheet2" sheetId="1" r:id="rId1"/>
    <sheet name="Sheet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BP4" i="1"/>
  <c r="BP5" i="1"/>
  <c r="BP6" i="1"/>
  <c r="BP7" i="1"/>
  <c r="BP8" i="1"/>
  <c r="BP9" i="1"/>
  <c r="BP10" i="1"/>
  <c r="BP11" i="1"/>
  <c r="BP12" i="1"/>
  <c r="BP13" i="1"/>
  <c r="BP14" i="1"/>
  <c r="BP3" i="1"/>
  <c r="BI3" i="1"/>
  <c r="BI4" i="1"/>
  <c r="BI5" i="1"/>
  <c r="BI6" i="1"/>
  <c r="BJ6" i="1" s="1"/>
  <c r="BK6" i="1" s="1"/>
  <c r="BI7" i="1"/>
  <c r="BJ7" i="1"/>
  <c r="BK7" i="1" s="1"/>
  <c r="BI8" i="1"/>
  <c r="BJ8" i="1" s="1"/>
  <c r="BK8" i="1" s="1"/>
  <c r="BI9" i="1"/>
  <c r="BJ9" i="1" s="1"/>
  <c r="BK9" i="1" s="1"/>
  <c r="BI10" i="1"/>
  <c r="BJ10" i="1" s="1"/>
  <c r="BK10" i="1" s="1"/>
  <c r="BI11" i="1"/>
  <c r="BI12" i="1"/>
  <c r="BI13" i="1"/>
  <c r="BI14" i="1"/>
  <c r="BJ14" i="1" s="1"/>
  <c r="BK14" i="1" s="1"/>
  <c r="BL4" i="1"/>
  <c r="BL5" i="1"/>
  <c r="BL6" i="1"/>
  <c r="BL7" i="1"/>
  <c r="BL8" i="1"/>
  <c r="BM8" i="1"/>
  <c r="BL9" i="1"/>
  <c r="BL10" i="1"/>
  <c r="BL11" i="1"/>
  <c r="BL12" i="1"/>
  <c r="BL13" i="1"/>
  <c r="BL14" i="1"/>
  <c r="J4" i="1"/>
  <c r="BM4" i="1" s="1"/>
  <c r="J5" i="1"/>
  <c r="BM5" i="1" s="1"/>
  <c r="J6" i="1"/>
  <c r="BM6" i="1" s="1"/>
  <c r="BN6" i="1" s="1"/>
  <c r="BO6" i="1" s="1"/>
  <c r="J7" i="1"/>
  <c r="BM7" i="1" s="1"/>
  <c r="BN7" i="1" s="1"/>
  <c r="BO7" i="1" s="1"/>
  <c r="J8" i="1"/>
  <c r="J9" i="1"/>
  <c r="BM9" i="1" s="1"/>
  <c r="J10" i="1"/>
  <c r="BM10" i="1" s="1"/>
  <c r="J11" i="1"/>
  <c r="BM11" i="1" s="1"/>
  <c r="BN11" i="1" s="1"/>
  <c r="BO11" i="1" s="1"/>
  <c r="J12" i="1"/>
  <c r="BM12" i="1" s="1"/>
  <c r="J13" i="1"/>
  <c r="BM13" i="1" s="1"/>
  <c r="J14" i="1"/>
  <c r="BM14" i="1" s="1"/>
  <c r="BN14" i="1" s="1"/>
  <c r="BO14" i="1" s="1"/>
  <c r="J3" i="1"/>
  <c r="BM3" i="1" s="1"/>
  <c r="BL3" i="1"/>
  <c r="BG14" i="1"/>
  <c r="BH14" i="1" s="1"/>
  <c r="BG13" i="1"/>
  <c r="BH13" i="1" s="1"/>
  <c r="BJ13" i="1" s="1"/>
  <c r="BK13" i="1" s="1"/>
  <c r="BG12" i="1"/>
  <c r="BH12" i="1" s="1"/>
  <c r="BJ12" i="1" s="1"/>
  <c r="BK12" i="1" s="1"/>
  <c r="BG11" i="1"/>
  <c r="BH11" i="1" s="1"/>
  <c r="BJ11" i="1" s="1"/>
  <c r="BK11" i="1" s="1"/>
  <c r="BG10" i="1"/>
  <c r="BH10" i="1" s="1"/>
  <c r="BG9" i="1"/>
  <c r="BH9" i="1" s="1"/>
  <c r="BG8" i="1"/>
  <c r="BH8" i="1" s="1"/>
  <c r="BG7" i="1"/>
  <c r="BH7" i="1" s="1"/>
  <c r="BG6" i="1"/>
  <c r="BH6" i="1" s="1"/>
  <c r="BG5" i="1"/>
  <c r="BH5" i="1" s="1"/>
  <c r="BJ5" i="1" s="1"/>
  <c r="BK5" i="1" s="1"/>
  <c r="BG4" i="1"/>
  <c r="BH4" i="1" s="1"/>
  <c r="BJ4" i="1" s="1"/>
  <c r="BK4" i="1" s="1"/>
  <c r="BG3" i="1"/>
  <c r="BH3" i="1" s="1"/>
  <c r="BJ3" i="1" s="1"/>
  <c r="BK3" i="1" s="1"/>
  <c r="L17" i="1"/>
  <c r="L16" i="1"/>
  <c r="S17" i="1"/>
  <c r="S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BE4" i="1"/>
  <c r="BE5" i="1"/>
  <c r="BE6" i="1"/>
  <c r="BE7" i="1"/>
  <c r="BE8" i="1"/>
  <c r="BE9" i="1"/>
  <c r="BE10" i="1"/>
  <c r="BE11" i="1"/>
  <c r="BE12" i="1"/>
  <c r="BE13" i="1"/>
  <c r="BE14" i="1"/>
  <c r="BE3" i="1"/>
  <c r="BD4" i="1"/>
  <c r="BD5" i="1"/>
  <c r="BD6" i="1"/>
  <c r="BD7" i="1"/>
  <c r="BD8" i="1"/>
  <c r="BD9" i="1"/>
  <c r="BD10" i="1"/>
  <c r="BD11" i="1"/>
  <c r="BD12" i="1"/>
  <c r="BD13" i="1"/>
  <c r="BD14" i="1"/>
  <c r="BD3" i="1"/>
  <c r="BQ6" i="1" l="1"/>
  <c r="BQ14" i="1"/>
  <c r="BQ11" i="1"/>
  <c r="BQ7" i="1"/>
  <c r="BN10" i="1"/>
  <c r="BO10" i="1" s="1"/>
  <c r="BQ10" i="1" s="1"/>
  <c r="BN13" i="1"/>
  <c r="BO13" i="1" s="1"/>
  <c r="BQ13" i="1" s="1"/>
  <c r="BN8" i="1"/>
  <c r="BO8" i="1" s="1"/>
  <c r="BQ8" i="1" s="1"/>
  <c r="BN5" i="1"/>
  <c r="BO5" i="1" s="1"/>
  <c r="BQ5" i="1" s="1"/>
  <c r="BN9" i="1"/>
  <c r="BO9" i="1" s="1"/>
  <c r="BQ9" i="1" s="1"/>
  <c r="BN12" i="1"/>
  <c r="BO12" i="1" s="1"/>
  <c r="BQ12" i="1" s="1"/>
  <c r="BN4" i="1"/>
  <c r="BO4" i="1" s="1"/>
  <c r="BQ4" i="1" s="1"/>
  <c r="BN3" i="1"/>
  <c r="BO3" i="1" s="1"/>
  <c r="Q3" i="1"/>
  <c r="R3" i="1" s="1"/>
  <c r="Q4" i="1"/>
  <c r="R4" i="1" s="1"/>
  <c r="Q5" i="1"/>
  <c r="R5" i="1" s="1"/>
  <c r="Q6" i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R6" i="1"/>
  <c r="BQ3" i="1" l="1"/>
  <c r="AY3" i="1"/>
  <c r="AZ3" i="1" s="1"/>
  <c r="AY4" i="1"/>
  <c r="AZ4" i="1" s="1"/>
  <c r="AY5" i="1"/>
  <c r="AZ5" i="1" s="1"/>
  <c r="AY6" i="1"/>
  <c r="AZ6" i="1" s="1"/>
  <c r="AY7" i="1"/>
  <c r="AZ7" i="1" s="1"/>
  <c r="AY8" i="1"/>
  <c r="AZ8" i="1" s="1"/>
  <c r="AY9" i="1"/>
  <c r="AZ9" i="1" s="1"/>
  <c r="AY10" i="1"/>
  <c r="AZ10" i="1" s="1"/>
  <c r="AY11" i="1"/>
  <c r="AZ11" i="1" s="1"/>
  <c r="AY12" i="1"/>
  <c r="AZ12" i="1" s="1"/>
  <c r="AY13" i="1"/>
  <c r="AZ13" i="1" s="1"/>
  <c r="AY14" i="1"/>
  <c r="AZ14" i="1" s="1"/>
  <c r="AV5" i="1"/>
  <c r="AW5" i="1" s="1"/>
  <c r="AX5" i="1" s="1"/>
  <c r="AV14" i="1"/>
  <c r="AW14" i="1" s="1"/>
  <c r="AX14" i="1" s="1"/>
  <c r="AV13" i="1"/>
  <c r="AW13" i="1" s="1"/>
  <c r="AX13" i="1" s="1"/>
  <c r="AV12" i="1"/>
  <c r="AW12" i="1" s="1"/>
  <c r="AX12" i="1" s="1"/>
  <c r="AV11" i="1"/>
  <c r="AW11" i="1" s="1"/>
  <c r="AX11" i="1" s="1"/>
  <c r="AV10" i="1"/>
  <c r="AW10" i="1" s="1"/>
  <c r="AX10" i="1" s="1"/>
  <c r="AV9" i="1"/>
  <c r="AW9" i="1" s="1"/>
  <c r="AX9" i="1" s="1"/>
  <c r="AV8" i="1"/>
  <c r="AW8" i="1" s="1"/>
  <c r="AX8" i="1" s="1"/>
  <c r="AV7" i="1"/>
  <c r="AW7" i="1" s="1"/>
  <c r="AX7" i="1" s="1"/>
  <c r="AV6" i="1"/>
  <c r="AW6" i="1" s="1"/>
  <c r="AX6" i="1" s="1"/>
  <c r="AV4" i="1"/>
  <c r="AW4" i="1" s="1"/>
  <c r="AX4" i="1" s="1"/>
  <c r="AV3" i="1"/>
  <c r="AW3" i="1" s="1"/>
  <c r="AX3" i="1" s="1"/>
  <c r="G3" i="1"/>
  <c r="G4" i="1"/>
  <c r="G5" i="1"/>
  <c r="G6" i="1"/>
  <c r="G7" i="1"/>
  <c r="G8" i="1"/>
  <c r="G9" i="1"/>
  <c r="G10" i="1"/>
  <c r="G11" i="1"/>
  <c r="G12" i="1"/>
  <c r="G13" i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tc={18F10B09-3AC2-D74B-A54D-3DD74913D4B3}</author>
    <author>tc={5E36EA7B-A143-458C-82DD-78DE9A8B2892}</author>
    <author>tc={96592208-8FEB-450E-B13A-D0F419D7109F}</author>
    <author>tc={DD953290-EF7D-4AE1-9675-D5582716651C}</author>
    <author>tc={7CBD00E5-DCEE-44DB-95B5-880089F15CC5}</author>
    <author>tc={3099C079-917E-4B63-92D2-20C8B738BB16}</author>
    <author>tc={9E05AD2F-370F-4B4F-A390-644A07C23E8D}</author>
    <author>tc={FEC0A671-D4E0-4103-84BA-F0559627674E}</author>
    <author>tc={9FBEED25-2776-4A1C-B13D-64F4A35486DE}</author>
    <author>tc={9442E790-EB12-4748-94F6-CE25AD94563C}</author>
    <author>tc={F583B2F0-423B-4236-A427-B2340BEC8A0E}</author>
    <author>tc={AF47E5A6-425C-4517-AA97-DE5270E00056}</author>
  </authors>
  <commentList>
    <comment ref="P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187 mV for conversion of Hach ORP measurements made relative to Ag/AgCl electrode to standard hydrogen electrode
The error from the Zobells solution Eoffset = 600-223=377 mV
Eh = Eoffset + Ereference + Emeasured = 377+187+ORP</t>
      </text>
    </comment>
    <comment ref="Q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2H+ + ½ O2(g) + 2e- = H2O(l) (upper stability limit of H2O) 
Eh = 1.23 + (0.0148)logPO2 – (0.0592)pH
logPO2 = (Eh - 1.23 + 0.0592*pH)/0.0148</t>
      </text>
    </comment>
    <comment ref="R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Henry's Law to calculate [O2] in mg/L
O2(g) = O2(aq)
Keq =KH = mO2(aq)/PO2(g) = 1.26 x 10-3 mol l-1 bar-1
mO2(aq) = KHPO2(g) = 1.26 x 10-3 mol l-1 bar-1*PO2(bar)*32g O2/mole*1000mg/g= ? mg/L</t>
      </text>
    </comment>
    <comment ref="BD1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N:P ratio (Redfield ratio) is 16:1. If the molar ratio of dissolved inorganic nitrogen over dissolved inorganic phosphorus DIN/DIP is &gt; 16:1 then DIP is the limiting factor for algal growth.
Reply:
    OK, also have to add nitrite and ammonium to get DIN, and we did not measure those.</t>
      </text>
    </comment>
    <comment ref="BG1" authorId="4" shapeId="0" xr:uid="{7CBD00E5-DCEE-44DB-95B5-880089F15C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GWB Spec8 output files in C:\Users\ayersj.VANDERBILT\OneDrive - Vanderbilt\Projects\HarpethRiver\Data\GWB</t>
      </text>
    </comment>
    <comment ref="BI1" authorId="5" shapeId="0" xr:uid="{3099C079-917E-4B63-92D2-20C8B738BB1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https://onedrive.live.com/view.aspx?resid=55FD3F8FFA58DB1A%211780&amp;id=documents&amp;wd=target%28Proposals%2F2021.one%7C8A8BACEA-7CDA-4765-8522-0E840F8A3FD0%2FFluxes%7CB778E80D-912C-461D-B49E-136DB16FDF75%2F%29
onenote:https://d.docs.live.net/55fd3f8ffa58db1a/OneNote/Research/Proposals/2021.one#Fluxes&amp;section-id={8A8BACEA-7CDA-4765-8522-0E840F8A3FD0}&amp;page-id={B778E80D-912C-461D-B49E-136DB16FDF75}&amp;end
Csat (mol m-3) = Kh*PCO2 = 0.035*PCO2(bar)*1000</t>
      </text>
    </comment>
    <comment ref="BJ1" authorId="6" shapeId="0" xr:uid="{9E05AD2F-370F-4B4F-A390-644A07C23E8D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average kCO2 of 5.7 m d-1 from Raymond et al. (2013)</t>
      </text>
    </comment>
    <comment ref="BM1" authorId="7" shapeId="0" xr:uid="{FEC0A671-D4E0-4103-84BA-F0559627674E}">
      <text>
        <t>[Threaded comment]
Your version of Excel allows you to read this threaded comment; however, any edits to it will get removed if the file is opened in a newer version of Excel. Learn more: https://go.microsoft.com/fwlink/?linkid=870924
Comment:
    Wilhelm E, Battino R, Wilcock RJ (1977) Low-pressure solubility of gases in liquid water. Chem. Rev. 77:219–262</t>
      </text>
    </comment>
    <comment ref="BN1" authorId="8" shapeId="0" xr:uid="{9FBEED25-2776-4A1C-B13D-64F4A35486DE}">
      <text>
        <t>[Threaded comment]
Your version of Excel allows you to read this threaded comment; however, any edits to it will get removed if the file is opened in a newer version of Excel. Learn more: https://go.microsoft.com/fwlink/?linkid=870924
Comment:
    Henry's Law says that P = Kh*X where X is the mole fraction in water, then P1/X1 = P2/X2 and P1 = 1
I want to calculate X2 from P2, so X2 = P2*X1</t>
      </text>
    </comment>
    <comment ref="BO1" authorId="9" shapeId="0" xr:uid="{9442E790-EB12-4748-94F6-CE25AD94563C}">
      <text>
        <t>[Threaded comment]
Your version of Excel allows you to read this threaded comment; however, any edits to it will get removed if the file is opened in a newer version of Excel. Learn more: https://go.microsoft.com/fwlink/?linkid=870924
Comment:
    1 kg H2O has 55.55 moles H2O, so 
# moles CO2 per kg H2O = XCO2*55.55
CO2sat (mol m-3) = moles CO2/kg H2O * 1000 kg/m^3 = moles m-3</t>
      </text>
    </comment>
    <comment ref="BP1" authorId="10" shapeId="0" xr:uid="{F583B2F0-423B-4236-A427-B2340BEC8A0E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average kCO2 of 5.7 m d-1 from Raymond et al. (2013)</t>
      </text>
    </comment>
    <comment ref="A15" authorId="11" shapeId="0" xr:uid="{AF47E5A6-425C-4517-AA97-DE5270E0005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https://www.calendar-365.com/calendar/2020/October.html</t>
      </text>
    </comment>
  </commentList>
</comments>
</file>

<file path=xl/sharedStrings.xml><?xml version="1.0" encoding="utf-8"?>
<sst xmlns="http://schemas.openxmlformats.org/spreadsheetml/2006/main" count="114" uniqueCount="99">
  <si>
    <t xml:space="preserve">SampleID </t>
  </si>
  <si>
    <t>Location</t>
  </si>
  <si>
    <t xml:space="preserve">Lat </t>
  </si>
  <si>
    <t xml:space="preserve">Long </t>
  </si>
  <si>
    <t xml:space="preserve">Date </t>
  </si>
  <si>
    <t>Data &amp; Time</t>
  </si>
  <si>
    <t>Time</t>
  </si>
  <si>
    <t>days</t>
  </si>
  <si>
    <t>SpC (mS/cm)</t>
  </si>
  <si>
    <t>Salinity (ppt)</t>
  </si>
  <si>
    <t>TDS (mg/L)</t>
  </si>
  <si>
    <t xml:space="preserve">pH </t>
  </si>
  <si>
    <t>ORP (mV)</t>
  </si>
  <si>
    <t>Eh (mV)</t>
  </si>
  <si>
    <t>logPO2 (bar)</t>
  </si>
  <si>
    <t>[O2] mg/L</t>
  </si>
  <si>
    <t xml:space="preserve">Turbidity </t>
  </si>
  <si>
    <t xml:space="preserve">pCO2 (atm) </t>
  </si>
  <si>
    <t>pCO2 (bar)</t>
  </si>
  <si>
    <t>logpCO2</t>
  </si>
  <si>
    <t>Al</t>
  </si>
  <si>
    <t>Ba</t>
  </si>
  <si>
    <t>Ca</t>
  </si>
  <si>
    <t>Fe</t>
  </si>
  <si>
    <t>K</t>
  </si>
  <si>
    <t>Mg</t>
  </si>
  <si>
    <t>Na</t>
  </si>
  <si>
    <t>P</t>
  </si>
  <si>
    <t>S</t>
  </si>
  <si>
    <t>Se</t>
  </si>
  <si>
    <t>Si</t>
  </si>
  <si>
    <t>Sr</t>
  </si>
  <si>
    <t>Zn</t>
  </si>
  <si>
    <t>As</t>
  </si>
  <si>
    <t>Cr</t>
  </si>
  <si>
    <t>Mn</t>
  </si>
  <si>
    <t>Ni</t>
  </si>
  <si>
    <t>Ti</t>
  </si>
  <si>
    <t>Cl</t>
  </si>
  <si>
    <t>NO3</t>
  </si>
  <si>
    <t>SO4</t>
  </si>
  <si>
    <t>DIC</t>
  </si>
  <si>
    <t>DOC</t>
  </si>
  <si>
    <t>d13C</t>
  </si>
  <si>
    <t>d13CStDev</t>
  </si>
  <si>
    <t>pO2 (atm)</t>
  </si>
  <si>
    <t>pO2 (bar)</t>
  </si>
  <si>
    <t>logpO2</t>
  </si>
  <si>
    <t>O2 (mol/L)</t>
  </si>
  <si>
    <t>O2</t>
  </si>
  <si>
    <t>SIcalcite</t>
  </si>
  <si>
    <t>SIdolomite</t>
  </si>
  <si>
    <t>hydroxyapatite</t>
  </si>
  <si>
    <t>Molar DIN/DIP</t>
  </si>
  <si>
    <t>NO3-N (ug/L)</t>
  </si>
  <si>
    <t>SI goethite</t>
  </si>
  <si>
    <t>Ayers HR 2001</t>
  </si>
  <si>
    <t>CSS</t>
  </si>
  <si>
    <t>Ayers HR 2002</t>
  </si>
  <si>
    <t>Ayers HR 2003</t>
  </si>
  <si>
    <t>Ayers HR 2004</t>
  </si>
  <si>
    <t>Ayers HR 2005</t>
  </si>
  <si>
    <t>Ayers HR 2006</t>
  </si>
  <si>
    <t>Ayers HR 2007</t>
  </si>
  <si>
    <t>Ayers HR 2008</t>
  </si>
  <si>
    <t>Ayers HR 2009</t>
  </si>
  <si>
    <t>Ayers HR 2010</t>
  </si>
  <si>
    <t>Ayers HR 2011</t>
  </si>
  <si>
    <t>Ayers HR 2012</t>
  </si>
  <si>
    <t>sunset</t>
  </si>
  <si>
    <t>sunrise</t>
  </si>
  <si>
    <t>CO2(g) bar</t>
  </si>
  <si>
    <t>Calcite saturation</t>
  </si>
  <si>
    <t>Sample</t>
  </si>
  <si>
    <t>PCO2 (bars)</t>
  </si>
  <si>
    <t xml:space="preserve">Dissolved Ca in samples </t>
  </si>
  <si>
    <t>HR 2001</t>
  </si>
  <si>
    <t>HR 2002</t>
  </si>
  <si>
    <t>HR 2003</t>
  </si>
  <si>
    <t>HR 2004</t>
  </si>
  <si>
    <t>HR 2005</t>
  </si>
  <si>
    <t>HR 2006</t>
  </si>
  <si>
    <t>HR 2007</t>
  </si>
  <si>
    <t>HR 2008</t>
  </si>
  <si>
    <t>HR 2009</t>
  </si>
  <si>
    <t>HR 2010</t>
  </si>
  <si>
    <t>HR 2011</t>
  </si>
  <si>
    <t>HR 2012</t>
  </si>
  <si>
    <t>CO2(aq) free umol/kg</t>
  </si>
  <si>
    <t>CO2w mol m-3</t>
  </si>
  <si>
    <t>CO2sat</t>
  </si>
  <si>
    <t>FCO2 (mol m-2 d-1)</t>
  </si>
  <si>
    <t>FCO2 (g C m-2 d-1)</t>
  </si>
  <si>
    <t>PCO2atm(mol frac)</t>
  </si>
  <si>
    <t>RlnXCO2,w</t>
  </si>
  <si>
    <t>CO2sat (mole fraction)</t>
  </si>
  <si>
    <t>CO2sat (mol m-3)</t>
  </si>
  <si>
    <t>Temperature_C</t>
  </si>
  <si>
    <t>Temp(K)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</si>
</sst>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000"/>
    <numFmt numFmtId="166" formatCode="0.0"/>
    <numFmt numFmtId="167" formatCode="0.0E+00"/>
    <numFmt numFmtId="168" formatCode="[$-409]m/d/yy\ h:mm\ AM/PM;@"/>
    <numFmt numFmtId="169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164" fontId="0" fillId="0" borderId="0" xfId="0" applyNumberFormat="1"/>
    <xf numFmtId="4" fontId="0" fillId="0" borderId="0" xfId="0" applyNumberFormat="1"/>
    <xf numFmtId="4" fontId="3" fillId="0" borderId="0" xfId="1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4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4" fontId="3" fillId="3" borderId="0" xfId="1" applyNumberFormat="1" applyFont="1" applyFill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1" fillId="4" borderId="3" xfId="0" applyNumberFormat="1" applyFont="1" applyFill="1" applyBorder="1"/>
    <xf numFmtId="0" fontId="1" fillId="4" borderId="3" xfId="0" applyFont="1" applyFill="1" applyBorder="1" applyAlignment="1">
      <alignment horizontal="center" vertical="center"/>
    </xf>
    <xf numFmtId="11" fontId="0" fillId="0" borderId="0" xfId="0" applyNumberFormat="1"/>
    <xf numFmtId="0" fontId="7" fillId="0" borderId="0" xfId="0" applyFont="1" applyAlignment="1">
      <alignment wrapText="1"/>
    </xf>
    <xf numFmtId="2" fontId="0" fillId="0" borderId="0" xfId="0" applyNumberFormat="1"/>
    <xf numFmtId="1" fontId="0" fillId="0" borderId="0" xfId="0" applyNumberFormat="1"/>
    <xf numFmtId="0" fontId="0" fillId="0" borderId="4" xfId="0" applyBorder="1" applyAlignment="1">
      <alignment vertical="center" wrapText="1"/>
    </xf>
    <xf numFmtId="3" fontId="3" fillId="0" borderId="0" xfId="1" applyNumberFormat="1" applyFont="1" applyAlignment="1">
      <alignment horizontal="right" vertical="center"/>
    </xf>
    <xf numFmtId="3" fontId="0" fillId="0" borderId="0" xfId="0" applyNumberFormat="1"/>
    <xf numFmtId="3" fontId="4" fillId="0" borderId="0" xfId="0" applyNumberFormat="1" applyFont="1"/>
    <xf numFmtId="3" fontId="3" fillId="0" borderId="0" xfId="0" applyNumberFormat="1" applyFont="1"/>
    <xf numFmtId="165" fontId="7" fillId="0" borderId="0" xfId="0" applyNumberFormat="1" applyFont="1" applyAlignment="1">
      <alignment wrapText="1"/>
    </xf>
    <xf numFmtId="167" fontId="0" fillId="0" borderId="0" xfId="0" applyNumberFormat="1"/>
    <xf numFmtId="168" fontId="0" fillId="0" borderId="0" xfId="0" applyNumberFormat="1"/>
    <xf numFmtId="0" fontId="1" fillId="4" borderId="0" xfId="0" applyFont="1" applyFill="1"/>
    <xf numFmtId="164" fontId="1" fillId="4" borderId="0" xfId="0" applyNumberFormat="1" applyFont="1" applyFill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166" fontId="0" fillId="0" borderId="0" xfId="0" applyNumberFormat="1"/>
    <xf numFmtId="169" fontId="7" fillId="0" borderId="0" xfId="0" applyNumberFormat="1" applyFont="1" applyAlignment="1">
      <alignment wrapText="1"/>
    </xf>
    <xf numFmtId="165" fontId="0" fillId="0" borderId="0" xfId="0" applyNumberFormat="1"/>
    <xf numFmtId="16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Sheet2!$AO$1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74715660542435"/>
                  <c:y val="-0.126677602799650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0.41x + 1983</a:t>
                    </a:r>
                    <a:br>
                      <a:rPr lang="en-US" baseline="0"/>
                    </a:br>
                    <a:r>
                      <a:rPr lang="en-US" baseline="0"/>
                      <a:t>R² = 0.08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Sheet2!$AE$3:$AE$14</c:f>
              <c:numCache>
                <c:formatCode>#,##0</c:formatCode>
                <c:ptCount val="12"/>
                <c:pt idx="0">
                  <c:v>1254</c:v>
                </c:pt>
                <c:pt idx="1">
                  <c:v>1174</c:v>
                </c:pt>
                <c:pt idx="2">
                  <c:v>1171</c:v>
                </c:pt>
                <c:pt idx="3">
                  <c:v>1049</c:v>
                </c:pt>
                <c:pt idx="4">
                  <c:v>1163</c:v>
                </c:pt>
                <c:pt idx="5">
                  <c:v>1182</c:v>
                </c:pt>
                <c:pt idx="6">
                  <c:v>1232</c:v>
                </c:pt>
                <c:pt idx="7">
                  <c:v>1252</c:v>
                </c:pt>
                <c:pt idx="8">
                  <c:v>1159</c:v>
                </c:pt>
                <c:pt idx="9">
                  <c:v>1099</c:v>
                </c:pt>
                <c:pt idx="10">
                  <c:v>1148</c:v>
                </c:pt>
                <c:pt idx="11">
                  <c:v>1208</c:v>
                </c:pt>
              </c:numCache>
            </c:numRef>
          </c:xVal>
          <c:yVal>
            <c:numRef>
              <c:f>Sheet2!$AO$3:$AO$14</c:f>
              <c:numCache>
                <c:formatCode>#,##0</c:formatCode>
                <c:ptCount val="12"/>
                <c:pt idx="0">
                  <c:v>2497</c:v>
                </c:pt>
                <c:pt idx="1">
                  <c:v>2588</c:v>
                </c:pt>
                <c:pt idx="2">
                  <c:v>2471</c:v>
                </c:pt>
                <c:pt idx="3">
                  <c:v>2466</c:v>
                </c:pt>
                <c:pt idx="4">
                  <c:v>2365</c:v>
                </c:pt>
                <c:pt idx="5">
                  <c:v>2571</c:v>
                </c:pt>
                <c:pt idx="6">
                  <c:v>2582</c:v>
                </c:pt>
                <c:pt idx="7">
                  <c:v>2458</c:v>
                </c:pt>
                <c:pt idx="8">
                  <c:v>2346</c:v>
                </c:pt>
                <c:pt idx="9">
                  <c:v>2384</c:v>
                </c:pt>
                <c:pt idx="10">
                  <c:v>2441</c:v>
                </c:pt>
                <c:pt idx="11">
                  <c:v>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5-44B4-8057-A1921CB5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17503"/>
        <c:axId val="79966303"/>
      </c:scatterChart>
      <c:valAx>
        <c:axId val="38571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66303"/>
        <c:crosses val="autoZero"/>
        <c:crossBetween val="midCat"/>
      </c:valAx>
      <c:valAx>
        <c:axId val="79966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Calcite saturation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Sheet3!$A$2:$A$102</c:f>
              <c:numCache>
                <c:formatCode>General</c:formatCode>
                <c:ptCount val="101"/>
                <c:pt idx="0" formatCode="0.00E+00">
                  <c:v>1.0050778238299999E-5</c:v>
                </c:pt>
                <c:pt idx="1">
                  <c:v>1.10458052838E-4</c:v>
                </c:pt>
                <c:pt idx="2">
                  <c:v>2.1086532743900001E-4</c:v>
                </c:pt>
                <c:pt idx="3">
                  <c:v>3.11272602039E-4</c:v>
                </c:pt>
                <c:pt idx="4">
                  <c:v>4.1167987663900003E-4</c:v>
                </c:pt>
                <c:pt idx="5">
                  <c:v>5.1208715123899999E-4</c:v>
                </c:pt>
                <c:pt idx="6">
                  <c:v>6.1249442583900002E-4</c:v>
                </c:pt>
                <c:pt idx="7">
                  <c:v>7.1290170043900004E-4</c:v>
                </c:pt>
                <c:pt idx="8">
                  <c:v>8.1330897504000002E-4</c:v>
                </c:pt>
                <c:pt idx="9">
                  <c:v>9.1371624964000004E-4</c:v>
                </c:pt>
                <c:pt idx="10">
                  <c:v>1.01412352424E-3</c:v>
                </c:pt>
                <c:pt idx="11">
                  <c:v>1.1145307988400001E-3</c:v>
                </c:pt>
                <c:pt idx="12">
                  <c:v>1.21493807344E-3</c:v>
                </c:pt>
                <c:pt idx="13">
                  <c:v>1.3153453480399999E-3</c:v>
                </c:pt>
                <c:pt idx="14">
                  <c:v>1.41575262264E-3</c:v>
                </c:pt>
                <c:pt idx="15">
                  <c:v>1.51615989724E-3</c:v>
                </c:pt>
                <c:pt idx="16">
                  <c:v>1.6165671718400001E-3</c:v>
                </c:pt>
                <c:pt idx="17">
                  <c:v>1.71697444644E-3</c:v>
                </c:pt>
                <c:pt idx="18">
                  <c:v>1.8173817210399999E-3</c:v>
                </c:pt>
                <c:pt idx="19">
                  <c:v>1.91778899564E-3</c:v>
                </c:pt>
                <c:pt idx="20">
                  <c:v>2.01819627024E-3</c:v>
                </c:pt>
                <c:pt idx="21">
                  <c:v>2.1186035448400001E-3</c:v>
                </c:pt>
                <c:pt idx="22">
                  <c:v>2.2190108194399998E-3</c:v>
                </c:pt>
                <c:pt idx="23">
                  <c:v>2.3194180940399999E-3</c:v>
                </c:pt>
                <c:pt idx="24">
                  <c:v>2.4198253686400001E-3</c:v>
                </c:pt>
                <c:pt idx="25">
                  <c:v>2.5202326432400002E-3</c:v>
                </c:pt>
                <c:pt idx="26">
                  <c:v>2.6206399178399999E-3</c:v>
                </c:pt>
                <c:pt idx="27">
                  <c:v>2.72104719244E-3</c:v>
                </c:pt>
                <c:pt idx="28">
                  <c:v>2.8214544670400001E-3</c:v>
                </c:pt>
                <c:pt idx="29">
                  <c:v>2.9218617416399998E-3</c:v>
                </c:pt>
                <c:pt idx="30">
                  <c:v>3.02226901624E-3</c:v>
                </c:pt>
                <c:pt idx="31">
                  <c:v>3.1226762908400001E-3</c:v>
                </c:pt>
                <c:pt idx="32">
                  <c:v>3.2230835654399998E-3</c:v>
                </c:pt>
                <c:pt idx="33">
                  <c:v>3.3234908400399999E-3</c:v>
                </c:pt>
                <c:pt idx="34">
                  <c:v>3.4238981146400001E-3</c:v>
                </c:pt>
                <c:pt idx="35">
                  <c:v>3.5243053892400002E-3</c:v>
                </c:pt>
                <c:pt idx="36">
                  <c:v>3.6247126638399999E-3</c:v>
                </c:pt>
                <c:pt idx="37">
                  <c:v>3.72511993844E-3</c:v>
                </c:pt>
                <c:pt idx="38">
                  <c:v>3.8255272130400001E-3</c:v>
                </c:pt>
                <c:pt idx="39">
                  <c:v>3.9259344876400003E-3</c:v>
                </c:pt>
                <c:pt idx="40">
                  <c:v>4.0263417622400004E-3</c:v>
                </c:pt>
                <c:pt idx="41">
                  <c:v>4.1267490368500004E-3</c:v>
                </c:pt>
                <c:pt idx="42">
                  <c:v>4.2271563114499996E-3</c:v>
                </c:pt>
                <c:pt idx="43">
                  <c:v>4.3275635860499997E-3</c:v>
                </c:pt>
                <c:pt idx="44">
                  <c:v>4.4279708606499999E-3</c:v>
                </c:pt>
                <c:pt idx="45">
                  <c:v>4.52837813525E-3</c:v>
                </c:pt>
                <c:pt idx="46">
                  <c:v>4.6287854098500001E-3</c:v>
                </c:pt>
                <c:pt idx="47">
                  <c:v>4.7291926844500003E-3</c:v>
                </c:pt>
                <c:pt idx="48">
                  <c:v>4.8295999590500004E-3</c:v>
                </c:pt>
                <c:pt idx="49">
                  <c:v>4.9300072336499997E-3</c:v>
                </c:pt>
                <c:pt idx="50">
                  <c:v>5.0304145082499998E-3</c:v>
                </c:pt>
                <c:pt idx="51">
                  <c:v>5.1308217828499999E-3</c:v>
                </c:pt>
                <c:pt idx="52">
                  <c:v>5.2312290574500001E-3</c:v>
                </c:pt>
                <c:pt idx="53">
                  <c:v>5.3316363320500002E-3</c:v>
                </c:pt>
                <c:pt idx="54">
                  <c:v>5.4320436066500003E-3</c:v>
                </c:pt>
                <c:pt idx="55">
                  <c:v>5.5324508812499996E-3</c:v>
                </c:pt>
                <c:pt idx="56">
                  <c:v>5.6328581558499997E-3</c:v>
                </c:pt>
                <c:pt idx="57">
                  <c:v>5.7332654304499998E-3</c:v>
                </c:pt>
                <c:pt idx="58">
                  <c:v>5.83367270505E-3</c:v>
                </c:pt>
                <c:pt idx="59">
                  <c:v>5.9340799796500001E-3</c:v>
                </c:pt>
                <c:pt idx="60">
                  <c:v>6.0344872542500002E-3</c:v>
                </c:pt>
                <c:pt idx="61">
                  <c:v>6.1348945288500004E-3</c:v>
                </c:pt>
                <c:pt idx="62">
                  <c:v>6.2353018034499996E-3</c:v>
                </c:pt>
                <c:pt idx="63">
                  <c:v>6.3357090780499998E-3</c:v>
                </c:pt>
                <c:pt idx="64">
                  <c:v>6.4361163526499999E-3</c:v>
                </c:pt>
                <c:pt idx="65">
                  <c:v>6.53652362725E-3</c:v>
                </c:pt>
                <c:pt idx="66">
                  <c:v>6.6369309018500001E-3</c:v>
                </c:pt>
                <c:pt idx="67">
                  <c:v>6.7373381764500003E-3</c:v>
                </c:pt>
                <c:pt idx="68">
                  <c:v>6.8377454510500004E-3</c:v>
                </c:pt>
                <c:pt idx="69">
                  <c:v>6.9381527256499997E-3</c:v>
                </c:pt>
                <c:pt idx="70">
                  <c:v>7.0385600002499998E-3</c:v>
                </c:pt>
                <c:pt idx="71">
                  <c:v>7.1389672748499999E-3</c:v>
                </c:pt>
                <c:pt idx="72">
                  <c:v>7.2393745494500001E-3</c:v>
                </c:pt>
                <c:pt idx="73">
                  <c:v>7.3397818240500002E-3</c:v>
                </c:pt>
                <c:pt idx="74">
                  <c:v>7.4401890986500003E-3</c:v>
                </c:pt>
                <c:pt idx="75">
                  <c:v>7.5405963732499996E-3</c:v>
                </c:pt>
                <c:pt idx="76">
                  <c:v>7.6410036478499997E-3</c:v>
                </c:pt>
                <c:pt idx="77">
                  <c:v>7.7414109224499998E-3</c:v>
                </c:pt>
                <c:pt idx="78">
                  <c:v>7.84181819705E-3</c:v>
                </c:pt>
                <c:pt idx="79">
                  <c:v>7.9422254716499992E-3</c:v>
                </c:pt>
                <c:pt idx="80">
                  <c:v>8.0426327462500002E-3</c:v>
                </c:pt>
                <c:pt idx="81">
                  <c:v>8.1430400208499995E-3</c:v>
                </c:pt>
                <c:pt idx="82">
                  <c:v>8.2434472954500005E-3</c:v>
                </c:pt>
                <c:pt idx="83">
                  <c:v>8.3438545700499998E-3</c:v>
                </c:pt>
                <c:pt idx="84">
                  <c:v>8.4442618446500008E-3</c:v>
                </c:pt>
                <c:pt idx="85">
                  <c:v>8.54466911925E-3</c:v>
                </c:pt>
                <c:pt idx="86">
                  <c:v>8.6450763938499993E-3</c:v>
                </c:pt>
                <c:pt idx="87">
                  <c:v>8.7454836684500003E-3</c:v>
                </c:pt>
                <c:pt idx="88">
                  <c:v>8.8458909430499996E-3</c:v>
                </c:pt>
                <c:pt idx="89">
                  <c:v>8.9462982176500006E-3</c:v>
                </c:pt>
                <c:pt idx="90">
                  <c:v>9.0467054922499998E-3</c:v>
                </c:pt>
                <c:pt idx="91">
                  <c:v>9.1471127668500008E-3</c:v>
                </c:pt>
                <c:pt idx="92">
                  <c:v>9.2475200414500001E-3</c:v>
                </c:pt>
                <c:pt idx="93">
                  <c:v>9.3479273160499993E-3</c:v>
                </c:pt>
                <c:pt idx="94">
                  <c:v>9.4483345906500003E-3</c:v>
                </c:pt>
                <c:pt idx="95">
                  <c:v>9.5487418652499996E-3</c:v>
                </c:pt>
                <c:pt idx="96">
                  <c:v>9.6491491398500006E-3</c:v>
                </c:pt>
                <c:pt idx="97">
                  <c:v>9.7495564144499999E-3</c:v>
                </c:pt>
                <c:pt idx="98">
                  <c:v>9.8499636890500009E-3</c:v>
                </c:pt>
                <c:pt idx="99">
                  <c:v>9.9503709636500001E-3</c:v>
                </c:pt>
                <c:pt idx="100">
                  <c:v>1.0050778238299999E-2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0.49802940615199998</c:v>
                </c:pt>
                <c:pt idx="1">
                  <c:v>0.65621262128400004</c:v>
                </c:pt>
                <c:pt idx="2">
                  <c:v>0.73402289548400002</c:v>
                </c:pt>
                <c:pt idx="3">
                  <c:v>0.79141091555300003</c:v>
                </c:pt>
                <c:pt idx="4">
                  <c:v>0.83829468721400002</c:v>
                </c:pt>
                <c:pt idx="5">
                  <c:v>0.87856168640200005</c:v>
                </c:pt>
                <c:pt idx="6">
                  <c:v>0.91419813052300003</c:v>
                </c:pt>
                <c:pt idx="7">
                  <c:v>0.94637486627099998</c:v>
                </c:pt>
                <c:pt idx="8">
                  <c:v>0.97584805896000004</c:v>
                </c:pt>
                <c:pt idx="9">
                  <c:v>1.0031382308700001</c:v>
                </c:pt>
                <c:pt idx="10">
                  <c:v>1.0286210381100001</c:v>
                </c:pt>
                <c:pt idx="11">
                  <c:v>1.0525776663999999</c:v>
                </c:pt>
                <c:pt idx="12">
                  <c:v>1.0752247967299999</c:v>
                </c:pt>
                <c:pt idx="13">
                  <c:v>1.0967334102399999</c:v>
                </c:pt>
                <c:pt idx="14">
                  <c:v>1.1172411147200001</c:v>
                </c:pt>
                <c:pt idx="15">
                  <c:v>1.13686052066</c:v>
                </c:pt>
                <c:pt idx="16">
                  <c:v>1.1556851075900001</c:v>
                </c:pt>
                <c:pt idx="17">
                  <c:v>1.1737934400500001</c:v>
                </c:pt>
                <c:pt idx="18">
                  <c:v>1.19125226583</c:v>
                </c:pt>
                <c:pt idx="19">
                  <c:v>1.20811883731</c:v>
                </c:pt>
                <c:pt idx="20">
                  <c:v>1.2244426808</c:v>
                </c:pt>
                <c:pt idx="21">
                  <c:v>1.2402669657800001</c:v>
                </c:pt>
                <c:pt idx="22">
                  <c:v>1.2556295789</c:v>
                </c:pt>
                <c:pt idx="23">
                  <c:v>1.2705639768000001</c:v>
                </c:pt>
                <c:pt idx="24">
                  <c:v>1.2850998707000001</c:v>
                </c:pt>
                <c:pt idx="25">
                  <c:v>1.2992637816099999</c:v>
                </c:pt>
                <c:pt idx="26">
                  <c:v>1.31307949463</c:v>
                </c:pt>
                <c:pt idx="27">
                  <c:v>1.3265684337899999</c:v>
                </c:pt>
                <c:pt idx="28">
                  <c:v>1.3397499738200001</c:v>
                </c:pt>
                <c:pt idx="29">
                  <c:v>1.3526417012500001</c:v>
                </c:pt>
                <c:pt idx="30">
                  <c:v>1.3652596344300001</c:v>
                </c:pt>
                <c:pt idx="31">
                  <c:v>1.37761841026</c:v>
                </c:pt>
                <c:pt idx="32">
                  <c:v>1.3897314433700001</c:v>
                </c:pt>
                <c:pt idx="33">
                  <c:v>1.40161106268</c:v>
                </c:pt>
                <c:pt idx="34">
                  <c:v>1.4132686290300001</c:v>
                </c:pt>
                <c:pt idx="35">
                  <c:v>1.4247146370799999</c:v>
                </c:pt>
                <c:pt idx="36">
                  <c:v>1.43595880387</c:v>
                </c:pt>
                <c:pt idx="37">
                  <c:v>1.44701014618</c:v>
                </c:pt>
                <c:pt idx="38">
                  <c:v>1.4578770482900001</c:v>
                </c:pt>
                <c:pt idx="39">
                  <c:v>1.4685673216499999</c:v>
                </c:pt>
                <c:pt idx="40">
                  <c:v>1.4790882574999999</c:v>
                </c:pt>
                <c:pt idx="41">
                  <c:v>1.48944667354</c:v>
                </c:pt>
                <c:pt idx="42">
                  <c:v>1.4996489552900001</c:v>
                </c:pt>
                <c:pt idx="43">
                  <c:v>1.5097010930899999</c:v>
                </c:pt>
                <c:pt idx="44">
                  <c:v>1.5196087149799999</c:v>
                </c:pt>
                <c:pt idx="45">
                  <c:v>1.5293771163600001</c:v>
                </c:pt>
                <c:pt idx="46">
                  <c:v>1.5390112864300001</c:v>
                </c:pt>
                <c:pt idx="47">
                  <c:v>1.5485159321899999</c:v>
                </c:pt>
                <c:pt idx="48">
                  <c:v>1.5578954999200001</c:v>
                </c:pt>
                <c:pt idx="49">
                  <c:v>1.5671541947700001</c:v>
                </c:pt>
                <c:pt idx="50">
                  <c:v>1.5762959984</c:v>
                </c:pt>
                <c:pt idx="51">
                  <c:v>1.58532468505</c:v>
                </c:pt>
                <c:pt idx="52">
                  <c:v>1.59424383617</c:v>
                </c:pt>
                <c:pt idx="53">
                  <c:v>1.6030568537700001</c:v>
                </c:pt>
                <c:pt idx="54">
                  <c:v>1.6117669725499999</c:v>
                </c:pt>
                <c:pt idx="55">
                  <c:v>1.62037727109</c:v>
                </c:pt>
                <c:pt idx="56">
                  <c:v>1.62889068204</c:v>
                </c:pt>
                <c:pt idx="57">
                  <c:v>1.6373100014999999</c:v>
                </c:pt>
                <c:pt idx="58">
                  <c:v>1.6456378976499999</c:v>
                </c:pt>
                <c:pt idx="59">
                  <c:v>1.65387691866</c:v>
                </c:pt>
                <c:pt idx="60">
                  <c:v>1.6620295000500001</c:v>
                </c:pt>
                <c:pt idx="61">
                  <c:v>1.6700979714499999</c:v>
                </c:pt>
                <c:pt idx="62">
                  <c:v>1.6780845627900001</c:v>
                </c:pt>
                <c:pt idx="63">
                  <c:v>1.68599141018</c:v>
                </c:pt>
                <c:pt idx="64">
                  <c:v>1.6938205612199999</c:v>
                </c:pt>
                <c:pt idx="65">
                  <c:v>1.70157397996</c:v>
                </c:pt>
                <c:pt idx="66">
                  <c:v>1.70925355161</c:v>
                </c:pt>
                <c:pt idx="67">
                  <c:v>1.71686108677</c:v>
                </c:pt>
                <c:pt idx="68">
                  <c:v>1.7243983254699999</c:v>
                </c:pt>
                <c:pt idx="69">
                  <c:v>1.73186694093</c:v>
                </c:pt>
                <c:pt idx="70">
                  <c:v>1.7392685430199999</c:v>
                </c:pt>
                <c:pt idx="71">
                  <c:v>1.74660468152</c:v>
                </c:pt>
                <c:pt idx="72">
                  <c:v>1.7538768492100001</c:v>
                </c:pt>
                <c:pt idx="73">
                  <c:v>1.7610864846800001</c:v>
                </c:pt>
                <c:pt idx="74">
                  <c:v>1.7682349750399999</c:v>
                </c:pt>
                <c:pt idx="75">
                  <c:v>1.7753236584000001</c:v>
                </c:pt>
                <c:pt idx="76">
                  <c:v>1.7823538262600001</c:v>
                </c:pt>
                <c:pt idx="77">
                  <c:v>1.7893267256900001</c:v>
                </c:pt>
                <c:pt idx="78">
                  <c:v>1.7962435614300001</c:v>
                </c:pt>
                <c:pt idx="79">
                  <c:v>1.8031054978400001</c:v>
                </c:pt>
                <c:pt idx="80">
                  <c:v>1.8099136607499999</c:v>
                </c:pt>
                <c:pt idx="81">
                  <c:v>1.8166691392000001</c:v>
                </c:pt>
                <c:pt idx="82">
                  <c:v>1.82337298706</c:v>
                </c:pt>
                <c:pt idx="83">
                  <c:v>1.8300262246100001</c:v>
                </c:pt>
                <c:pt idx="84">
                  <c:v>1.8366298399700001</c:v>
                </c:pt>
                <c:pt idx="85">
                  <c:v>1.8431847904900001</c:v>
                </c:pt>
                <c:pt idx="86">
                  <c:v>1.84969200408</c:v>
                </c:pt>
                <c:pt idx="87">
                  <c:v>1.8561523804</c:v>
                </c:pt>
                <c:pt idx="88">
                  <c:v>1.86256679209</c:v>
                </c:pt>
                <c:pt idx="89">
                  <c:v>1.8689360858199999</c:v>
                </c:pt>
                <c:pt idx="90">
                  <c:v>1.8752610833900001</c:v>
                </c:pt>
                <c:pt idx="91">
                  <c:v>1.8815425826900001</c:v>
                </c:pt>
                <c:pt idx="92">
                  <c:v>1.8877813586900001</c:v>
                </c:pt>
                <c:pt idx="93">
                  <c:v>1.89397816431</c:v>
                </c:pt>
                <c:pt idx="94">
                  <c:v>1.90013373127</c:v>
                </c:pt>
                <c:pt idx="95">
                  <c:v>1.90624877093</c:v>
                </c:pt>
                <c:pt idx="96">
                  <c:v>1.9123239750600001</c:v>
                </c:pt>
                <c:pt idx="97">
                  <c:v>1.9183600165500001</c:v>
                </c:pt>
                <c:pt idx="98">
                  <c:v>1.9243575501500001</c:v>
                </c:pt>
                <c:pt idx="99">
                  <c:v>1.9303172131199999</c:v>
                </c:pt>
                <c:pt idx="100">
                  <c:v>1.9362396258500001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3-4EC5-A6F0-4ED26E238813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Dissolved Ca in samples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Sheet3!$E$2:$E$13</c:f>
              <c:numCache>
                <c:formatCode>General</c:formatCode>
                <c:ptCount val="12"/>
                <c:pt idx="0">
                  <c:v>4.6509999999999998E-3</c:v>
                </c:pt>
                <c:pt idx="1">
                  <c:v>3.885E-3</c:v>
                </c:pt>
                <c:pt idx="2">
                  <c:v>2.5990000000000002E-3</c:v>
                </c:pt>
                <c:pt idx="3">
                  <c:v>3.8270000000000001E-3</c:v>
                </c:pt>
                <c:pt idx="4">
                  <c:v>4.5690000000000001E-3</c:v>
                </c:pt>
                <c:pt idx="5">
                  <c:v>4.6969999999999998E-3</c:v>
                </c:pt>
                <c:pt idx="6">
                  <c:v>5.2360000000000002E-3</c:v>
                </c:pt>
                <c:pt idx="7">
                  <c:v>3.7130000000000002E-3</c:v>
                </c:pt>
                <c:pt idx="8">
                  <c:v>5.1489999999999999E-3</c:v>
                </c:pt>
                <c:pt idx="9">
                  <c:v>4.5510000000000004E-3</c:v>
                </c:pt>
                <c:pt idx="10">
                  <c:v>3.81E-3</c:v>
                </c:pt>
                <c:pt idx="11">
                  <c:v>2.2369999999999998E-3</c:v>
                </c:pt>
              </c:numCache>
            </c:numRef>
          </c:xVal>
          <c:yVal>
            <c:numRef>
              <c:f>Sheet3!$F$2:$F$13</c:f>
              <c:numCache>
                <c:formatCode>General</c:formatCode>
                <c:ptCount val="12"/>
                <c:pt idx="0">
                  <c:v>0.67400000000000004</c:v>
                </c:pt>
                <c:pt idx="1">
                  <c:v>0.6905</c:v>
                </c:pt>
                <c:pt idx="2">
                  <c:v>0.70099999999999996</c:v>
                </c:pt>
                <c:pt idx="3">
                  <c:v>0.70799999999999996</c:v>
                </c:pt>
                <c:pt idx="4">
                  <c:v>0.70599999999999996</c:v>
                </c:pt>
                <c:pt idx="5">
                  <c:v>0.69699999999999995</c:v>
                </c:pt>
                <c:pt idx="6">
                  <c:v>0.68100000000000005</c:v>
                </c:pt>
                <c:pt idx="7">
                  <c:v>0.69199999999999995</c:v>
                </c:pt>
                <c:pt idx="8">
                  <c:v>0.7</c:v>
                </c:pt>
                <c:pt idx="9">
                  <c:v>0.70499999999999996</c:v>
                </c:pt>
                <c:pt idx="10">
                  <c:v>0.69699999999999995</c:v>
                </c:pt>
                <c:pt idx="11">
                  <c:v>0.68899999999999995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83-4EC5-A6F0-4ED26E23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66160"/>
        <c:axId val="403763208"/>
      </c:scatterChart>
      <c:valAx>
        <c:axId val="403766160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PCO2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3208"/>
        <c:crosses val="autoZero"/>
        <c:crossBetween val="midCat"/>
      </c:valAx>
      <c:valAx>
        <c:axId val="40376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Calcium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774700</xdr:colOff>
      <xdr:row>15</xdr:row>
      <xdr:rowOff>63500</xdr:rowOff>
    </xdr:from>
    <xdr:to>
      <xdr:col>48</xdr:col>
      <xdr:colOff>371475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B6B20-8BBF-4C31-95D3-1C305CC1F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47625</xdr:rowOff>
    </xdr:from>
    <xdr:to>
      <xdr:col>16</xdr:col>
      <xdr:colOff>320675</xdr:colOff>
      <xdr:row>14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yers, John C" id="{4D2DBA52-88E0-6C4D-84BE-39AC973537CE}" userId="S::john.c.ayers@Vanderbilt.Edu::12edf861-6a32-44ff-8a1c-f1942872da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0-12-28T18:23:18.79" personId="{4D2DBA52-88E0-6C4D-84BE-39AC973537CE}" id="{18F10B09-3AC2-D74B-A54D-3DD74913D4B3}">
    <text>Added 187 mV for conversion of Hach ORP measurements made relative to Ag/AgCl electrode to standard hydrogen electrode
The error from the Zobells solution Eoffset = 600-223=377 mV
Eh = Eoffset + Ereference + Emeasured = 377+187+ORP</text>
  </threadedComment>
  <threadedComment ref="Q1" dT="2021-03-29T19:54:00.51" personId="{4D2DBA52-88E0-6C4D-84BE-39AC973537CE}" id="{5E36EA7B-A143-458C-82DD-78DE9A8B2892}">
    <text>2H+ + ½ O2(g) + 2e- = H2O(l) (upper stability limit of H2O) 
Eh = 1.23 + (0.0148)logPO2 – (0.0592)pH
logPO2 = (Eh - 1.23 + 0.0592*pH)/0.0148</text>
  </threadedComment>
  <threadedComment ref="R1" dT="2021-03-29T19:57:10.78" personId="{4D2DBA52-88E0-6C4D-84BE-39AC973537CE}" id="{96592208-8FEB-450E-B13A-D0F419D7109F}">
    <text>Use Henry's Law to calculate [O2] in mg/L
O2(g) = O2(aq)
Keq =KH = mO2(aq)/PO2(g) = 1.26 x 10-3 mol l-1 bar-1
mO2(aq) = KHPO2(g) = 1.26 x 10-3 mol l-1 bar-1*PO2(bar)*32g O2/mole*1000mg/g= ? mg/L</text>
  </threadedComment>
  <threadedComment ref="BD1" dT="2021-05-04T18:37:03.67" personId="{4D2DBA52-88E0-6C4D-84BE-39AC973537CE}" id="{DD953290-EF7D-4AE1-9675-D5582716651C}">
    <text>The N:P ratio (Redfield ratio) is 16:1. If the molar ratio of dissolved inorganic nitrogen over dissolved inorganic phosphorus DIN/DIP is &gt; 16:1 then DIP is the limiting factor for algal growth.</text>
  </threadedComment>
  <threadedComment ref="BD1" dT="2021-05-04T19:04:04.69" personId="{4D2DBA52-88E0-6C4D-84BE-39AC973537CE}" id="{FC2FA58A-A6B5-4AF6-9865-08CD5AA8E183}" parentId="{DD953290-EF7D-4AE1-9675-D5582716651C}">
    <text>OK, also have to add nitrite and ammonium to get DIN, and we did not measure those.</text>
  </threadedComment>
  <threadedComment ref="BG1" dT="2022-02-09T16:02:35.32" personId="{4D2DBA52-88E0-6C4D-84BE-39AC973537CE}" id="{7CBD00E5-DCEE-44DB-95B5-880089F15CC5}">
    <text>From GWB Spec8 output files in C:\Users\ayersj.VANDERBILT\OneDrive - Vanderbilt\Projects\HarpethRiver\Data\GWB</text>
  </threadedComment>
  <threadedComment ref="BI1" dT="2022-02-09T14:32:24.34" personId="{4D2DBA52-88E0-6C4D-84BE-39AC973537CE}" id="{3099C079-917E-4B63-92D2-20C8B738BB16}">
    <text>See https://onedrive.live.com/view.aspx?resid=55FD3F8FFA58DB1A%211780&amp;id=documents&amp;wd=target%28Proposals%2F2021.one%7C8A8BACEA-7CDA-4765-8522-0E840F8A3FD0%2FFluxes%7CB778E80D-912C-461D-B49E-136DB16FDF75%2F%29
onenote:https://d.docs.live.net/55fd3f8ffa58db1a/OneNote/Research/Proposals/2021.one#Fluxes&amp;section-id={8A8BACEA-7CDA-4765-8522-0E840F8A3FD0}&amp;page-id={B778E80D-912C-461D-B49E-136DB16FDF75}&amp;end
Csat (mol m-3) = Kh*PCO2 = 0.035*PCO2(bar)*1000</text>
  </threadedComment>
  <threadedComment ref="BJ1" dT="2022-02-09T14:35:32.68" personId="{4D2DBA52-88E0-6C4D-84BE-39AC973537CE}" id="{9E05AD2F-370F-4B4F-A390-644A07C23E8D}">
    <text>Using average kCO2 of 5.7 m d-1 from Raymond et al. (2013)</text>
  </threadedComment>
  <threadedComment ref="BM1" dT="2022-02-09T17:18:02.41" personId="{4D2DBA52-88E0-6C4D-84BE-39AC973537CE}" id="{FEC0A671-D4E0-4103-84BA-F0559627674E}">
    <text>Wilhelm E, Battino R, Wilcock RJ (1977) Low-pressure solubility of gases in liquid water. Chem. Rev. 77:219–262</text>
  </threadedComment>
  <threadedComment ref="BN1" dT="2022-02-09T17:25:14.77" personId="{4D2DBA52-88E0-6C4D-84BE-39AC973537CE}" id="{9FBEED25-2776-4A1C-B13D-64F4A35486DE}">
    <text>Henry's Law says that P = Kh*X where X is the mole fraction in water, then P1/X1 = P2/X2 and P1 = 1
I want to calculate X2 from P2, so X2 = P2*X1</text>
  </threadedComment>
  <threadedComment ref="BO1" dT="2022-02-09T14:32:24.34" personId="{4D2DBA52-88E0-6C4D-84BE-39AC973537CE}" id="{9442E790-EB12-4748-94F6-CE25AD94563C}">
    <text>1 kg H2O has 55.55 moles H2O, so 
# moles CO2 per kg H2O = XCO2*55.55
CO2sat (mol m-3) = moles CO2/kg H2O * 1000 kg/m^3 = moles m-3</text>
  </threadedComment>
  <threadedComment ref="BP1" dT="2022-02-09T14:35:32.68" personId="{4D2DBA52-88E0-6C4D-84BE-39AC973537CE}" id="{F583B2F0-423B-4236-A427-B2340BEC8A0E}">
    <text>Using average kCO2 of 5.7 m d-1 from Raymond et al. (2013)</text>
  </threadedComment>
  <threadedComment ref="A15" dT="2021-11-10T16:12:03.53" personId="{4D2DBA52-88E0-6C4D-84BE-39AC973537CE}" id="{AF47E5A6-425C-4517-AA97-DE5270E00056}">
    <text>From https://www.calendar-365.com/calendar/2020/October.html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9"/>
  <sheetViews>
    <sheetView tabSelected="1" workbookViewId="0">
      <pane xSplit="1" topLeftCell="B1" activePane="topRight" state="frozen"/>
      <selection pane="topRight" activeCell="H3" sqref="H3"/>
    </sheetView>
  </sheetViews>
  <sheetFormatPr defaultColWidth="10.58203125" defaultRowHeight="15.5" x14ac:dyDescent="0.35"/>
  <cols>
    <col min="1" max="1" width="12" bestFit="1" customWidth="1"/>
    <col min="2" max="2" width="24.58203125" customWidth="1"/>
    <col min="3" max="3" width="11" bestFit="1" customWidth="1"/>
    <col min="6" max="6" width="22.58203125" style="1" bestFit="1" customWidth="1"/>
    <col min="7" max="8" width="22.58203125" style="1" customWidth="1"/>
    <col min="9" max="13" width="10.58203125" customWidth="1"/>
    <col min="15" max="15" width="0" hidden="1" customWidth="1"/>
    <col min="17" max="17" width="11.75" bestFit="1" customWidth="1"/>
    <col min="18" max="18" width="11.75" customWidth="1"/>
    <col min="20" max="20" width="14.5" customWidth="1"/>
    <col min="48" max="48" width="11.08203125" bestFit="1" customWidth="1"/>
    <col min="49" max="49" width="12.08203125" bestFit="1" customWidth="1"/>
    <col min="51" max="51" width="12.08203125" bestFit="1" customWidth="1"/>
    <col min="52" max="52" width="12.08203125" customWidth="1"/>
  </cols>
  <sheetData>
    <row r="1" spans="1:69" s="11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5" t="s">
        <v>5</v>
      </c>
      <c r="G1" s="15" t="s">
        <v>6</v>
      </c>
      <c r="H1" s="15" t="s">
        <v>7</v>
      </c>
      <c r="I1" s="11" t="s">
        <v>97</v>
      </c>
      <c r="J1" s="11" t="s">
        <v>98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3" t="s">
        <v>20</v>
      </c>
      <c r="X1" s="13" t="s">
        <v>21</v>
      </c>
      <c r="Y1" s="13" t="s">
        <v>22</v>
      </c>
      <c r="Z1" s="13" t="s">
        <v>23</v>
      </c>
      <c r="AA1" s="13" t="s">
        <v>24</v>
      </c>
      <c r="AB1" s="13" t="s">
        <v>25</v>
      </c>
      <c r="AC1" s="13" t="s">
        <v>26</v>
      </c>
      <c r="AD1" s="13" t="s">
        <v>27</v>
      </c>
      <c r="AE1" s="13" t="s">
        <v>28</v>
      </c>
      <c r="AF1" s="13" t="s">
        <v>29</v>
      </c>
      <c r="AG1" s="13" t="s">
        <v>30</v>
      </c>
      <c r="AH1" s="13" t="s">
        <v>31</v>
      </c>
      <c r="AI1" s="13" t="s">
        <v>32</v>
      </c>
      <c r="AJ1" s="13" t="s">
        <v>33</v>
      </c>
      <c r="AK1" s="13" t="s">
        <v>34</v>
      </c>
      <c r="AL1" s="13" t="s">
        <v>35</v>
      </c>
      <c r="AM1" s="13" t="s">
        <v>36</v>
      </c>
      <c r="AN1" s="13" t="s">
        <v>37</v>
      </c>
      <c r="AO1" s="14" t="s">
        <v>38</v>
      </c>
      <c r="AP1" s="14" t="s">
        <v>39</v>
      </c>
      <c r="AQ1" s="14" t="s">
        <v>40</v>
      </c>
      <c r="AR1" s="13" t="s">
        <v>41</v>
      </c>
      <c r="AS1" s="13" t="s">
        <v>42</v>
      </c>
      <c r="AT1" s="12" t="s">
        <v>43</v>
      </c>
      <c r="AU1" s="12" t="s">
        <v>44</v>
      </c>
      <c r="AV1" s="11" t="s">
        <v>45</v>
      </c>
      <c r="AW1" s="11" t="s">
        <v>46</v>
      </c>
      <c r="AX1" s="11" t="s">
        <v>47</v>
      </c>
      <c r="AY1" s="11" t="s">
        <v>48</v>
      </c>
      <c r="AZ1" s="16" t="s">
        <v>49</v>
      </c>
      <c r="BA1" s="11" t="s">
        <v>50</v>
      </c>
      <c r="BB1" s="11" t="s">
        <v>51</v>
      </c>
      <c r="BC1" s="11" t="s">
        <v>52</v>
      </c>
      <c r="BD1" s="11" t="s">
        <v>53</v>
      </c>
      <c r="BE1" s="11" t="s">
        <v>54</v>
      </c>
      <c r="BF1" s="11" t="s">
        <v>55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91</v>
      </c>
      <c r="BQ1" t="s">
        <v>92</v>
      </c>
    </row>
    <row r="2" spans="1:69" s="29" customFormat="1" x14ac:dyDescent="0.35">
      <c r="F2" s="28">
        <v>44106</v>
      </c>
      <c r="G2" s="30"/>
      <c r="H2" s="30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  <c r="AP2" s="32"/>
      <c r="AQ2" s="32"/>
      <c r="AR2" s="31"/>
      <c r="AS2" s="31"/>
      <c r="AT2" s="33"/>
      <c r="AU2" s="33"/>
      <c r="AZ2" s="34"/>
    </row>
    <row r="3" spans="1:69" x14ac:dyDescent="0.35">
      <c r="A3" s="10" t="s">
        <v>56</v>
      </c>
      <c r="B3" s="7" t="s">
        <v>57</v>
      </c>
      <c r="C3">
        <v>35.95147</v>
      </c>
      <c r="D3">
        <v>-87.016109999999998</v>
      </c>
      <c r="E3" s="6">
        <v>44106</v>
      </c>
      <c r="F3" s="28">
        <v>44106.743055555555</v>
      </c>
      <c r="G3" t="str">
        <f t="shared" ref="G3:G14" si="0">TEXT(F3,"HH:MM")</f>
        <v>17:50</v>
      </c>
      <c r="H3" s="19">
        <f>F3-F$2</f>
        <v>0.74305555555474712</v>
      </c>
      <c r="I3" s="18">
        <v>16.850000000000001</v>
      </c>
      <c r="J3" s="18">
        <f>I3+273.15</f>
        <v>290</v>
      </c>
      <c r="K3" s="18">
        <v>197.4</v>
      </c>
      <c r="L3" s="36">
        <v>0.09</v>
      </c>
      <c r="M3" s="18">
        <v>0.1263</v>
      </c>
      <c r="N3" s="18">
        <v>7.3</v>
      </c>
      <c r="O3" s="18"/>
      <c r="P3">
        <v>649</v>
      </c>
      <c r="Q3" s="27">
        <f>10^(((P3/1000) - 1.23 + 0.0592*N3)/0.0148)</f>
        <v>8.7749215659547873E-11</v>
      </c>
      <c r="R3" s="27">
        <f>0.00126*Q3*32*1000</f>
        <v>3.5380483753929704E-9</v>
      </c>
      <c r="S3">
        <v>1.6</v>
      </c>
      <c r="T3" s="26">
        <v>4.6499999999999996E-3</v>
      </c>
      <c r="U3" s="26">
        <v>4.7105000000000003E-3</v>
      </c>
      <c r="V3" s="36">
        <v>-2.3269375999999999</v>
      </c>
      <c r="W3" s="5">
        <v>2.76</v>
      </c>
      <c r="X3">
        <v>39.79</v>
      </c>
      <c r="Y3" s="24">
        <v>26957</v>
      </c>
      <c r="Z3" s="5">
        <v>23.9</v>
      </c>
      <c r="AA3" s="23">
        <v>2601</v>
      </c>
      <c r="AB3" s="23">
        <v>4053</v>
      </c>
      <c r="AC3" s="24">
        <v>1863</v>
      </c>
      <c r="AD3" s="23">
        <v>81</v>
      </c>
      <c r="AE3" s="25">
        <v>1254</v>
      </c>
      <c r="AF3" s="3">
        <v>5.08</v>
      </c>
      <c r="AG3" s="5">
        <v>537</v>
      </c>
      <c r="AH3" s="2">
        <v>138</v>
      </c>
      <c r="AI3" s="2">
        <v>2.39</v>
      </c>
      <c r="AJ3" s="3">
        <v>2.35</v>
      </c>
      <c r="AK3" s="3">
        <v>0.77100000000000002</v>
      </c>
      <c r="AL3" s="4">
        <v>10.49</v>
      </c>
      <c r="AM3" s="3">
        <v>1.94</v>
      </c>
      <c r="AN3" s="3">
        <v>2.36</v>
      </c>
      <c r="AO3" s="22">
        <v>2497</v>
      </c>
      <c r="AP3" s="22">
        <v>363</v>
      </c>
      <c r="AQ3" s="22">
        <v>3563</v>
      </c>
      <c r="AR3" s="23">
        <v>22560</v>
      </c>
      <c r="AS3" s="23">
        <v>3082</v>
      </c>
      <c r="AT3" s="3"/>
      <c r="AU3" s="3"/>
      <c r="AV3">
        <f>7.3781*10^-29</f>
        <v>7.3781000000000004E-29</v>
      </c>
      <c r="AW3">
        <f>AV3*1.013</f>
        <v>7.4740152999999993E-29</v>
      </c>
      <c r="AX3">
        <f>LOG10(AW3)</f>
        <v>-28.126446017444533</v>
      </c>
      <c r="AY3">
        <f>8.2227*10^-32</f>
        <v>8.2226999999999993E-32</v>
      </c>
      <c r="AZ3">
        <f>AY3*35500</f>
        <v>2.9190584999999999E-27</v>
      </c>
      <c r="BA3" s="18">
        <v>-0.76200000000000001</v>
      </c>
      <c r="BB3" s="18">
        <v>-2.11</v>
      </c>
      <c r="BC3" s="18">
        <v>1.845</v>
      </c>
      <c r="BD3" s="19">
        <f>(AP3/62)/(AD3/30.97)</f>
        <v>2.2385722819593785</v>
      </c>
      <c r="BE3" s="20">
        <f>AP3*14/62</f>
        <v>81.967741935483872</v>
      </c>
      <c r="BG3">
        <f>0.000209*1000000</f>
        <v>209</v>
      </c>
      <c r="BH3">
        <f>BG3/1000</f>
        <v>0.20899999999999999</v>
      </c>
      <c r="BI3" s="37">
        <f>0.0035*U3*1000</f>
        <v>1.6486750000000001E-2</v>
      </c>
      <c r="BJ3" s="38">
        <f>5.7*(BI3-BH3)</f>
        <v>-1.097325525</v>
      </c>
      <c r="BK3" s="19">
        <f>BJ3*12</f>
        <v>-13.1679063</v>
      </c>
      <c r="BL3">
        <f>413.63/1000000</f>
        <v>4.1363000000000001E-4</v>
      </c>
      <c r="BM3">
        <f t="shared" ref="BM3:BM14" si="1">-317.658+17371.2/J3+43.0607*LN(J3)-0.00219107*J3</f>
        <v>-14.243679184640353</v>
      </c>
      <c r="BN3">
        <f>BL3*EXP(BM3/1.987)</f>
        <v>3.1871354374621418E-7</v>
      </c>
      <c r="BO3" s="37">
        <f>BN3*55.55*1000</f>
        <v>1.7704537355102197E-2</v>
      </c>
      <c r="BP3" s="19">
        <f>5.7*(BK3-BO3)</f>
        <v>-75.157981772924089</v>
      </c>
      <c r="BQ3" s="19">
        <f>BP3*12</f>
        <v>-901.89578127508912</v>
      </c>
    </row>
    <row r="4" spans="1:69" x14ac:dyDescent="0.35">
      <c r="A4" s="8" t="s">
        <v>58</v>
      </c>
      <c r="B4" s="7" t="s">
        <v>57</v>
      </c>
      <c r="C4">
        <v>35.95147</v>
      </c>
      <c r="D4">
        <v>-87.016109999999998</v>
      </c>
      <c r="E4" s="6">
        <v>44106</v>
      </c>
      <c r="F4" s="28">
        <v>44106.906944444447</v>
      </c>
      <c r="G4" t="str">
        <f t="shared" si="0"/>
        <v>21:46</v>
      </c>
      <c r="H4" s="19">
        <f t="shared" ref="H4:H18" si="2">F4-F$2</f>
        <v>0.90694444444670808</v>
      </c>
      <c r="I4" s="18">
        <v>15.33</v>
      </c>
      <c r="J4" s="18">
        <f t="shared" ref="J4:J14" si="3">I4+273.15</f>
        <v>288.47999999999996</v>
      </c>
      <c r="K4" s="18">
        <v>190.7</v>
      </c>
      <c r="L4" s="36">
        <v>0.09</v>
      </c>
      <c r="M4" s="18">
        <v>0.1193</v>
      </c>
      <c r="N4" s="18">
        <v>7.39</v>
      </c>
      <c r="O4" s="18"/>
      <c r="P4">
        <v>736</v>
      </c>
      <c r="Q4" s="27">
        <f t="shared" ref="Q4:Q14" si="4">10^(((P4/1000) - 1.23 + 0.0592*N4)/0.0148)</f>
        <v>1.5192233320457943E-4</v>
      </c>
      <c r="R4" s="27">
        <f t="shared" ref="R4:R14" si="5">0.00126*Q4*32*1000</f>
        <v>6.1255084748086429E-3</v>
      </c>
      <c r="S4">
        <v>1.2</v>
      </c>
      <c r="T4" s="26">
        <v>3.8803000000000002E-3</v>
      </c>
      <c r="U4" s="26">
        <v>3.9306999999999996E-3</v>
      </c>
      <c r="V4" s="36">
        <v>-2.4055252999999999</v>
      </c>
      <c r="W4" s="5">
        <v>1.75</v>
      </c>
      <c r="X4">
        <v>35.97</v>
      </c>
      <c r="Y4" s="24">
        <v>27618</v>
      </c>
      <c r="Z4" s="5">
        <v>23.4</v>
      </c>
      <c r="AA4" s="23">
        <v>2170</v>
      </c>
      <c r="AB4" s="23">
        <v>4115</v>
      </c>
      <c r="AC4" s="24">
        <v>1867</v>
      </c>
      <c r="AD4" s="23">
        <v>90</v>
      </c>
      <c r="AE4" s="25">
        <v>1174</v>
      </c>
      <c r="AF4" s="3">
        <v>2.89</v>
      </c>
      <c r="AG4" s="5">
        <v>565</v>
      </c>
      <c r="AH4" s="2">
        <v>139</v>
      </c>
      <c r="AI4" s="2">
        <v>1.84</v>
      </c>
      <c r="AJ4" s="3">
        <v>1.83</v>
      </c>
      <c r="AK4" s="9"/>
      <c r="AL4" s="4">
        <v>13.28</v>
      </c>
      <c r="AM4" s="3">
        <v>2.0699999999999998</v>
      </c>
      <c r="AN4" s="3">
        <v>2.08</v>
      </c>
      <c r="AO4" s="22">
        <v>2588</v>
      </c>
      <c r="AP4" s="22">
        <v>359</v>
      </c>
      <c r="AQ4" s="22">
        <v>3520</v>
      </c>
      <c r="AR4" s="23">
        <v>23230</v>
      </c>
      <c r="AS4" s="23">
        <v>2915</v>
      </c>
      <c r="AT4" s="3"/>
      <c r="AV4">
        <f>6.1261*10^-24</f>
        <v>6.1261000000000011E-24</v>
      </c>
      <c r="AW4">
        <f t="shared" ref="AW4:AW14" si="6">AV4*1.013</f>
        <v>6.2057393000000005E-24</v>
      </c>
      <c r="AX4">
        <f t="shared" ref="AX4:AX14" si="7">LOG10(AW4)</f>
        <v>-23.207206472862321</v>
      </c>
      <c r="AY4">
        <f>6.9432*10^-27</f>
        <v>6.9432000000000001E-27</v>
      </c>
      <c r="AZ4">
        <f t="shared" ref="AZ4:AZ14" si="8">AY4*35500</f>
        <v>2.4648359999999999E-22</v>
      </c>
      <c r="BA4" s="18">
        <v>-0.66500000000000004</v>
      </c>
      <c r="BB4" s="18">
        <v>-1.944</v>
      </c>
      <c r="BC4" s="18">
        <v>2.4369999999999998</v>
      </c>
      <c r="BD4" s="19">
        <f t="shared" ref="BD4:BD14" si="9">(AP4/62)/(AD4/30.97)</f>
        <v>1.9925143369175626</v>
      </c>
      <c r="BE4" s="20">
        <f t="shared" ref="BE4:BE14" si="10">AP4*14/62</f>
        <v>81.064516129032256</v>
      </c>
      <c r="BG4">
        <f>0.0001818*1000000</f>
        <v>181.8</v>
      </c>
      <c r="BH4">
        <f t="shared" ref="BH4:BH14" si="11">BG4/1000</f>
        <v>0.18180000000000002</v>
      </c>
      <c r="BI4" s="37">
        <f t="shared" ref="BI4:BI14" si="12">0.0035*U4*1000</f>
        <v>1.3757449999999999E-2</v>
      </c>
      <c r="BJ4" s="38">
        <f t="shared" ref="BJ4:BJ14" si="13">5.7*(BI4-BH4)</f>
        <v>-0.95784253500000005</v>
      </c>
      <c r="BK4" s="19">
        <f t="shared" ref="BK4:BK14" si="14">BJ4*12</f>
        <v>-11.49411042</v>
      </c>
      <c r="BL4">
        <f t="shared" ref="BL4:BL14" si="15">413.63/1000000</f>
        <v>4.1363000000000001E-4</v>
      </c>
      <c r="BM4">
        <f t="shared" si="1"/>
        <v>-14.151023277029802</v>
      </c>
      <c r="BN4">
        <f t="shared" ref="BN4:BN14" si="16">BL4*EXP(BM4/1.987)</f>
        <v>3.3392745641965205E-7</v>
      </c>
      <c r="BO4" s="37">
        <f t="shared" ref="BO4:BO14" si="17">BN4*55.55*1000</f>
        <v>1.8549670204111673E-2</v>
      </c>
      <c r="BP4" s="19">
        <f t="shared" ref="BP4:BP14" si="18">5.7*(BK4-BO4)</f>
        <v>-65.622162514163435</v>
      </c>
      <c r="BQ4" s="19">
        <f t="shared" ref="BQ4:BQ14" si="19">BP4*12</f>
        <v>-787.46595016996116</v>
      </c>
    </row>
    <row r="5" spans="1:69" x14ac:dyDescent="0.35">
      <c r="A5" s="8" t="s">
        <v>59</v>
      </c>
      <c r="B5" s="7" t="s">
        <v>57</v>
      </c>
      <c r="C5">
        <v>35.95147</v>
      </c>
      <c r="D5">
        <v>-87.016109999999998</v>
      </c>
      <c r="E5" s="6">
        <v>44107</v>
      </c>
      <c r="F5" s="28">
        <v>44107.074999999997</v>
      </c>
      <c r="G5" t="str">
        <f t="shared" si="0"/>
        <v>01:48</v>
      </c>
      <c r="H5" s="19">
        <f t="shared" si="2"/>
        <v>1.0749999999970896</v>
      </c>
      <c r="I5" s="18">
        <v>13.87</v>
      </c>
      <c r="J5" s="18">
        <f t="shared" si="3"/>
        <v>287.02</v>
      </c>
      <c r="K5" s="18"/>
      <c r="L5" s="36">
        <v>0.02</v>
      </c>
      <c r="M5" s="18"/>
      <c r="N5" s="18">
        <v>7.28</v>
      </c>
      <c r="O5" s="18"/>
      <c r="P5" s="18">
        <v>707</v>
      </c>
      <c r="Q5" s="27">
        <f t="shared" si="4"/>
        <v>6.0556694650519663E-7</v>
      </c>
      <c r="R5" s="27">
        <f t="shared" si="5"/>
        <v>2.4416459283089531E-5</v>
      </c>
      <c r="S5">
        <v>1.5</v>
      </c>
      <c r="T5" s="26">
        <v>4.8512E-3</v>
      </c>
      <c r="U5" s="26">
        <v>4.9142999999999999E-3</v>
      </c>
      <c r="V5" s="36">
        <v>-2.3085414000000002</v>
      </c>
      <c r="W5" s="5">
        <v>1.7</v>
      </c>
      <c r="X5">
        <v>37.4</v>
      </c>
      <c r="Y5" s="24">
        <v>28041</v>
      </c>
      <c r="Z5" s="5">
        <v>24.1</v>
      </c>
      <c r="AA5" s="23">
        <v>1892</v>
      </c>
      <c r="AB5" s="23">
        <v>4185</v>
      </c>
      <c r="AC5" s="24">
        <v>1711</v>
      </c>
      <c r="AD5" s="23">
        <v>88</v>
      </c>
      <c r="AE5" s="25">
        <v>1171</v>
      </c>
      <c r="AF5" s="3">
        <v>3.02</v>
      </c>
      <c r="AG5" s="5">
        <v>586</v>
      </c>
      <c r="AH5" s="2">
        <v>138</v>
      </c>
      <c r="AI5" s="2">
        <v>1.75</v>
      </c>
      <c r="AJ5" s="3">
        <v>1.56</v>
      </c>
      <c r="AK5" s="3">
        <v>0.64200000000000002</v>
      </c>
      <c r="AL5" s="4">
        <v>12.53</v>
      </c>
      <c r="AM5" s="3">
        <v>1.63</v>
      </c>
      <c r="AN5" s="3">
        <v>1.92</v>
      </c>
      <c r="AO5" s="22">
        <v>2471</v>
      </c>
      <c r="AP5" s="22">
        <v>355</v>
      </c>
      <c r="AQ5" s="22">
        <v>3404</v>
      </c>
      <c r="AR5" s="23">
        <v>23630</v>
      </c>
      <c r="AS5" s="23">
        <v>3611</v>
      </c>
      <c r="AT5" s="3"/>
      <c r="AV5">
        <f>2.7956*10^-25</f>
        <v>2.7955999999999997E-25</v>
      </c>
      <c r="AW5">
        <f t="shared" si="6"/>
        <v>2.8319427999999995E-25</v>
      </c>
      <c r="AX5">
        <f t="shared" si="7"/>
        <v>-24.547915522837933</v>
      </c>
      <c r="AY5">
        <f>3.0944*10^-28</f>
        <v>3.0944E-28</v>
      </c>
      <c r="AZ5">
        <f t="shared" si="8"/>
        <v>1.098512E-23</v>
      </c>
      <c r="BA5" s="18">
        <v>-0.79700000000000004</v>
      </c>
      <c r="BB5" s="18">
        <v>-2.2309999999999999</v>
      </c>
      <c r="BC5" s="18">
        <v>1.843</v>
      </c>
      <c r="BD5" s="19">
        <f t="shared" si="9"/>
        <v>2.0150934750733138</v>
      </c>
      <c r="BE5" s="20">
        <f t="shared" si="10"/>
        <v>80.161290322580641</v>
      </c>
      <c r="BG5">
        <f>0.0001149*1000000</f>
        <v>114.9</v>
      </c>
      <c r="BH5">
        <f t="shared" si="11"/>
        <v>0.1149</v>
      </c>
      <c r="BI5" s="37">
        <f t="shared" si="12"/>
        <v>1.7200050000000001E-2</v>
      </c>
      <c r="BJ5" s="38">
        <f t="shared" si="13"/>
        <v>-0.55688971500000006</v>
      </c>
      <c r="BK5" s="19">
        <f t="shared" si="14"/>
        <v>-6.6826765800000008</v>
      </c>
      <c r="BL5">
        <f t="shared" si="15"/>
        <v>4.1363000000000001E-4</v>
      </c>
      <c r="BM5">
        <f t="shared" si="1"/>
        <v>-14.060002757453514</v>
      </c>
      <c r="BN5">
        <f t="shared" si="16"/>
        <v>3.4957977312130391E-7</v>
      </c>
      <c r="BO5" s="37">
        <f t="shared" si="17"/>
        <v>1.9419156396888432E-2</v>
      </c>
      <c r="BP5" s="19">
        <f t="shared" si="18"/>
        <v>-38.201945697462271</v>
      </c>
      <c r="BQ5" s="19">
        <f t="shared" si="19"/>
        <v>-458.42334836954728</v>
      </c>
    </row>
    <row r="6" spans="1:69" x14ac:dyDescent="0.35">
      <c r="A6" s="8" t="s">
        <v>60</v>
      </c>
      <c r="B6" s="7" t="s">
        <v>57</v>
      </c>
      <c r="C6">
        <v>35.95147</v>
      </c>
      <c r="D6">
        <v>-87.016109999999998</v>
      </c>
      <c r="E6" s="6">
        <v>44107</v>
      </c>
      <c r="F6" s="28">
        <v>44107.243055555555</v>
      </c>
      <c r="G6" t="str">
        <f t="shared" si="0"/>
        <v>05:50</v>
      </c>
      <c r="H6" s="19">
        <f t="shared" si="2"/>
        <v>1.2430555555547471</v>
      </c>
      <c r="I6" s="18">
        <v>12.78</v>
      </c>
      <c r="J6" s="18">
        <f t="shared" si="3"/>
        <v>285.92999999999995</v>
      </c>
      <c r="K6" s="18">
        <v>202</v>
      </c>
      <c r="L6" s="36">
        <v>0.09</v>
      </c>
      <c r="M6" s="18">
        <v>0.129</v>
      </c>
      <c r="N6" s="18">
        <v>7.21</v>
      </c>
      <c r="O6" s="18"/>
      <c r="P6" s="18">
        <v>731</v>
      </c>
      <c r="Q6" s="27">
        <f t="shared" si="4"/>
        <v>1.3297922078053634E-5</v>
      </c>
      <c r="R6" s="27">
        <f t="shared" si="5"/>
        <v>5.3617221818712257E-4</v>
      </c>
      <c r="S6">
        <v>1.4</v>
      </c>
      <c r="T6" s="26">
        <v>5.5440999999999997E-3</v>
      </c>
      <c r="U6" s="26">
        <v>5.6162E-3</v>
      </c>
      <c r="V6" s="36">
        <v>-2.2505595</v>
      </c>
      <c r="W6" s="5">
        <v>2.42</v>
      </c>
      <c r="X6">
        <v>35.6</v>
      </c>
      <c r="Y6" s="24">
        <v>28327</v>
      </c>
      <c r="Z6" s="5">
        <v>24.2</v>
      </c>
      <c r="AA6" s="23">
        <v>1840</v>
      </c>
      <c r="AB6" s="23">
        <v>4225</v>
      </c>
      <c r="AC6" s="24">
        <v>1705</v>
      </c>
      <c r="AD6" s="23">
        <v>82</v>
      </c>
      <c r="AE6" s="25">
        <v>1049</v>
      </c>
      <c r="AF6" s="3">
        <v>2.87</v>
      </c>
      <c r="AG6" s="5">
        <v>621</v>
      </c>
      <c r="AH6" s="2">
        <v>143</v>
      </c>
      <c r="AI6" s="2">
        <v>2.12</v>
      </c>
      <c r="AJ6" s="3">
        <v>1.4</v>
      </c>
      <c r="AK6" s="3">
        <v>0.61299999999999999</v>
      </c>
      <c r="AL6" s="4">
        <v>12.32</v>
      </c>
      <c r="AM6" s="3">
        <v>1.6</v>
      </c>
      <c r="AN6" s="3">
        <v>1.79</v>
      </c>
      <c r="AO6" s="22">
        <v>2466</v>
      </c>
      <c r="AP6" s="22">
        <v>356</v>
      </c>
      <c r="AQ6" s="22">
        <v>3454</v>
      </c>
      <c r="AR6" s="23">
        <v>23840</v>
      </c>
      <c r="AS6" s="23">
        <v>2850</v>
      </c>
      <c r="AT6">
        <v>-11.63</v>
      </c>
      <c r="AU6">
        <v>0.02</v>
      </c>
      <c r="AV6">
        <f>5.8886*10^-21</f>
        <v>5.8885999999999995E-21</v>
      </c>
      <c r="AW6">
        <f t="shared" si="6"/>
        <v>5.965151799999999E-21</v>
      </c>
      <c r="AX6">
        <f t="shared" si="7"/>
        <v>-20.224378500013167</v>
      </c>
      <c r="AY6">
        <f>6.5582*10^-24</f>
        <v>6.5582000000000011E-24</v>
      </c>
      <c r="AZ6">
        <f t="shared" si="8"/>
        <v>2.3281610000000004E-19</v>
      </c>
      <c r="BA6" s="18">
        <v>-0.88300000000000001</v>
      </c>
      <c r="BB6" s="18">
        <v>-2.423</v>
      </c>
      <c r="BC6" s="18">
        <v>1.39</v>
      </c>
      <c r="BD6" s="19">
        <f t="shared" si="9"/>
        <v>2.1686309992132178</v>
      </c>
      <c r="BE6" s="20">
        <f t="shared" si="10"/>
        <v>80.387096774193552</v>
      </c>
      <c r="BF6" s="18">
        <v>-11.67</v>
      </c>
      <c r="BG6">
        <f>0.0001717*1000000</f>
        <v>171.7</v>
      </c>
      <c r="BH6">
        <f t="shared" si="11"/>
        <v>0.17169999999999999</v>
      </c>
      <c r="BI6" s="37">
        <f t="shared" si="12"/>
        <v>1.9656700000000003E-2</v>
      </c>
      <c r="BJ6" s="38">
        <f t="shared" si="13"/>
        <v>-0.86664680999999999</v>
      </c>
      <c r="BK6" s="19">
        <f t="shared" si="14"/>
        <v>-10.399761720000001</v>
      </c>
      <c r="BL6">
        <f t="shared" si="15"/>
        <v>4.1363000000000001E-4</v>
      </c>
      <c r="BM6">
        <f t="shared" si="1"/>
        <v>-13.990735464168692</v>
      </c>
      <c r="BN6">
        <f t="shared" si="16"/>
        <v>3.6198110817197565E-7</v>
      </c>
      <c r="BO6" s="37">
        <f t="shared" si="17"/>
        <v>2.0108050558953244E-2</v>
      </c>
      <c r="BP6" s="19">
        <f t="shared" si="18"/>
        <v>-59.39325769218604</v>
      </c>
      <c r="BQ6" s="19">
        <f t="shared" si="19"/>
        <v>-712.71909230623248</v>
      </c>
    </row>
    <row r="7" spans="1:69" x14ac:dyDescent="0.35">
      <c r="A7" s="8" t="s">
        <v>61</v>
      </c>
      <c r="B7" s="7" t="s">
        <v>57</v>
      </c>
      <c r="C7">
        <v>35.95147</v>
      </c>
      <c r="D7">
        <v>-87.016109999999998</v>
      </c>
      <c r="E7" s="6">
        <v>44107</v>
      </c>
      <c r="F7" s="28">
        <v>44107.409722222219</v>
      </c>
      <c r="G7" t="str">
        <f t="shared" si="0"/>
        <v>09:50</v>
      </c>
      <c r="H7" s="19">
        <f t="shared" si="2"/>
        <v>1.4097222222189885</v>
      </c>
      <c r="I7" s="18">
        <v>13.58</v>
      </c>
      <c r="J7" s="18">
        <f t="shared" si="3"/>
        <v>286.72999999999996</v>
      </c>
      <c r="K7" s="18">
        <v>202.2</v>
      </c>
      <c r="L7" s="36">
        <v>0.02</v>
      </c>
      <c r="M7" s="18"/>
      <c r="N7" s="18">
        <v>7.4</v>
      </c>
      <c r="O7" s="18"/>
      <c r="P7" s="18">
        <v>699</v>
      </c>
      <c r="Q7" s="27">
        <f t="shared" si="4"/>
        <v>5.2677071328755958E-7</v>
      </c>
      <c r="R7" s="27">
        <f t="shared" si="5"/>
        <v>2.1239395159754403E-5</v>
      </c>
      <c r="S7">
        <v>2.1</v>
      </c>
      <c r="T7" s="26">
        <v>3.6649999999999999E-3</v>
      </c>
      <c r="U7" s="26">
        <v>3.7125999999999999E-3</v>
      </c>
      <c r="V7" s="36">
        <v>-2.4303165999999998</v>
      </c>
      <c r="W7" s="5">
        <v>1.83</v>
      </c>
      <c r="X7">
        <v>38.119999999999997</v>
      </c>
      <c r="Y7" s="24">
        <v>28230</v>
      </c>
      <c r="Z7" s="5">
        <v>22.9</v>
      </c>
      <c r="AA7" s="23">
        <v>1733</v>
      </c>
      <c r="AB7" s="23">
        <v>4193</v>
      </c>
      <c r="AC7" s="24">
        <v>1718</v>
      </c>
      <c r="AD7" s="23">
        <v>85</v>
      </c>
      <c r="AE7" s="25">
        <v>1163</v>
      </c>
      <c r="AF7" s="3">
        <v>3.24</v>
      </c>
      <c r="AG7" s="5">
        <v>641</v>
      </c>
      <c r="AH7" s="2">
        <v>141</v>
      </c>
      <c r="AI7" s="2">
        <v>2.14</v>
      </c>
      <c r="AJ7" s="3">
        <v>1.0900000000000001</v>
      </c>
      <c r="AK7" s="3">
        <v>0.57899999999999996</v>
      </c>
      <c r="AL7" s="4">
        <v>10.67</v>
      </c>
      <c r="AM7" s="3">
        <v>1.78</v>
      </c>
      <c r="AN7" s="3">
        <v>1.86</v>
      </c>
      <c r="AO7" s="22">
        <v>2365</v>
      </c>
      <c r="AP7" s="22">
        <v>352</v>
      </c>
      <c r="AQ7" s="22">
        <v>3538</v>
      </c>
      <c r="AR7" s="23">
        <v>22980</v>
      </c>
      <c r="AS7" s="23">
        <v>2896</v>
      </c>
      <c r="AT7">
        <v>-10.98</v>
      </c>
      <c r="AU7">
        <v>0.03</v>
      </c>
      <c r="AV7">
        <f>1.9419*10^-25</f>
        <v>1.9418999999999997E-25</v>
      </c>
      <c r="AW7">
        <f t="shared" si="6"/>
        <v>1.9671446999999996E-25</v>
      </c>
      <c r="AX7">
        <f t="shared" si="7"/>
        <v>-24.706163692902127</v>
      </c>
      <c r="AY7">
        <f>2.2234*10^-28</f>
        <v>2.2234000000000001E-28</v>
      </c>
      <c r="AZ7">
        <f t="shared" si="8"/>
        <v>7.8930700000000007E-24</v>
      </c>
      <c r="BA7" s="18">
        <v>-0.67700000000000005</v>
      </c>
      <c r="BB7" s="18">
        <v>-1.9990000000000001</v>
      </c>
      <c r="BC7" s="18">
        <v>2.4119999999999999</v>
      </c>
      <c r="BD7" s="19">
        <f t="shared" si="9"/>
        <v>2.068584440227704</v>
      </c>
      <c r="BE7" s="20">
        <f t="shared" si="10"/>
        <v>79.483870967741936</v>
      </c>
      <c r="BG7">
        <f>0.0002191*1000000</f>
        <v>219.10000000000002</v>
      </c>
      <c r="BH7">
        <f t="shared" si="11"/>
        <v>0.21910000000000002</v>
      </c>
      <c r="BI7" s="37">
        <f t="shared" si="12"/>
        <v>1.29941E-2</v>
      </c>
      <c r="BJ7" s="38">
        <f t="shared" si="13"/>
        <v>-1.17480363</v>
      </c>
      <c r="BK7" s="19">
        <f t="shared" si="14"/>
        <v>-14.09764356</v>
      </c>
      <c r="BL7">
        <f t="shared" si="15"/>
        <v>4.1363000000000001E-4</v>
      </c>
      <c r="BM7">
        <f t="shared" si="1"/>
        <v>-14.04168428247019</v>
      </c>
      <c r="BN7">
        <f t="shared" si="16"/>
        <v>3.528175073636509E-7</v>
      </c>
      <c r="BO7" s="37">
        <f t="shared" si="17"/>
        <v>1.9599012534050806E-2</v>
      </c>
      <c r="BP7" s="19">
        <f t="shared" si="18"/>
        <v>-80.4682826634441</v>
      </c>
      <c r="BQ7" s="19">
        <f t="shared" si="19"/>
        <v>-965.61939196132926</v>
      </c>
    </row>
    <row r="8" spans="1:69" x14ac:dyDescent="0.35">
      <c r="A8" s="8" t="s">
        <v>62</v>
      </c>
      <c r="B8" s="7" t="s">
        <v>57</v>
      </c>
      <c r="C8">
        <v>35.95147</v>
      </c>
      <c r="D8">
        <v>-87.016109999999998</v>
      </c>
      <c r="E8" s="6">
        <v>44107</v>
      </c>
      <c r="F8" s="28">
        <v>44107.579861111109</v>
      </c>
      <c r="G8" t="str">
        <f t="shared" si="0"/>
        <v>13:55</v>
      </c>
      <c r="H8" s="19">
        <f t="shared" si="2"/>
        <v>1.5798611111094942</v>
      </c>
      <c r="I8" s="18">
        <v>17.47</v>
      </c>
      <c r="J8" s="18">
        <f t="shared" si="3"/>
        <v>290.62</v>
      </c>
      <c r="K8" s="18">
        <v>203.5</v>
      </c>
      <c r="L8" s="36">
        <v>0.09</v>
      </c>
      <c r="M8" s="18">
        <v>0.13</v>
      </c>
      <c r="N8" s="18">
        <v>7.6</v>
      </c>
      <c r="O8" s="18"/>
      <c r="P8" s="18">
        <v>681</v>
      </c>
      <c r="Q8" s="27">
        <f t="shared" si="4"/>
        <v>2.02025134887062E-7</v>
      </c>
      <c r="R8" s="27">
        <f t="shared" si="5"/>
        <v>8.1456534386463408E-6</v>
      </c>
      <c r="S8">
        <v>2.2999999999999998</v>
      </c>
      <c r="T8" s="26">
        <v>2.5094000000000002E-3</v>
      </c>
      <c r="U8" s="26">
        <v>2.542E-3</v>
      </c>
      <c r="V8" s="36">
        <v>-2.5948207000000001</v>
      </c>
      <c r="W8" s="5">
        <v>1.72</v>
      </c>
      <c r="X8">
        <v>38.81</v>
      </c>
      <c r="Y8" s="24">
        <v>27871</v>
      </c>
      <c r="Z8" s="5">
        <v>22.8</v>
      </c>
      <c r="AA8" s="23">
        <v>1770</v>
      </c>
      <c r="AB8" s="23">
        <v>4127</v>
      </c>
      <c r="AC8" s="24">
        <v>1894</v>
      </c>
      <c r="AD8" s="23">
        <v>84</v>
      </c>
      <c r="AE8" s="25">
        <v>1182</v>
      </c>
      <c r="AF8" s="3">
        <v>4.87</v>
      </c>
      <c r="AG8" s="5">
        <v>659</v>
      </c>
      <c r="AH8" s="2">
        <v>140</v>
      </c>
      <c r="AI8" s="2">
        <v>1.96</v>
      </c>
      <c r="AJ8" s="3">
        <v>1.1599999999999999</v>
      </c>
      <c r="AK8" s="3">
        <v>0.91800000000000004</v>
      </c>
      <c r="AL8" s="4">
        <v>15.08</v>
      </c>
      <c r="AM8" s="3">
        <v>1.87</v>
      </c>
      <c r="AN8" s="3">
        <v>2.11</v>
      </c>
      <c r="AO8" s="22">
        <v>2571</v>
      </c>
      <c r="AP8" s="22">
        <v>361</v>
      </c>
      <c r="AQ8" s="22">
        <v>3592</v>
      </c>
      <c r="AR8" s="23">
        <v>22860</v>
      </c>
      <c r="AS8" s="23">
        <v>3010</v>
      </c>
      <c r="AT8">
        <v>-10.75</v>
      </c>
      <c r="AU8">
        <v>0.03</v>
      </c>
      <c r="AV8">
        <f>7.2403*10^-27</f>
        <v>7.2403000000000004E-27</v>
      </c>
      <c r="AW8">
        <f t="shared" si="6"/>
        <v>7.3344239E-27</v>
      </c>
      <c r="AX8">
        <f t="shared" si="7"/>
        <v>-26.134633993187698</v>
      </c>
      <c r="AY8">
        <f>8.3411*10^-30</f>
        <v>8.3411E-30</v>
      </c>
      <c r="AZ8">
        <f t="shared" si="8"/>
        <v>2.9610905000000001E-25</v>
      </c>
      <c r="BA8" s="18">
        <v>-0.41199999999999998</v>
      </c>
      <c r="BB8" s="18">
        <v>-1.407</v>
      </c>
      <c r="BC8" s="18">
        <v>3.4129999999999998</v>
      </c>
      <c r="BD8" s="19">
        <f t="shared" si="9"/>
        <v>2.1467300307219661</v>
      </c>
      <c r="BE8" s="20">
        <f t="shared" si="10"/>
        <v>81.516129032258064</v>
      </c>
      <c r="BF8" s="18">
        <v>-12.170999999999999</v>
      </c>
      <c r="BG8">
        <f>0.0002287*1000000</f>
        <v>228.7</v>
      </c>
      <c r="BH8">
        <f t="shared" si="11"/>
        <v>0.22869999999999999</v>
      </c>
      <c r="BI8" s="37">
        <f t="shared" si="12"/>
        <v>8.8970000000000004E-3</v>
      </c>
      <c r="BJ8" s="38">
        <f t="shared" si="13"/>
        <v>-1.2528771000000001</v>
      </c>
      <c r="BK8" s="19">
        <f t="shared" si="14"/>
        <v>-15.034525200000001</v>
      </c>
      <c r="BL8">
        <f t="shared" si="15"/>
        <v>4.1363000000000001E-4</v>
      </c>
      <c r="BM8">
        <f t="shared" si="1"/>
        <v>-14.280865447408559</v>
      </c>
      <c r="BN8">
        <f t="shared" si="16"/>
        <v>3.1280435772913821E-7</v>
      </c>
      <c r="BO8" s="37">
        <f t="shared" si="17"/>
        <v>1.7376282071853627E-2</v>
      </c>
      <c r="BP8" s="19">
        <f t="shared" si="18"/>
        <v>-85.795838447809572</v>
      </c>
      <c r="BQ8" s="19">
        <f t="shared" si="19"/>
        <v>-1029.5500613737149</v>
      </c>
    </row>
    <row r="9" spans="1:69" x14ac:dyDescent="0.35">
      <c r="A9" s="8" t="s">
        <v>63</v>
      </c>
      <c r="B9" s="7" t="s">
        <v>57</v>
      </c>
      <c r="C9">
        <v>35.95147</v>
      </c>
      <c r="D9">
        <v>-87.016109999999998</v>
      </c>
      <c r="E9" s="6">
        <v>44107</v>
      </c>
      <c r="F9" s="28">
        <v>44107.756249999999</v>
      </c>
      <c r="G9" t="str">
        <f t="shared" si="0"/>
        <v>18:09</v>
      </c>
      <c r="H9" s="19">
        <f t="shared" si="2"/>
        <v>1.7562499999985448</v>
      </c>
      <c r="I9" s="18">
        <v>16.91</v>
      </c>
      <c r="J9" s="18">
        <f t="shared" si="3"/>
        <v>290.06</v>
      </c>
      <c r="K9" s="18">
        <v>199.6</v>
      </c>
      <c r="L9" s="36">
        <v>0.09</v>
      </c>
      <c r="M9" s="18">
        <v>0.1275</v>
      </c>
      <c r="N9" s="18">
        <v>7.42</v>
      </c>
      <c r="O9" s="18"/>
      <c r="P9" s="18">
        <v>770</v>
      </c>
      <c r="Q9" s="27">
        <f t="shared" si="4"/>
        <v>3.9711740228243274E-2</v>
      </c>
      <c r="R9" s="27">
        <f t="shared" si="5"/>
        <v>1.6011773660027691</v>
      </c>
      <c r="S9">
        <v>1.8</v>
      </c>
      <c r="T9" s="26">
        <v>3.6080000000000001E-3</v>
      </c>
      <c r="U9" s="26">
        <v>3.6549E-3</v>
      </c>
      <c r="V9" s="36">
        <v>-2.4371239999999998</v>
      </c>
      <c r="W9" s="5">
        <v>1.71</v>
      </c>
      <c r="X9">
        <v>35.79</v>
      </c>
      <c r="Y9" s="24">
        <v>27257</v>
      </c>
      <c r="Z9" s="5">
        <v>23.6</v>
      </c>
      <c r="AA9" s="23">
        <v>1679</v>
      </c>
      <c r="AB9" s="23">
        <v>4045</v>
      </c>
      <c r="AC9" s="24">
        <v>1791</v>
      </c>
      <c r="AD9" s="23">
        <v>83</v>
      </c>
      <c r="AE9" s="25">
        <v>1232</v>
      </c>
      <c r="AF9" s="3">
        <v>4.29</v>
      </c>
      <c r="AG9" s="5">
        <v>689</v>
      </c>
      <c r="AH9" s="2">
        <v>136</v>
      </c>
      <c r="AI9" s="2">
        <v>1.93</v>
      </c>
      <c r="AJ9" s="3">
        <v>1.24</v>
      </c>
      <c r="AK9" s="3">
        <v>0.95599999999999996</v>
      </c>
      <c r="AL9" s="4">
        <v>12.26</v>
      </c>
      <c r="AM9" s="3">
        <v>1.61</v>
      </c>
      <c r="AN9" s="3">
        <v>1.91</v>
      </c>
      <c r="AO9" s="22">
        <v>2582</v>
      </c>
      <c r="AP9" s="22">
        <v>336</v>
      </c>
      <c r="AQ9" s="22">
        <v>3666</v>
      </c>
      <c r="AR9" s="23">
        <v>22480</v>
      </c>
      <c r="AS9" s="23">
        <v>2842</v>
      </c>
      <c r="AV9">
        <f>6.3974*10^-26</f>
        <v>6.3974E-26</v>
      </c>
      <c r="AW9">
        <f t="shared" si="6"/>
        <v>6.4805661999999993E-26</v>
      </c>
      <c r="AX9">
        <f t="shared" si="7"/>
        <v>-25.188387048636592</v>
      </c>
      <c r="AY9">
        <f>7.4614*10^-29</f>
        <v>7.4614000000000004E-29</v>
      </c>
      <c r="AZ9">
        <f t="shared" si="8"/>
        <v>2.6487970000000003E-24</v>
      </c>
      <c r="BA9" s="18">
        <v>-0.627</v>
      </c>
      <c r="BB9" s="18">
        <v>-1.8440000000000001</v>
      </c>
      <c r="BC9" s="18">
        <v>2.4969999999999999</v>
      </c>
      <c r="BD9" s="19">
        <f t="shared" si="9"/>
        <v>2.0221375825884182</v>
      </c>
      <c r="BE9" s="20">
        <f t="shared" si="10"/>
        <v>75.870967741935488</v>
      </c>
      <c r="BG9">
        <f>0.0002626*1000000</f>
        <v>262.59999999999997</v>
      </c>
      <c r="BH9">
        <f t="shared" si="11"/>
        <v>0.26259999999999994</v>
      </c>
      <c r="BI9" s="37">
        <f t="shared" si="12"/>
        <v>1.279215E-2</v>
      </c>
      <c r="BJ9" s="38">
        <f t="shared" si="13"/>
        <v>-1.4239047449999997</v>
      </c>
      <c r="BK9" s="19">
        <f t="shared" si="14"/>
        <v>-17.086856939999997</v>
      </c>
      <c r="BL9">
        <f t="shared" si="15"/>
        <v>4.1363000000000001E-4</v>
      </c>
      <c r="BM9">
        <f t="shared" si="1"/>
        <v>-14.24729314254661</v>
      </c>
      <c r="BN9">
        <f t="shared" si="16"/>
        <v>3.18134394021676E-7</v>
      </c>
      <c r="BO9" s="37">
        <f t="shared" si="17"/>
        <v>1.7672365587904103E-2</v>
      </c>
      <c r="BP9" s="19">
        <f t="shared" si="18"/>
        <v>-97.495817041851055</v>
      </c>
      <c r="BQ9" s="19">
        <f t="shared" si="19"/>
        <v>-1169.9498045022126</v>
      </c>
    </row>
    <row r="10" spans="1:69" x14ac:dyDescent="0.35">
      <c r="A10" s="8" t="s">
        <v>64</v>
      </c>
      <c r="B10" s="7" t="s">
        <v>57</v>
      </c>
      <c r="C10">
        <v>35.95147</v>
      </c>
      <c r="D10">
        <v>-87.016109999999998</v>
      </c>
      <c r="E10" s="6">
        <v>44107</v>
      </c>
      <c r="F10" s="28">
        <v>44107.916666666664</v>
      </c>
      <c r="G10" t="str">
        <f t="shared" si="0"/>
        <v>22:00</v>
      </c>
      <c r="H10" s="19">
        <f t="shared" si="2"/>
        <v>1.9166666666642413</v>
      </c>
      <c r="I10" s="18">
        <v>14.42</v>
      </c>
      <c r="J10" s="18">
        <f t="shared" si="3"/>
        <v>287.57</v>
      </c>
      <c r="K10" s="18">
        <v>204.2</v>
      </c>
      <c r="L10" s="36">
        <v>0.09</v>
      </c>
      <c r="M10" s="18">
        <v>0.13</v>
      </c>
      <c r="N10" s="18">
        <v>7.3</v>
      </c>
      <c r="O10" s="18"/>
      <c r="P10" s="18">
        <v>724</v>
      </c>
      <c r="Q10" s="27">
        <f t="shared" si="4"/>
        <v>1.0252052247486532E-5</v>
      </c>
      <c r="R10" s="27">
        <f t="shared" si="5"/>
        <v>4.13362746618657E-4</v>
      </c>
      <c r="S10">
        <v>3.1</v>
      </c>
      <c r="T10" s="26">
        <v>4.6181E-3</v>
      </c>
      <c r="U10" s="26">
        <v>4.6781000000000001E-3</v>
      </c>
      <c r="V10" s="36">
        <v>-2.3299272000000002</v>
      </c>
      <c r="W10" s="5">
        <v>1.67</v>
      </c>
      <c r="X10">
        <v>32.15</v>
      </c>
      <c r="Y10" s="24">
        <v>27698</v>
      </c>
      <c r="Z10" s="5">
        <v>24.5</v>
      </c>
      <c r="AA10" s="23">
        <v>1744</v>
      </c>
      <c r="AB10" s="23">
        <v>4112</v>
      </c>
      <c r="AC10" s="24">
        <v>1854</v>
      </c>
      <c r="AD10" s="23">
        <v>83</v>
      </c>
      <c r="AE10" s="25">
        <v>1252</v>
      </c>
      <c r="AF10" s="3">
        <v>3.47</v>
      </c>
      <c r="AG10" s="5">
        <v>724</v>
      </c>
      <c r="AH10" s="2">
        <v>139</v>
      </c>
      <c r="AI10" s="2">
        <v>1.85</v>
      </c>
      <c r="AJ10" s="3">
        <v>1.1499999999999999</v>
      </c>
      <c r="AK10" s="3">
        <v>0.76600000000000001</v>
      </c>
      <c r="AL10" s="4">
        <v>13.13</v>
      </c>
      <c r="AM10" s="3">
        <v>1.91</v>
      </c>
      <c r="AN10" s="3">
        <v>1.78</v>
      </c>
      <c r="AO10" s="22">
        <v>2458</v>
      </c>
      <c r="AP10" s="22">
        <v>341</v>
      </c>
      <c r="AQ10" s="22">
        <v>3580</v>
      </c>
      <c r="AR10" s="23">
        <v>23240</v>
      </c>
      <c r="AS10" s="23">
        <v>2822</v>
      </c>
      <c r="AV10">
        <f>4.9385*10^-27</f>
        <v>4.9385000000000003E-27</v>
      </c>
      <c r="AW10">
        <f t="shared" si="6"/>
        <v>5.0027004999999998E-27</v>
      </c>
      <c r="AX10">
        <f t="shared" si="7"/>
        <v>-26.300795496535095</v>
      </c>
      <c r="AY10">
        <f>5.7079*10^-30</f>
        <v>5.7078999999999997E-30</v>
      </c>
      <c r="AZ10">
        <f t="shared" si="8"/>
        <v>2.0263045E-25</v>
      </c>
      <c r="BA10" s="18">
        <v>-0.77600000000000002</v>
      </c>
      <c r="BB10" s="18">
        <v>-2.1829999999999998</v>
      </c>
      <c r="BC10" s="18">
        <v>1.867</v>
      </c>
      <c r="BD10" s="19">
        <f t="shared" si="9"/>
        <v>2.0522289156626505</v>
      </c>
      <c r="BE10" s="20">
        <f t="shared" si="10"/>
        <v>77</v>
      </c>
      <c r="BG10">
        <f>0.0001822*1000000</f>
        <v>182.20000000000002</v>
      </c>
      <c r="BH10">
        <f t="shared" si="11"/>
        <v>0.18220000000000003</v>
      </c>
      <c r="BI10" s="37">
        <f t="shared" si="12"/>
        <v>1.6373350000000002E-2</v>
      </c>
      <c r="BJ10" s="38">
        <f t="shared" si="13"/>
        <v>-0.94521190500000019</v>
      </c>
      <c r="BK10" s="19">
        <f t="shared" si="14"/>
        <v>-11.342542860000002</v>
      </c>
      <c r="BL10">
        <f t="shared" si="15"/>
        <v>4.1363000000000001E-4</v>
      </c>
      <c r="BM10">
        <f t="shared" si="1"/>
        <v>-14.094526253083085</v>
      </c>
      <c r="BN10">
        <f t="shared" si="16"/>
        <v>3.4355839652302463E-7</v>
      </c>
      <c r="BO10" s="37">
        <f t="shared" si="17"/>
        <v>1.908466892685402E-2</v>
      </c>
      <c r="BP10" s="19">
        <f t="shared" si="18"/>
        <v>-64.761276914883084</v>
      </c>
      <c r="BQ10" s="19">
        <f t="shared" si="19"/>
        <v>-777.13532297859706</v>
      </c>
    </row>
    <row r="11" spans="1:69" x14ac:dyDescent="0.35">
      <c r="A11" s="8" t="s">
        <v>65</v>
      </c>
      <c r="B11" s="7" t="s">
        <v>57</v>
      </c>
      <c r="C11">
        <v>35.95147</v>
      </c>
      <c r="D11">
        <v>-87.016109999999998</v>
      </c>
      <c r="E11" s="6">
        <v>44108</v>
      </c>
      <c r="F11" s="28">
        <v>44108.07708333333</v>
      </c>
      <c r="G11" t="str">
        <f t="shared" si="0"/>
        <v>01:51</v>
      </c>
      <c r="H11" s="19">
        <f t="shared" si="2"/>
        <v>2.0770833333299379</v>
      </c>
      <c r="I11" s="18">
        <v>15.16</v>
      </c>
      <c r="J11" s="18">
        <f t="shared" si="3"/>
        <v>288.31</v>
      </c>
      <c r="K11" s="18">
        <v>202</v>
      </c>
      <c r="L11" s="36">
        <v>0.09</v>
      </c>
      <c r="M11" s="18">
        <v>0.12909999999999999</v>
      </c>
      <c r="N11" s="18">
        <v>7.26</v>
      </c>
      <c r="O11" s="18"/>
      <c r="P11">
        <v>725</v>
      </c>
      <c r="Q11" s="27">
        <f t="shared" si="4"/>
        <v>8.2866382133487328E-6</v>
      </c>
      <c r="R11" s="27">
        <f t="shared" si="5"/>
        <v>3.3411725276222092E-4</v>
      </c>
      <c r="S11">
        <v>2</v>
      </c>
      <c r="T11" s="26">
        <v>5.1482999999999998E-3</v>
      </c>
      <c r="U11" s="26">
        <v>5.2151999999999997E-3</v>
      </c>
      <c r="V11" s="36">
        <v>-2.2827267</v>
      </c>
      <c r="W11" s="5">
        <v>1.68</v>
      </c>
      <c r="X11">
        <v>36.04</v>
      </c>
      <c r="Y11" s="24">
        <v>28001</v>
      </c>
      <c r="Z11" s="5">
        <v>24.3</v>
      </c>
      <c r="AA11" s="23">
        <v>1608</v>
      </c>
      <c r="AB11" s="23">
        <v>4157</v>
      </c>
      <c r="AC11" s="24">
        <v>1611</v>
      </c>
      <c r="AD11" s="23">
        <v>82</v>
      </c>
      <c r="AE11" s="25">
        <v>1159</v>
      </c>
      <c r="AF11" s="3">
        <v>2.98</v>
      </c>
      <c r="AG11" s="5">
        <v>747</v>
      </c>
      <c r="AH11" s="2">
        <v>140</v>
      </c>
      <c r="AI11" s="2">
        <v>1.9</v>
      </c>
      <c r="AJ11" s="3">
        <v>0.97299999999999998</v>
      </c>
      <c r="AK11" s="3">
        <v>0.67200000000000004</v>
      </c>
      <c r="AL11" s="4">
        <v>11.83</v>
      </c>
      <c r="AM11" s="3">
        <v>1.76</v>
      </c>
      <c r="AN11" s="3">
        <v>1.99</v>
      </c>
      <c r="AO11" s="22">
        <v>2346</v>
      </c>
      <c r="AP11" s="22">
        <v>352</v>
      </c>
      <c r="AQ11" s="22">
        <v>3567</v>
      </c>
      <c r="AR11" s="23">
        <v>23620</v>
      </c>
      <c r="AS11" s="23">
        <v>2820</v>
      </c>
      <c r="AV11">
        <f>2.8998*10^-25</f>
        <v>2.8997999999999995E-25</v>
      </c>
      <c r="AW11">
        <f t="shared" si="6"/>
        <v>2.9374973999999993E-25</v>
      </c>
      <c r="AX11">
        <f t="shared" si="7"/>
        <v>-24.532022509117194</v>
      </c>
      <c r="AY11">
        <f>3.2927*10^-28</f>
        <v>3.2927000000000003E-28</v>
      </c>
      <c r="AZ11">
        <f t="shared" si="8"/>
        <v>1.1689085000000002E-23</v>
      </c>
      <c r="BA11" s="18">
        <v>-0.79700000000000004</v>
      </c>
      <c r="BB11" s="18">
        <v>-2.2130000000000001</v>
      </c>
      <c r="BC11" s="18">
        <v>1.6879999999999999</v>
      </c>
      <c r="BD11" s="19">
        <f t="shared" si="9"/>
        <v>2.1442643587726198</v>
      </c>
      <c r="BE11" s="20">
        <f t="shared" si="10"/>
        <v>79.483870967741936</v>
      </c>
      <c r="BG11">
        <f>0.0002421*1000000</f>
        <v>242.1</v>
      </c>
      <c r="BH11">
        <f t="shared" si="11"/>
        <v>0.24209999999999998</v>
      </c>
      <c r="BI11" s="37">
        <f t="shared" si="12"/>
        <v>1.8253200000000001E-2</v>
      </c>
      <c r="BJ11" s="38">
        <f t="shared" si="13"/>
        <v>-1.2759267599999999</v>
      </c>
      <c r="BK11" s="19">
        <f t="shared" si="14"/>
        <v>-15.311121119999999</v>
      </c>
      <c r="BL11">
        <f t="shared" si="15"/>
        <v>4.1363000000000001E-4</v>
      </c>
      <c r="BM11">
        <f t="shared" si="1"/>
        <v>-14.140527627753197</v>
      </c>
      <c r="BN11">
        <f t="shared" si="16"/>
        <v>3.3569598093015853E-7</v>
      </c>
      <c r="BO11" s="37">
        <f t="shared" si="17"/>
        <v>1.8647911740670306E-2</v>
      </c>
      <c r="BP11" s="19">
        <f t="shared" si="18"/>
        <v>-87.379683480921813</v>
      </c>
      <c r="BQ11" s="19">
        <f t="shared" si="19"/>
        <v>-1048.5562017710618</v>
      </c>
    </row>
    <row r="12" spans="1:69" x14ac:dyDescent="0.35">
      <c r="A12" s="8" t="s">
        <v>66</v>
      </c>
      <c r="B12" s="7" t="s">
        <v>57</v>
      </c>
      <c r="C12">
        <v>35.95147</v>
      </c>
      <c r="D12">
        <v>-87.016109999999998</v>
      </c>
      <c r="E12" s="6">
        <v>44108</v>
      </c>
      <c r="F12" s="28">
        <v>44108.244444444441</v>
      </c>
      <c r="G12" t="str">
        <f t="shared" si="0"/>
        <v>05:52</v>
      </c>
      <c r="H12" s="19">
        <f t="shared" si="2"/>
        <v>2.2444444444408873</v>
      </c>
      <c r="I12" s="18">
        <v>14.55</v>
      </c>
      <c r="J12" s="18">
        <f t="shared" si="3"/>
        <v>287.7</v>
      </c>
      <c r="K12" s="18">
        <v>202.9</v>
      </c>
      <c r="L12" s="36">
        <v>0.09</v>
      </c>
      <c r="M12" s="18">
        <v>0.13</v>
      </c>
      <c r="N12" s="18">
        <v>7.32</v>
      </c>
      <c r="O12" s="18"/>
      <c r="P12">
        <v>759</v>
      </c>
      <c r="Q12" s="27">
        <f t="shared" si="4"/>
        <v>2.8554573360877237E-3</v>
      </c>
      <c r="R12" s="27">
        <f t="shared" si="5"/>
        <v>0.11513203979105703</v>
      </c>
      <c r="S12">
        <v>2.2999999999999998</v>
      </c>
      <c r="T12" s="26">
        <v>4.5471000000000001E-3</v>
      </c>
      <c r="U12" s="26">
        <v>4.6062000000000004E-3</v>
      </c>
      <c r="V12" s="36">
        <v>-2.3366560000000001</v>
      </c>
      <c r="W12" s="5">
        <v>1.61</v>
      </c>
      <c r="X12">
        <v>34.520000000000003</v>
      </c>
      <c r="Y12" s="24">
        <v>28216</v>
      </c>
      <c r="Z12" s="5">
        <v>22.7</v>
      </c>
      <c r="AA12" s="23">
        <v>1635</v>
      </c>
      <c r="AB12" s="23">
        <v>4195</v>
      </c>
      <c r="AC12" s="24">
        <v>1741</v>
      </c>
      <c r="AD12" s="23">
        <v>86</v>
      </c>
      <c r="AE12" s="25">
        <v>1099</v>
      </c>
      <c r="AF12" s="3">
        <v>2.68</v>
      </c>
      <c r="AG12" s="5">
        <v>772</v>
      </c>
      <c r="AH12" s="2">
        <v>139</v>
      </c>
      <c r="AI12" s="2">
        <v>1.88</v>
      </c>
      <c r="AJ12" s="3">
        <v>0.91700000000000004</v>
      </c>
      <c r="AK12" s="3">
        <v>0.56299999999999994</v>
      </c>
      <c r="AL12" s="4">
        <v>12.84</v>
      </c>
      <c r="AM12" s="3">
        <v>1.94</v>
      </c>
      <c r="AN12" s="3">
        <v>1.85</v>
      </c>
      <c r="AO12" s="22">
        <v>2384</v>
      </c>
      <c r="AP12" s="22">
        <v>355</v>
      </c>
      <c r="AQ12" s="22">
        <v>3437</v>
      </c>
      <c r="AR12" s="23">
        <v>23810</v>
      </c>
      <c r="AS12" s="23">
        <v>2469</v>
      </c>
      <c r="AT12">
        <v>-11.65</v>
      </c>
      <c r="AU12">
        <v>0.02</v>
      </c>
      <c r="AV12">
        <f>6.0503*10^-23</f>
        <v>6.0503000000000012E-23</v>
      </c>
      <c r="AW12">
        <f t="shared" si="6"/>
        <v>6.1289539000000012E-23</v>
      </c>
      <c r="AX12">
        <f t="shared" si="7"/>
        <v>-22.212613645257601</v>
      </c>
      <c r="AY12">
        <f>6.9171*10^-26</f>
        <v>6.9170999999999988E-26</v>
      </c>
      <c r="AZ12">
        <f t="shared" si="8"/>
        <v>2.4555704999999994E-21</v>
      </c>
      <c r="BA12" s="18">
        <v>-0.73299999999999998</v>
      </c>
      <c r="BB12" s="18">
        <v>-2.0939999999999999</v>
      </c>
      <c r="BC12" s="18">
        <v>2.056</v>
      </c>
      <c r="BD12" s="19">
        <f t="shared" si="9"/>
        <v>2.061956114028507</v>
      </c>
      <c r="BE12" s="20">
        <f t="shared" si="10"/>
        <v>80.161290322580641</v>
      </c>
      <c r="BG12">
        <f>0.0002175*1000000</f>
        <v>217.5</v>
      </c>
      <c r="BH12">
        <f t="shared" si="11"/>
        <v>0.2175</v>
      </c>
      <c r="BI12" s="37">
        <f t="shared" si="12"/>
        <v>1.6121700000000003E-2</v>
      </c>
      <c r="BJ12" s="38">
        <f t="shared" si="13"/>
        <v>-1.1478563100000001</v>
      </c>
      <c r="BK12" s="19">
        <f t="shared" si="14"/>
        <v>-13.774275720000002</v>
      </c>
      <c r="BL12">
        <f t="shared" si="15"/>
        <v>4.1363000000000001E-4</v>
      </c>
      <c r="BM12">
        <f t="shared" si="1"/>
        <v>-14.10264472220897</v>
      </c>
      <c r="BN12">
        <f t="shared" si="16"/>
        <v>3.4215755203056429E-7</v>
      </c>
      <c r="BO12" s="37">
        <f t="shared" si="17"/>
        <v>1.9006852015297847E-2</v>
      </c>
      <c r="BP12" s="19">
        <f t="shared" si="18"/>
        <v>-78.62171066048721</v>
      </c>
      <c r="BQ12" s="19">
        <f t="shared" si="19"/>
        <v>-943.46052792584646</v>
      </c>
    </row>
    <row r="13" spans="1:69" x14ac:dyDescent="0.35">
      <c r="A13" s="8" t="s">
        <v>67</v>
      </c>
      <c r="B13" s="7" t="s">
        <v>57</v>
      </c>
      <c r="C13">
        <v>35.95147</v>
      </c>
      <c r="D13">
        <v>-87.016109999999998</v>
      </c>
      <c r="E13" s="6">
        <v>44108</v>
      </c>
      <c r="F13" s="28">
        <v>44108.415277777778</v>
      </c>
      <c r="G13" t="str">
        <f t="shared" si="0"/>
        <v>09:58</v>
      </c>
      <c r="H13" s="19">
        <f t="shared" si="2"/>
        <v>2.4152777777781012</v>
      </c>
      <c r="I13" s="18">
        <v>15.76</v>
      </c>
      <c r="J13" s="18">
        <f t="shared" si="3"/>
        <v>288.90999999999997</v>
      </c>
      <c r="K13" s="18">
        <v>201.3</v>
      </c>
      <c r="L13" s="36">
        <v>0.09</v>
      </c>
      <c r="M13" s="18">
        <v>0.12889999999999999</v>
      </c>
      <c r="N13" s="18">
        <v>7.4</v>
      </c>
      <c r="O13" s="18"/>
      <c r="P13">
        <v>700</v>
      </c>
      <c r="Q13" s="27">
        <f t="shared" si="4"/>
        <v>6.1544491702613028E-7</v>
      </c>
      <c r="R13" s="27">
        <f t="shared" si="5"/>
        <v>2.4814739054493575E-5</v>
      </c>
      <c r="S13">
        <v>1.6</v>
      </c>
      <c r="T13" s="26">
        <v>3.8051000000000001E-3</v>
      </c>
      <c r="U13" s="26">
        <v>3.8546000000000001E-3</v>
      </c>
      <c r="V13" s="36">
        <v>-2.4140245</v>
      </c>
      <c r="W13" s="5">
        <v>1.75</v>
      </c>
      <c r="X13">
        <v>41.62</v>
      </c>
      <c r="Y13" s="24">
        <v>27863</v>
      </c>
      <c r="Z13" s="5">
        <v>24.8</v>
      </c>
      <c r="AA13" s="23">
        <v>1567</v>
      </c>
      <c r="AB13" s="23">
        <v>4146</v>
      </c>
      <c r="AC13" s="24">
        <v>1601</v>
      </c>
      <c r="AD13" s="23">
        <v>85</v>
      </c>
      <c r="AE13" s="25">
        <v>1148</v>
      </c>
      <c r="AF13" s="3">
        <v>5.25</v>
      </c>
      <c r="AG13" s="5">
        <v>799</v>
      </c>
      <c r="AH13" s="2">
        <v>140</v>
      </c>
      <c r="AI13" s="2">
        <v>2.16</v>
      </c>
      <c r="AJ13" s="3">
        <v>1.1100000000000001</v>
      </c>
      <c r="AK13" s="3">
        <v>0.93600000000000005</v>
      </c>
      <c r="AL13" s="4">
        <v>14.36</v>
      </c>
      <c r="AM13" s="3">
        <v>2.0299999999999998</v>
      </c>
      <c r="AN13" s="3">
        <v>2.27</v>
      </c>
      <c r="AO13" s="22">
        <v>2441</v>
      </c>
      <c r="AP13" s="22">
        <v>352</v>
      </c>
      <c r="AQ13" s="22">
        <v>3425</v>
      </c>
      <c r="AR13" s="23">
        <v>23120</v>
      </c>
      <c r="AS13" s="23">
        <v>2824</v>
      </c>
      <c r="AV13">
        <f>3.5237*10^-26</f>
        <v>3.5236999999999996E-26</v>
      </c>
      <c r="AW13">
        <f t="shared" si="6"/>
        <v>3.5695080999999995E-26</v>
      </c>
      <c r="AX13">
        <f t="shared" si="7"/>
        <v>-25.447391628194445</v>
      </c>
      <c r="AY13">
        <f>3.9747*10^-29</f>
        <v>3.9747000000000003E-29</v>
      </c>
      <c r="AZ13">
        <f t="shared" si="8"/>
        <v>1.4110185000000001E-24</v>
      </c>
      <c r="BA13" s="18">
        <v>-0.64500000000000002</v>
      </c>
      <c r="BB13" s="18">
        <v>-1.8979999999999999</v>
      </c>
      <c r="BC13" s="18">
        <v>2.4430000000000001</v>
      </c>
      <c r="BD13" s="19">
        <f t="shared" si="9"/>
        <v>2.068584440227704</v>
      </c>
      <c r="BE13" s="20">
        <f t="shared" si="10"/>
        <v>79.483870967741936</v>
      </c>
      <c r="BG13">
        <f>0.0001762*1000000</f>
        <v>176.2</v>
      </c>
      <c r="BH13">
        <f t="shared" si="11"/>
        <v>0.1762</v>
      </c>
      <c r="BI13" s="37">
        <f t="shared" si="12"/>
        <v>1.3491100000000001E-2</v>
      </c>
      <c r="BJ13" s="38">
        <f t="shared" si="13"/>
        <v>-0.92744072999999994</v>
      </c>
      <c r="BK13" s="19">
        <f t="shared" si="14"/>
        <v>-11.12928876</v>
      </c>
      <c r="BL13">
        <f t="shared" si="15"/>
        <v>4.1363000000000001E-4</v>
      </c>
      <c r="BM13">
        <f t="shared" si="1"/>
        <v>-14.177451289867944</v>
      </c>
      <c r="BN13">
        <f t="shared" si="16"/>
        <v>3.2951547358118392E-7</v>
      </c>
      <c r="BO13" s="37">
        <f t="shared" si="17"/>
        <v>1.8304584557434764E-2</v>
      </c>
      <c r="BP13" s="19">
        <f t="shared" si="18"/>
        <v>-63.541282063977377</v>
      </c>
      <c r="BQ13" s="19">
        <f t="shared" si="19"/>
        <v>-762.49538476772852</v>
      </c>
    </row>
    <row r="14" spans="1:69" x14ac:dyDescent="0.35">
      <c r="A14" s="8" t="s">
        <v>68</v>
      </c>
      <c r="B14" s="7" t="s">
        <v>57</v>
      </c>
      <c r="C14">
        <v>35.95147</v>
      </c>
      <c r="D14">
        <v>-87.016109999999998</v>
      </c>
      <c r="E14" s="6">
        <v>44108</v>
      </c>
      <c r="F14" s="28">
        <v>44108.581944444442</v>
      </c>
      <c r="G14" t="str">
        <f t="shared" si="0"/>
        <v>13:58</v>
      </c>
      <c r="H14" s="19">
        <f t="shared" si="2"/>
        <v>2.5819444444423425</v>
      </c>
      <c r="I14" s="18">
        <v>18.649999999999999</v>
      </c>
      <c r="J14" s="18">
        <f t="shared" si="3"/>
        <v>291.79999999999995</v>
      </c>
      <c r="K14" s="18">
        <v>202.6</v>
      </c>
      <c r="L14" s="36">
        <v>0.09</v>
      </c>
      <c r="M14" s="18">
        <v>0.1298</v>
      </c>
      <c r="N14" s="18">
        <v>7.66</v>
      </c>
      <c r="O14" s="18"/>
      <c r="P14">
        <v>674</v>
      </c>
      <c r="Q14" s="27">
        <f t="shared" si="4"/>
        <v>1.181496480935147E-7</v>
      </c>
      <c r="R14" s="27">
        <f t="shared" si="5"/>
        <v>4.7637938111305131E-6</v>
      </c>
      <c r="S14">
        <v>2.2999999999999998</v>
      </c>
      <c r="T14" s="26">
        <v>2.2309999999999999E-3</v>
      </c>
      <c r="U14" s="26">
        <v>2.2599999999999999E-3</v>
      </c>
      <c r="V14" s="36">
        <v>-2.6458910000000002</v>
      </c>
      <c r="W14" s="5">
        <v>1.7153117340036299</v>
      </c>
      <c r="X14">
        <v>40.22</v>
      </c>
      <c r="Y14" s="24">
        <v>27542</v>
      </c>
      <c r="Z14" s="5">
        <v>24.6</v>
      </c>
      <c r="AA14" s="23">
        <v>1586</v>
      </c>
      <c r="AB14" s="23">
        <v>4083.9999999999995</v>
      </c>
      <c r="AC14" s="24">
        <v>1567</v>
      </c>
      <c r="AD14" s="23">
        <v>85</v>
      </c>
      <c r="AE14" s="25">
        <v>1208</v>
      </c>
      <c r="AF14" s="3">
        <v>4.71</v>
      </c>
      <c r="AG14" s="5">
        <v>806</v>
      </c>
      <c r="AH14" s="2">
        <v>140</v>
      </c>
      <c r="AI14" s="2">
        <v>2.0299999999999998</v>
      </c>
      <c r="AJ14" s="3">
        <v>1.08</v>
      </c>
      <c r="AK14" s="3">
        <v>0.90900000000000003</v>
      </c>
      <c r="AL14" s="4">
        <v>11.76</v>
      </c>
      <c r="AM14" s="3">
        <v>1.85</v>
      </c>
      <c r="AN14" s="3">
        <v>1.99</v>
      </c>
      <c r="AO14" s="22">
        <v>2375</v>
      </c>
      <c r="AP14" s="22">
        <v>347</v>
      </c>
      <c r="AQ14" s="22">
        <v>3386</v>
      </c>
      <c r="AR14" s="23">
        <v>22790</v>
      </c>
      <c r="AS14" s="23">
        <v>2726</v>
      </c>
      <c r="AT14">
        <v>-10.62</v>
      </c>
      <c r="AU14">
        <v>0.04</v>
      </c>
      <c r="AV14">
        <f>7.1209*10^-26</f>
        <v>7.1208999999999995E-26</v>
      </c>
      <c r="AW14">
        <f t="shared" si="6"/>
        <v>7.2134716999999992E-26</v>
      </c>
      <c r="AX14">
        <f t="shared" si="7"/>
        <v>-25.141855667697772</v>
      </c>
      <c r="AY14">
        <f>7.7812*10^-29</f>
        <v>7.7812000000000007E-29</v>
      </c>
      <c r="AZ14">
        <f t="shared" si="8"/>
        <v>2.7623260000000003E-24</v>
      </c>
      <c r="BA14" s="18">
        <v>-0.33700000000000002</v>
      </c>
      <c r="BB14" s="18">
        <v>-1.238</v>
      </c>
      <c r="BC14" s="18">
        <v>3.7120000000000002</v>
      </c>
      <c r="BD14" s="19">
        <f t="shared" si="9"/>
        <v>2.0392011385199242</v>
      </c>
      <c r="BE14" s="20">
        <f t="shared" si="10"/>
        <v>78.354838709677423</v>
      </c>
      <c r="BF14" s="18">
        <v>-11.67</v>
      </c>
      <c r="BG14">
        <f>0.000165*1000000</f>
        <v>165</v>
      </c>
      <c r="BH14">
        <f t="shared" si="11"/>
        <v>0.16500000000000001</v>
      </c>
      <c r="BI14" s="37">
        <f t="shared" si="12"/>
        <v>7.9100000000000004E-3</v>
      </c>
      <c r="BJ14" s="38">
        <f t="shared" si="13"/>
        <v>-0.89541300000000013</v>
      </c>
      <c r="BK14" s="19">
        <f t="shared" si="14"/>
        <v>-10.744956000000002</v>
      </c>
      <c r="BL14">
        <f t="shared" si="15"/>
        <v>4.1363000000000001E-4</v>
      </c>
      <c r="BM14">
        <f t="shared" si="1"/>
        <v>-14.350679764315947</v>
      </c>
      <c r="BN14">
        <f t="shared" si="16"/>
        <v>3.0200464573138859E-7</v>
      </c>
      <c r="BO14" s="37">
        <f t="shared" si="17"/>
        <v>1.6776358070378635E-2</v>
      </c>
      <c r="BP14" s="19">
        <f t="shared" si="18"/>
        <v>-61.341874441001174</v>
      </c>
      <c r="BQ14" s="19">
        <f t="shared" si="19"/>
        <v>-736.10249329201406</v>
      </c>
    </row>
    <row r="15" spans="1:69" x14ac:dyDescent="0.35">
      <c r="A15" s="8" t="s">
        <v>69</v>
      </c>
      <c r="F15" s="28">
        <v>44106.811111111114</v>
      </c>
      <c r="H15" s="19">
        <f t="shared" si="2"/>
        <v>0.81111111111385981</v>
      </c>
    </row>
    <row r="16" spans="1:69" x14ac:dyDescent="0.35">
      <c r="A16" s="8" t="s">
        <v>70</v>
      </c>
      <c r="F16" s="28">
        <v>44107.322222222225</v>
      </c>
      <c r="H16" s="19">
        <f t="shared" si="2"/>
        <v>1.3222222222248092</v>
      </c>
      <c r="L16" s="19">
        <f>AVERAGE(L3:L14)</f>
        <v>7.8333333333333324E-2</v>
      </c>
      <c r="S16" s="35">
        <f>AVERAGE(S3:S14)</f>
        <v>1.9333333333333336</v>
      </c>
    </row>
    <row r="17" spans="1:33" x14ac:dyDescent="0.35">
      <c r="A17" s="8" t="s">
        <v>69</v>
      </c>
      <c r="F17" s="28">
        <v>44107.810416666667</v>
      </c>
      <c r="H17" s="19">
        <f t="shared" si="2"/>
        <v>1.8104166666671517</v>
      </c>
      <c r="L17" s="19">
        <f>_xlfn.STDEV.S(L3:L14)</f>
        <v>2.7247463045653307E-2</v>
      </c>
      <c r="S17" s="35">
        <f>_xlfn.STDEV.S(S3:S14)</f>
        <v>0.52627910557963031</v>
      </c>
    </row>
    <row r="18" spans="1:33" x14ac:dyDescent="0.35">
      <c r="A18" s="8" t="s">
        <v>70</v>
      </c>
      <c r="F18" s="28">
        <v>44108.322916666664</v>
      </c>
      <c r="H18" s="19">
        <f t="shared" si="2"/>
        <v>2.3229166666642413</v>
      </c>
      <c r="AG18" s="2"/>
    </row>
    <row r="19" spans="1:33" x14ac:dyDescent="0.35">
      <c r="AF19" s="2"/>
    </row>
  </sheetData>
  <pageMargins left="0.7" right="0.7" top="0.75" bottom="0.75" header="0.3" footer="0.3"/>
  <pageSetup orientation="portrait" horizontalDpi="1200" verticalDpi="1200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1B3A4E2-F548-4CDE-B30A-8E22F108A6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Sheet2!I3:I14</xm:f>
              <xm:sqref>I15</xm:sqref>
            </x14:sparkline>
            <x14:sparkline>
              <xm:f>Sheet2!J3:J14</xm:f>
              <xm:sqref>J15</xm:sqref>
            </x14:sparkline>
            <x14:sparkline>
              <xm:f>Sheet2!K3:K14</xm:f>
              <xm:sqref>K15</xm:sqref>
            </x14:sparkline>
            <x14:sparkline>
              <xm:f>Sheet2!L3:L14</xm:f>
              <xm:sqref>L15</xm:sqref>
            </x14:sparkline>
            <x14:sparkline>
              <xm:f>Sheet2!M3:M14</xm:f>
              <xm:sqref>M15</xm:sqref>
            </x14:sparkline>
            <x14:sparkline>
              <xm:f>Sheet2!N3:N14</xm:f>
              <xm:sqref>N15</xm:sqref>
            </x14:sparkline>
            <x14:sparkline>
              <xm:f>Sheet2!O3:O14</xm:f>
              <xm:sqref>O15</xm:sqref>
            </x14:sparkline>
            <x14:sparkline>
              <xm:f>Sheet2!P3:P14</xm:f>
              <xm:sqref>P15</xm:sqref>
            </x14:sparkline>
            <x14:sparkline>
              <xm:f>Sheet2!Q3:Q14</xm:f>
              <xm:sqref>Q15</xm:sqref>
            </x14:sparkline>
            <x14:sparkline>
              <xm:f>Sheet2!R3:R14</xm:f>
              <xm:sqref>R15</xm:sqref>
            </x14:sparkline>
            <x14:sparkline>
              <xm:f>Sheet2!S3:S14</xm:f>
              <xm:sqref>S15</xm:sqref>
            </x14:sparkline>
            <x14:sparkline>
              <xm:f>Sheet2!T3:T14</xm:f>
              <xm:sqref>T15</xm:sqref>
            </x14:sparkline>
            <x14:sparkline>
              <xm:f>Sheet2!U3:U14</xm:f>
              <xm:sqref>U15</xm:sqref>
            </x14:sparkline>
            <x14:sparkline>
              <xm:f>Sheet2!V3:V14</xm:f>
              <xm:sqref>V15</xm:sqref>
            </x14:sparkline>
            <x14:sparkline>
              <xm:f>Sheet2!W3:W14</xm:f>
              <xm:sqref>W15</xm:sqref>
            </x14:sparkline>
            <x14:sparkline>
              <xm:f>Sheet2!X3:X14</xm:f>
              <xm:sqref>X15</xm:sqref>
            </x14:sparkline>
            <x14:sparkline>
              <xm:f>Sheet2!Y3:Y14</xm:f>
              <xm:sqref>Y15</xm:sqref>
            </x14:sparkline>
            <x14:sparkline>
              <xm:f>Sheet2!Z3:Z14</xm:f>
              <xm:sqref>Z15</xm:sqref>
            </x14:sparkline>
            <x14:sparkline>
              <xm:f>Sheet2!AA3:AA14</xm:f>
              <xm:sqref>AA15</xm:sqref>
            </x14:sparkline>
            <x14:sparkline>
              <xm:f>Sheet2!AB3:AB14</xm:f>
              <xm:sqref>AB15</xm:sqref>
            </x14:sparkline>
            <x14:sparkline>
              <xm:f>Sheet2!AC3:AC14</xm:f>
              <xm:sqref>AC15</xm:sqref>
            </x14:sparkline>
            <x14:sparkline>
              <xm:f>Sheet2!AD3:AD14</xm:f>
              <xm:sqref>AD15</xm:sqref>
            </x14:sparkline>
            <x14:sparkline>
              <xm:f>Sheet2!AE3:AE14</xm:f>
              <xm:sqref>AE15</xm:sqref>
            </x14:sparkline>
            <x14:sparkline>
              <xm:f>Sheet2!AF3:AF14</xm:f>
              <xm:sqref>AF15</xm:sqref>
            </x14:sparkline>
            <x14:sparkline>
              <xm:f>Sheet2!AG3:AG14</xm:f>
              <xm:sqref>AG15</xm:sqref>
            </x14:sparkline>
            <x14:sparkline>
              <xm:f>Sheet2!AH3:AH14</xm:f>
              <xm:sqref>AH15</xm:sqref>
            </x14:sparkline>
            <x14:sparkline>
              <xm:f>Sheet2!AI3:AI14</xm:f>
              <xm:sqref>AI15</xm:sqref>
            </x14:sparkline>
            <x14:sparkline>
              <xm:f>Sheet2!AJ3:AJ14</xm:f>
              <xm:sqref>AJ15</xm:sqref>
            </x14:sparkline>
            <x14:sparkline>
              <xm:f>Sheet2!AK3:AK14</xm:f>
              <xm:sqref>AK15</xm:sqref>
            </x14:sparkline>
            <x14:sparkline>
              <xm:f>Sheet2!AL3:AL14</xm:f>
              <xm:sqref>AL15</xm:sqref>
            </x14:sparkline>
            <x14:sparkline>
              <xm:f>Sheet2!AM3:AM14</xm:f>
              <xm:sqref>AM15</xm:sqref>
            </x14:sparkline>
            <x14:sparkline>
              <xm:f>Sheet2!AN3:AN14</xm:f>
              <xm:sqref>AN15</xm:sqref>
            </x14:sparkline>
            <x14:sparkline>
              <xm:f>Sheet2!AO3:AO14</xm:f>
              <xm:sqref>AO15</xm:sqref>
            </x14:sparkline>
            <x14:sparkline>
              <xm:f>Sheet2!AP3:AP14</xm:f>
              <xm:sqref>AP15</xm:sqref>
            </x14:sparkline>
            <x14:sparkline>
              <xm:f>Sheet2!AQ3:AQ14</xm:f>
              <xm:sqref>AQ15</xm:sqref>
            </x14:sparkline>
            <x14:sparkline>
              <xm:f>Sheet2!AR3:AR14</xm:f>
              <xm:sqref>AR15</xm:sqref>
            </x14:sparkline>
            <x14:sparkline>
              <xm:f>Sheet2!AS3:AS14</xm:f>
              <xm:sqref>AS15</xm:sqref>
            </x14:sparkline>
            <x14:sparkline>
              <xm:f>Sheet2!AT3:AT14</xm:f>
              <xm:sqref>AT15</xm:sqref>
            </x14:sparkline>
            <x14:sparkline>
              <xm:f>Sheet2!AU3:AU14</xm:f>
              <xm:sqref>AU15</xm:sqref>
            </x14:sparkline>
            <x14:sparkline>
              <xm:f>Sheet2!AV3:AV14</xm:f>
              <xm:sqref>AV15</xm:sqref>
            </x14:sparkline>
            <x14:sparkline>
              <xm:f>Sheet2!AW3:AW14</xm:f>
              <xm:sqref>AW15</xm:sqref>
            </x14:sparkline>
            <x14:sparkline>
              <xm:f>Sheet2!AX3:AX14</xm:f>
              <xm:sqref>AX15</xm:sqref>
            </x14:sparkline>
            <x14:sparkline>
              <xm:f>Sheet2!AY3:AY14</xm:f>
              <xm:sqref>AY15</xm:sqref>
            </x14:sparkline>
            <x14:sparkline>
              <xm:f>Sheet2!AZ3:AZ14</xm:f>
              <xm:sqref>AZ15</xm:sqref>
            </x14:sparkline>
            <x14:sparkline>
              <xm:f>Sheet2!BA3:BA14</xm:f>
              <xm:sqref>BA15</xm:sqref>
            </x14:sparkline>
            <x14:sparkline>
              <xm:f>Sheet2!BB3:BB14</xm:f>
              <xm:sqref>BB15</xm:sqref>
            </x14:sparkline>
            <x14:sparkline>
              <xm:f>Sheet2!BC3:BC14</xm:f>
              <xm:sqref>BC15</xm:sqref>
            </x14:sparkline>
            <x14:sparkline>
              <xm:f>Sheet2!BD3:BD14</xm:f>
              <xm:sqref>BD15</xm:sqref>
            </x14:sparkline>
            <x14:sparkline>
              <xm:f>Sheet2!BE3:BE14</xm:f>
              <xm:sqref>BE15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"/>
  <sheetViews>
    <sheetView topLeftCell="C1" workbookViewId="0">
      <selection activeCell="N19" sqref="N19"/>
    </sheetView>
  </sheetViews>
  <sheetFormatPr defaultRowHeight="15.5" x14ac:dyDescent="0.35"/>
  <sheetData>
    <row r="1" spans="1:15" ht="47" thickBot="1" x14ac:dyDescent="0.4">
      <c r="A1" t="s">
        <v>71</v>
      </c>
      <c r="B1" t="s">
        <v>72</v>
      </c>
      <c r="D1" s="21" t="s">
        <v>73</v>
      </c>
      <c r="E1" s="21" t="s">
        <v>74</v>
      </c>
      <c r="F1" s="21" t="s">
        <v>75</v>
      </c>
    </row>
    <row r="2" spans="1:15" ht="16" thickBot="1" x14ac:dyDescent="0.4">
      <c r="A2" s="17">
        <v>1.0050778238299999E-5</v>
      </c>
      <c r="B2">
        <v>0.49802940615199998</v>
      </c>
      <c r="D2" s="21" t="s">
        <v>76</v>
      </c>
      <c r="E2" s="21">
        <v>4.6509999999999998E-3</v>
      </c>
      <c r="F2" s="21">
        <v>0.67400000000000004</v>
      </c>
    </row>
    <row r="3" spans="1:15" ht="16" thickBot="1" x14ac:dyDescent="0.4">
      <c r="A3">
        <v>1.10458052838E-4</v>
      </c>
      <c r="B3">
        <v>0.65621262128400004</v>
      </c>
      <c r="D3" s="21" t="s">
        <v>77</v>
      </c>
      <c r="E3" s="21">
        <v>3.885E-3</v>
      </c>
      <c r="F3" s="21">
        <v>0.6905</v>
      </c>
      <c r="O3" s="17"/>
    </row>
    <row r="4" spans="1:15" ht="16" thickBot="1" x14ac:dyDescent="0.4">
      <c r="A4">
        <v>2.1086532743900001E-4</v>
      </c>
      <c r="B4">
        <v>0.73402289548400002</v>
      </c>
      <c r="D4" s="21" t="s">
        <v>78</v>
      </c>
      <c r="E4" s="21">
        <v>2.5990000000000002E-3</v>
      </c>
      <c r="F4" s="21">
        <v>0.70099999999999996</v>
      </c>
    </row>
    <row r="5" spans="1:15" ht="16" thickBot="1" x14ac:dyDescent="0.4">
      <c r="A5">
        <v>3.11272602039E-4</v>
      </c>
      <c r="B5">
        <v>0.79141091555300003</v>
      </c>
      <c r="D5" s="21" t="s">
        <v>79</v>
      </c>
      <c r="E5" s="21">
        <v>3.8270000000000001E-3</v>
      </c>
      <c r="F5" s="21">
        <v>0.70799999999999996</v>
      </c>
    </row>
    <row r="6" spans="1:15" ht="16" thickBot="1" x14ac:dyDescent="0.4">
      <c r="A6">
        <v>4.1167987663900003E-4</v>
      </c>
      <c r="B6">
        <v>0.83829468721400002</v>
      </c>
      <c r="D6" s="21" t="s">
        <v>80</v>
      </c>
      <c r="E6" s="21">
        <v>4.5690000000000001E-3</v>
      </c>
      <c r="F6" s="21">
        <v>0.70599999999999996</v>
      </c>
    </row>
    <row r="7" spans="1:15" ht="16" thickBot="1" x14ac:dyDescent="0.4">
      <c r="A7">
        <v>5.1208715123899999E-4</v>
      </c>
      <c r="B7">
        <v>0.87856168640200005</v>
      </c>
      <c r="D7" s="21" t="s">
        <v>81</v>
      </c>
      <c r="E7" s="21">
        <v>4.6969999999999998E-3</v>
      </c>
      <c r="F7" s="21">
        <v>0.69699999999999995</v>
      </c>
    </row>
    <row r="8" spans="1:15" ht="16" thickBot="1" x14ac:dyDescent="0.4">
      <c r="A8">
        <v>6.1249442583900002E-4</v>
      </c>
      <c r="B8">
        <v>0.91419813052300003</v>
      </c>
      <c r="D8" s="21" t="s">
        <v>82</v>
      </c>
      <c r="E8" s="21">
        <v>5.2360000000000002E-3</v>
      </c>
      <c r="F8" s="21">
        <v>0.68100000000000005</v>
      </c>
    </row>
    <row r="9" spans="1:15" ht="16" thickBot="1" x14ac:dyDescent="0.4">
      <c r="A9">
        <v>7.1290170043900004E-4</v>
      </c>
      <c r="B9">
        <v>0.94637486627099998</v>
      </c>
      <c r="D9" s="21" t="s">
        <v>83</v>
      </c>
      <c r="E9" s="21">
        <v>3.7130000000000002E-3</v>
      </c>
      <c r="F9" s="21">
        <v>0.69199999999999995</v>
      </c>
    </row>
    <row r="10" spans="1:15" ht="16" thickBot="1" x14ac:dyDescent="0.4">
      <c r="A10">
        <v>8.1330897504000002E-4</v>
      </c>
      <c r="B10">
        <v>0.97584805896000004</v>
      </c>
      <c r="D10" s="21" t="s">
        <v>84</v>
      </c>
      <c r="E10" s="21">
        <v>5.1489999999999999E-3</v>
      </c>
      <c r="F10" s="21">
        <v>0.7</v>
      </c>
    </row>
    <row r="11" spans="1:15" ht="16" thickBot="1" x14ac:dyDescent="0.4">
      <c r="A11">
        <v>9.1371624964000004E-4</v>
      </c>
      <c r="B11">
        <v>1.0031382308700001</v>
      </c>
      <c r="D11" s="21" t="s">
        <v>85</v>
      </c>
      <c r="E11" s="21">
        <v>4.5510000000000004E-3</v>
      </c>
      <c r="F11" s="21">
        <v>0.70499999999999996</v>
      </c>
    </row>
    <row r="12" spans="1:15" ht="16" thickBot="1" x14ac:dyDescent="0.4">
      <c r="A12">
        <v>1.01412352424E-3</v>
      </c>
      <c r="B12">
        <v>1.0286210381100001</v>
      </c>
      <c r="D12" s="21" t="s">
        <v>86</v>
      </c>
      <c r="E12" s="21">
        <v>3.81E-3</v>
      </c>
      <c r="F12" s="21">
        <v>0.69699999999999995</v>
      </c>
    </row>
    <row r="13" spans="1:15" ht="16" thickBot="1" x14ac:dyDescent="0.4">
      <c r="A13">
        <v>1.1145307988400001E-3</v>
      </c>
      <c r="B13">
        <v>1.0525776663999999</v>
      </c>
      <c r="D13" s="21" t="s">
        <v>87</v>
      </c>
      <c r="E13" s="21">
        <v>2.2369999999999998E-3</v>
      </c>
      <c r="F13" s="21">
        <v>0.68899999999999995</v>
      </c>
    </row>
    <row r="14" spans="1:15" x14ac:dyDescent="0.35">
      <c r="A14">
        <v>1.21493807344E-3</v>
      </c>
      <c r="B14">
        <v>1.0752247967299999</v>
      </c>
    </row>
    <row r="15" spans="1:15" x14ac:dyDescent="0.35">
      <c r="A15">
        <v>1.3153453480399999E-3</v>
      </c>
      <c r="B15">
        <v>1.0967334102399999</v>
      </c>
    </row>
    <row r="16" spans="1:15" x14ac:dyDescent="0.35">
      <c r="A16">
        <v>1.41575262264E-3</v>
      </c>
      <c r="B16">
        <v>1.1172411147200001</v>
      </c>
    </row>
    <row r="17" spans="1:2" x14ac:dyDescent="0.35">
      <c r="A17">
        <v>1.51615989724E-3</v>
      </c>
      <c r="B17">
        <v>1.13686052066</v>
      </c>
    </row>
    <row r="18" spans="1:2" x14ac:dyDescent="0.35">
      <c r="A18">
        <v>1.6165671718400001E-3</v>
      </c>
      <c r="B18">
        <v>1.1556851075900001</v>
      </c>
    </row>
    <row r="19" spans="1:2" x14ac:dyDescent="0.35">
      <c r="A19">
        <v>1.71697444644E-3</v>
      </c>
      <c r="B19">
        <v>1.1737934400500001</v>
      </c>
    </row>
    <row r="20" spans="1:2" x14ac:dyDescent="0.35">
      <c r="A20">
        <v>1.8173817210399999E-3</v>
      </c>
      <c r="B20">
        <v>1.19125226583</v>
      </c>
    </row>
    <row r="21" spans="1:2" x14ac:dyDescent="0.35">
      <c r="A21">
        <v>1.91778899564E-3</v>
      </c>
      <c r="B21">
        <v>1.20811883731</v>
      </c>
    </row>
    <row r="22" spans="1:2" x14ac:dyDescent="0.35">
      <c r="A22">
        <v>2.01819627024E-3</v>
      </c>
      <c r="B22">
        <v>1.2244426808</v>
      </c>
    </row>
    <row r="23" spans="1:2" x14ac:dyDescent="0.35">
      <c r="A23">
        <v>2.1186035448400001E-3</v>
      </c>
      <c r="B23">
        <v>1.2402669657800001</v>
      </c>
    </row>
    <row r="24" spans="1:2" x14ac:dyDescent="0.35">
      <c r="A24">
        <v>2.2190108194399998E-3</v>
      </c>
      <c r="B24">
        <v>1.2556295789</v>
      </c>
    </row>
    <row r="25" spans="1:2" x14ac:dyDescent="0.35">
      <c r="A25">
        <v>2.3194180940399999E-3</v>
      </c>
      <c r="B25">
        <v>1.2705639768000001</v>
      </c>
    </row>
    <row r="26" spans="1:2" x14ac:dyDescent="0.35">
      <c r="A26">
        <v>2.4198253686400001E-3</v>
      </c>
      <c r="B26">
        <v>1.2850998707000001</v>
      </c>
    </row>
    <row r="27" spans="1:2" x14ac:dyDescent="0.35">
      <c r="A27">
        <v>2.5202326432400002E-3</v>
      </c>
      <c r="B27">
        <v>1.2992637816099999</v>
      </c>
    </row>
    <row r="28" spans="1:2" x14ac:dyDescent="0.35">
      <c r="A28">
        <v>2.6206399178399999E-3</v>
      </c>
      <c r="B28">
        <v>1.31307949463</v>
      </c>
    </row>
    <row r="29" spans="1:2" x14ac:dyDescent="0.35">
      <c r="A29">
        <v>2.72104719244E-3</v>
      </c>
      <c r="B29">
        <v>1.3265684337899999</v>
      </c>
    </row>
    <row r="30" spans="1:2" x14ac:dyDescent="0.35">
      <c r="A30">
        <v>2.8214544670400001E-3</v>
      </c>
      <c r="B30">
        <v>1.3397499738200001</v>
      </c>
    </row>
    <row r="31" spans="1:2" x14ac:dyDescent="0.35">
      <c r="A31">
        <v>2.9218617416399998E-3</v>
      </c>
      <c r="B31">
        <v>1.3526417012500001</v>
      </c>
    </row>
    <row r="32" spans="1:2" x14ac:dyDescent="0.35">
      <c r="A32">
        <v>3.02226901624E-3</v>
      </c>
      <c r="B32">
        <v>1.3652596344300001</v>
      </c>
    </row>
    <row r="33" spans="1:2" x14ac:dyDescent="0.35">
      <c r="A33">
        <v>3.1226762908400001E-3</v>
      </c>
      <c r="B33">
        <v>1.37761841026</v>
      </c>
    </row>
    <row r="34" spans="1:2" x14ac:dyDescent="0.35">
      <c r="A34">
        <v>3.2230835654399998E-3</v>
      </c>
      <c r="B34">
        <v>1.3897314433700001</v>
      </c>
    </row>
    <row r="35" spans="1:2" x14ac:dyDescent="0.35">
      <c r="A35">
        <v>3.3234908400399999E-3</v>
      </c>
      <c r="B35">
        <v>1.40161106268</v>
      </c>
    </row>
    <row r="36" spans="1:2" x14ac:dyDescent="0.35">
      <c r="A36">
        <v>3.4238981146400001E-3</v>
      </c>
      <c r="B36">
        <v>1.4132686290300001</v>
      </c>
    </row>
    <row r="37" spans="1:2" x14ac:dyDescent="0.35">
      <c r="A37">
        <v>3.5243053892400002E-3</v>
      </c>
      <c r="B37">
        <v>1.4247146370799999</v>
      </c>
    </row>
    <row r="38" spans="1:2" x14ac:dyDescent="0.35">
      <c r="A38">
        <v>3.6247126638399999E-3</v>
      </c>
      <c r="B38">
        <v>1.43595880387</v>
      </c>
    </row>
    <row r="39" spans="1:2" x14ac:dyDescent="0.35">
      <c r="A39">
        <v>3.72511993844E-3</v>
      </c>
      <c r="B39">
        <v>1.44701014618</v>
      </c>
    </row>
    <row r="40" spans="1:2" x14ac:dyDescent="0.35">
      <c r="A40">
        <v>3.8255272130400001E-3</v>
      </c>
      <c r="B40">
        <v>1.4578770482900001</v>
      </c>
    </row>
    <row r="41" spans="1:2" x14ac:dyDescent="0.35">
      <c r="A41">
        <v>3.9259344876400003E-3</v>
      </c>
      <c r="B41">
        <v>1.4685673216499999</v>
      </c>
    </row>
    <row r="42" spans="1:2" x14ac:dyDescent="0.35">
      <c r="A42">
        <v>4.0263417622400004E-3</v>
      </c>
      <c r="B42">
        <v>1.4790882574999999</v>
      </c>
    </row>
    <row r="43" spans="1:2" x14ac:dyDescent="0.35">
      <c r="A43">
        <v>4.1267490368500004E-3</v>
      </c>
      <c r="B43">
        <v>1.48944667354</v>
      </c>
    </row>
    <row r="44" spans="1:2" x14ac:dyDescent="0.35">
      <c r="A44">
        <v>4.2271563114499996E-3</v>
      </c>
      <c r="B44">
        <v>1.4996489552900001</v>
      </c>
    </row>
    <row r="45" spans="1:2" x14ac:dyDescent="0.35">
      <c r="A45">
        <v>4.3275635860499997E-3</v>
      </c>
      <c r="B45">
        <v>1.5097010930899999</v>
      </c>
    </row>
    <row r="46" spans="1:2" x14ac:dyDescent="0.35">
      <c r="A46">
        <v>4.4279708606499999E-3</v>
      </c>
      <c r="B46">
        <v>1.5196087149799999</v>
      </c>
    </row>
    <row r="47" spans="1:2" x14ac:dyDescent="0.35">
      <c r="A47">
        <v>4.52837813525E-3</v>
      </c>
      <c r="B47">
        <v>1.5293771163600001</v>
      </c>
    </row>
    <row r="48" spans="1:2" x14ac:dyDescent="0.35">
      <c r="A48">
        <v>4.6287854098500001E-3</v>
      </c>
      <c r="B48">
        <v>1.5390112864300001</v>
      </c>
    </row>
    <row r="49" spans="1:2" x14ac:dyDescent="0.35">
      <c r="A49">
        <v>4.7291926844500003E-3</v>
      </c>
      <c r="B49">
        <v>1.5485159321899999</v>
      </c>
    </row>
    <row r="50" spans="1:2" x14ac:dyDescent="0.35">
      <c r="A50">
        <v>4.8295999590500004E-3</v>
      </c>
      <c r="B50">
        <v>1.5578954999200001</v>
      </c>
    </row>
    <row r="51" spans="1:2" x14ac:dyDescent="0.35">
      <c r="A51">
        <v>4.9300072336499997E-3</v>
      </c>
      <c r="B51">
        <v>1.5671541947700001</v>
      </c>
    </row>
    <row r="52" spans="1:2" x14ac:dyDescent="0.35">
      <c r="A52">
        <v>5.0304145082499998E-3</v>
      </c>
      <c r="B52">
        <v>1.5762959984</v>
      </c>
    </row>
    <row r="53" spans="1:2" x14ac:dyDescent="0.35">
      <c r="A53">
        <v>5.1308217828499999E-3</v>
      </c>
      <c r="B53">
        <v>1.58532468505</v>
      </c>
    </row>
    <row r="54" spans="1:2" x14ac:dyDescent="0.35">
      <c r="A54">
        <v>5.2312290574500001E-3</v>
      </c>
      <c r="B54">
        <v>1.59424383617</v>
      </c>
    </row>
    <row r="55" spans="1:2" x14ac:dyDescent="0.35">
      <c r="A55">
        <v>5.3316363320500002E-3</v>
      </c>
      <c r="B55">
        <v>1.6030568537700001</v>
      </c>
    </row>
    <row r="56" spans="1:2" x14ac:dyDescent="0.35">
      <c r="A56">
        <v>5.4320436066500003E-3</v>
      </c>
      <c r="B56">
        <v>1.6117669725499999</v>
      </c>
    </row>
    <row r="57" spans="1:2" x14ac:dyDescent="0.35">
      <c r="A57">
        <v>5.5324508812499996E-3</v>
      </c>
      <c r="B57">
        <v>1.62037727109</v>
      </c>
    </row>
    <row r="58" spans="1:2" x14ac:dyDescent="0.35">
      <c r="A58">
        <v>5.6328581558499997E-3</v>
      </c>
      <c r="B58">
        <v>1.62889068204</v>
      </c>
    </row>
    <row r="59" spans="1:2" x14ac:dyDescent="0.35">
      <c r="A59">
        <v>5.7332654304499998E-3</v>
      </c>
      <c r="B59">
        <v>1.6373100014999999</v>
      </c>
    </row>
    <row r="60" spans="1:2" x14ac:dyDescent="0.35">
      <c r="A60">
        <v>5.83367270505E-3</v>
      </c>
      <c r="B60">
        <v>1.6456378976499999</v>
      </c>
    </row>
    <row r="61" spans="1:2" x14ac:dyDescent="0.35">
      <c r="A61">
        <v>5.9340799796500001E-3</v>
      </c>
      <c r="B61">
        <v>1.65387691866</v>
      </c>
    </row>
    <row r="62" spans="1:2" x14ac:dyDescent="0.35">
      <c r="A62">
        <v>6.0344872542500002E-3</v>
      </c>
      <c r="B62">
        <v>1.6620295000500001</v>
      </c>
    </row>
    <row r="63" spans="1:2" x14ac:dyDescent="0.35">
      <c r="A63">
        <v>6.1348945288500004E-3</v>
      </c>
      <c r="B63">
        <v>1.6700979714499999</v>
      </c>
    </row>
    <row r="64" spans="1:2" x14ac:dyDescent="0.35">
      <c r="A64">
        <v>6.2353018034499996E-3</v>
      </c>
      <c r="B64">
        <v>1.6780845627900001</v>
      </c>
    </row>
    <row r="65" spans="1:2" x14ac:dyDescent="0.35">
      <c r="A65">
        <v>6.3357090780499998E-3</v>
      </c>
      <c r="B65">
        <v>1.68599141018</v>
      </c>
    </row>
    <row r="66" spans="1:2" x14ac:dyDescent="0.35">
      <c r="A66">
        <v>6.4361163526499999E-3</v>
      </c>
      <c r="B66">
        <v>1.6938205612199999</v>
      </c>
    </row>
    <row r="67" spans="1:2" x14ac:dyDescent="0.35">
      <c r="A67">
        <v>6.53652362725E-3</v>
      </c>
      <c r="B67">
        <v>1.70157397996</v>
      </c>
    </row>
    <row r="68" spans="1:2" x14ac:dyDescent="0.35">
      <c r="A68">
        <v>6.6369309018500001E-3</v>
      </c>
      <c r="B68">
        <v>1.70925355161</v>
      </c>
    </row>
    <row r="69" spans="1:2" x14ac:dyDescent="0.35">
      <c r="A69">
        <v>6.7373381764500003E-3</v>
      </c>
      <c r="B69">
        <v>1.71686108677</v>
      </c>
    </row>
    <row r="70" spans="1:2" x14ac:dyDescent="0.35">
      <c r="A70">
        <v>6.8377454510500004E-3</v>
      </c>
      <c r="B70">
        <v>1.7243983254699999</v>
      </c>
    </row>
    <row r="71" spans="1:2" x14ac:dyDescent="0.35">
      <c r="A71">
        <v>6.9381527256499997E-3</v>
      </c>
      <c r="B71">
        <v>1.73186694093</v>
      </c>
    </row>
    <row r="72" spans="1:2" x14ac:dyDescent="0.35">
      <c r="A72">
        <v>7.0385600002499998E-3</v>
      </c>
      <c r="B72">
        <v>1.7392685430199999</v>
      </c>
    </row>
    <row r="73" spans="1:2" x14ac:dyDescent="0.35">
      <c r="A73">
        <v>7.1389672748499999E-3</v>
      </c>
      <c r="B73">
        <v>1.74660468152</v>
      </c>
    </row>
    <row r="74" spans="1:2" x14ac:dyDescent="0.35">
      <c r="A74">
        <v>7.2393745494500001E-3</v>
      </c>
      <c r="B74">
        <v>1.7538768492100001</v>
      </c>
    </row>
    <row r="75" spans="1:2" x14ac:dyDescent="0.35">
      <c r="A75">
        <v>7.3397818240500002E-3</v>
      </c>
      <c r="B75">
        <v>1.7610864846800001</v>
      </c>
    </row>
    <row r="76" spans="1:2" x14ac:dyDescent="0.35">
      <c r="A76">
        <v>7.4401890986500003E-3</v>
      </c>
      <c r="B76">
        <v>1.7682349750399999</v>
      </c>
    </row>
    <row r="77" spans="1:2" x14ac:dyDescent="0.35">
      <c r="A77">
        <v>7.5405963732499996E-3</v>
      </c>
      <c r="B77">
        <v>1.7753236584000001</v>
      </c>
    </row>
    <row r="78" spans="1:2" x14ac:dyDescent="0.35">
      <c r="A78">
        <v>7.6410036478499997E-3</v>
      </c>
      <c r="B78">
        <v>1.7823538262600001</v>
      </c>
    </row>
    <row r="79" spans="1:2" x14ac:dyDescent="0.35">
      <c r="A79">
        <v>7.7414109224499998E-3</v>
      </c>
      <c r="B79">
        <v>1.7893267256900001</v>
      </c>
    </row>
    <row r="80" spans="1:2" x14ac:dyDescent="0.35">
      <c r="A80">
        <v>7.84181819705E-3</v>
      </c>
      <c r="B80">
        <v>1.7962435614300001</v>
      </c>
    </row>
    <row r="81" spans="1:2" x14ac:dyDescent="0.35">
      <c r="A81">
        <v>7.9422254716499992E-3</v>
      </c>
      <c r="B81">
        <v>1.8031054978400001</v>
      </c>
    </row>
    <row r="82" spans="1:2" x14ac:dyDescent="0.35">
      <c r="A82">
        <v>8.0426327462500002E-3</v>
      </c>
      <c r="B82">
        <v>1.8099136607499999</v>
      </c>
    </row>
    <row r="83" spans="1:2" x14ac:dyDescent="0.35">
      <c r="A83">
        <v>8.1430400208499995E-3</v>
      </c>
      <c r="B83">
        <v>1.8166691392000001</v>
      </c>
    </row>
    <row r="84" spans="1:2" x14ac:dyDescent="0.35">
      <c r="A84">
        <v>8.2434472954500005E-3</v>
      </c>
      <c r="B84">
        <v>1.82337298706</v>
      </c>
    </row>
    <row r="85" spans="1:2" x14ac:dyDescent="0.35">
      <c r="A85">
        <v>8.3438545700499998E-3</v>
      </c>
      <c r="B85">
        <v>1.8300262246100001</v>
      </c>
    </row>
    <row r="86" spans="1:2" x14ac:dyDescent="0.35">
      <c r="A86">
        <v>8.4442618446500008E-3</v>
      </c>
      <c r="B86">
        <v>1.8366298399700001</v>
      </c>
    </row>
    <row r="87" spans="1:2" x14ac:dyDescent="0.35">
      <c r="A87">
        <v>8.54466911925E-3</v>
      </c>
      <c r="B87">
        <v>1.8431847904900001</v>
      </c>
    </row>
    <row r="88" spans="1:2" x14ac:dyDescent="0.35">
      <c r="A88">
        <v>8.6450763938499993E-3</v>
      </c>
      <c r="B88">
        <v>1.84969200408</v>
      </c>
    </row>
    <row r="89" spans="1:2" x14ac:dyDescent="0.35">
      <c r="A89">
        <v>8.7454836684500003E-3</v>
      </c>
      <c r="B89">
        <v>1.8561523804</v>
      </c>
    </row>
    <row r="90" spans="1:2" x14ac:dyDescent="0.35">
      <c r="A90">
        <v>8.8458909430499996E-3</v>
      </c>
      <c r="B90">
        <v>1.86256679209</v>
      </c>
    </row>
    <row r="91" spans="1:2" x14ac:dyDescent="0.35">
      <c r="A91">
        <v>8.9462982176500006E-3</v>
      </c>
      <c r="B91">
        <v>1.8689360858199999</v>
      </c>
    </row>
    <row r="92" spans="1:2" x14ac:dyDescent="0.35">
      <c r="A92">
        <v>9.0467054922499998E-3</v>
      </c>
      <c r="B92">
        <v>1.8752610833900001</v>
      </c>
    </row>
    <row r="93" spans="1:2" x14ac:dyDescent="0.35">
      <c r="A93">
        <v>9.1471127668500008E-3</v>
      </c>
      <c r="B93">
        <v>1.8815425826900001</v>
      </c>
    </row>
    <row r="94" spans="1:2" x14ac:dyDescent="0.35">
      <c r="A94">
        <v>9.2475200414500001E-3</v>
      </c>
      <c r="B94">
        <v>1.8877813586900001</v>
      </c>
    </row>
    <row r="95" spans="1:2" x14ac:dyDescent="0.35">
      <c r="A95">
        <v>9.3479273160499993E-3</v>
      </c>
      <c r="B95">
        <v>1.89397816431</v>
      </c>
    </row>
    <row r="96" spans="1:2" x14ac:dyDescent="0.35">
      <c r="A96">
        <v>9.4483345906500003E-3</v>
      </c>
      <c r="B96">
        <v>1.90013373127</v>
      </c>
    </row>
    <row r="97" spans="1:2" x14ac:dyDescent="0.35">
      <c r="A97">
        <v>9.5487418652499996E-3</v>
      </c>
      <c r="B97">
        <v>1.90624877093</v>
      </c>
    </row>
    <row r="98" spans="1:2" x14ac:dyDescent="0.35">
      <c r="A98">
        <v>9.6491491398500006E-3</v>
      </c>
      <c r="B98">
        <v>1.9123239750600001</v>
      </c>
    </row>
    <row r="99" spans="1:2" x14ac:dyDescent="0.35">
      <c r="A99">
        <v>9.7495564144499999E-3</v>
      </c>
      <c r="B99">
        <v>1.9183600165500001</v>
      </c>
    </row>
    <row r="100" spans="1:2" x14ac:dyDescent="0.35">
      <c r="A100">
        <v>9.8499636890500009E-3</v>
      </c>
      <c r="B100">
        <v>1.9243575501500001</v>
      </c>
    </row>
    <row r="101" spans="1:2" x14ac:dyDescent="0.35">
      <c r="A101">
        <v>9.9503709636500001E-3</v>
      </c>
      <c r="B101">
        <v>1.9303172131199999</v>
      </c>
    </row>
    <row r="102" spans="1:2" x14ac:dyDescent="0.35">
      <c r="A102">
        <v>1.0050778238299999E-2</v>
      </c>
      <c r="B102">
        <v>1.9362396258500001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 Zanibi</dc:creator>
  <cp:keywords/>
  <dc:description/>
  <cp:lastModifiedBy>Ayers, John C</cp:lastModifiedBy>
  <cp:revision/>
  <dcterms:created xsi:type="dcterms:W3CDTF">2021-02-22T16:34:32Z</dcterms:created>
  <dcterms:modified xsi:type="dcterms:W3CDTF">2022-07-16T15:08:55Z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8343ef86979d4b8fa53d0c6c8529c488</vt:lpwstr>
  </property>
</Properties>
</file>