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john_c_ayers_vanderbilt_edu/Documents/Projects/HarpethRiver/Data/"/>
    </mc:Choice>
  </mc:AlternateContent>
  <xr:revisionPtr revIDLastSave="258" documentId="11_99DEB82C82BC3A0AE33F5280F220656E204A6E31" xr6:coauthVersionLast="47" xr6:coauthVersionMax="47" xr10:uidLastSave="{64F44A84-98B8-4D46-80EF-517010F79997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3" i="1" l="1"/>
  <c r="BV4" i="1"/>
  <c r="BV5" i="1"/>
  <c r="BV2" i="1"/>
  <c r="G9" i="1" l="1"/>
  <c r="H9" i="1" s="1"/>
  <c r="L3" i="1"/>
  <c r="BL3" i="1" s="1"/>
  <c r="L4" i="1"/>
  <c r="BL4" i="1" s="1"/>
  <c r="L5" i="1"/>
  <c r="BL5" i="1" s="1"/>
  <c r="L2" i="1"/>
  <c r="BL2" i="1" s="1"/>
  <c r="BK3" i="1"/>
  <c r="BR3" i="1" s="1"/>
  <c r="BK4" i="1"/>
  <c r="BR4" i="1" s="1"/>
  <c r="BK5" i="1"/>
  <c r="BR5" i="1" s="1"/>
  <c r="BK2" i="1"/>
  <c r="BR2" i="1" s="1"/>
  <c r="BS2" i="1" s="1"/>
  <c r="BS5" i="1" l="1"/>
  <c r="BS4" i="1"/>
  <c r="BS3" i="1"/>
  <c r="BM2" i="1"/>
  <c r="BN2" i="1" s="1"/>
  <c r="BM3" i="1"/>
  <c r="BN3" i="1" s="1"/>
  <c r="BM5" i="1"/>
  <c r="BN5" i="1" s="1"/>
  <c r="BM4" i="1"/>
  <c r="BN4" i="1" s="1"/>
  <c r="BJ3" i="1"/>
  <c r="BJ4" i="1"/>
  <c r="BJ5" i="1"/>
  <c r="BO5" i="1" s="1"/>
  <c r="BP5" i="1" s="1"/>
  <c r="BJ2" i="1"/>
  <c r="BO2" i="1" s="1"/>
  <c r="BP2" i="1" s="1"/>
  <c r="BG3" i="1"/>
  <c r="BG4" i="1"/>
  <c r="BG5" i="1"/>
  <c r="BG2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U7" i="1"/>
  <c r="Q5" i="1"/>
  <c r="Q4" i="1"/>
  <c r="Q3" i="1"/>
  <c r="Q2" i="1"/>
  <c r="BT3" i="1" l="1"/>
  <c r="BU3" i="1" s="1"/>
  <c r="BT4" i="1"/>
  <c r="BU4" i="1" s="1"/>
  <c r="BT5" i="1"/>
  <c r="BU5" i="1" s="1"/>
  <c r="BT2" i="1"/>
  <c r="BU2" i="1" s="1"/>
  <c r="BO4" i="1"/>
  <c r="BP4" i="1" s="1"/>
  <c r="BO3" i="1"/>
  <c r="BP3" i="1" s="1"/>
  <c r="P6" i="1"/>
  <c r="R6" i="1"/>
  <c r="Q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tc={8C1B114B-165F-4415-86CD-29EDB971A6FA}</author>
    <author>tc={F754B129-7D3D-4F74-B07A-3281DE44CF01}</author>
    <author>tc={CD27863C-6007-4FF7-8A46-666804A80AA7}</author>
    <author>tc={E7608C05-BE78-456C-84E3-E369B45C37AD}</author>
    <author>tc={93B3345D-1C3E-49AA-BAD0-B88858CF49BC}</author>
    <author>tc={5FF89CE2-50FD-4168-A4C4-817FB92E1B36}</author>
    <author>tc={3C03E67F-7721-4F77-A997-2C7E8FB1D601}</author>
  </authors>
  <commentList>
    <comment ref="K1" authorId="0" shapeId="0" xr:uid="{8C1B114B-165F-4415-86CD-29EDB971A6F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Langmuir (1991) Table 1.1 pg. 16</t>
      </text>
    </comment>
    <comment ref="Q1" authorId="1" shapeId="0" xr:uid="{F754B129-7D3D-4F74-B07A-3281DE44CF0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187 mV for conversion of Hach ORP measurements made relative to Ag/AgCl electrode to standard hydrogen electrode</t>
      </text>
    </comment>
    <comment ref="BL1" authorId="2" shapeId="0" xr:uid="{CD27863C-6007-4FF7-8A46-666804A80AA7}">
      <text>
        <t>[Threaded comment]
Your version of Excel allows you to read this threaded comment; however, any edits to it will get removed if the file is opened in a newer version of Excel. Learn more: https://go.microsoft.com/fwlink/?linkid=870924
Comment:
    Wilhelm E, Battino R, Wilcock RJ (1977) Low-pressure solubility of gases in liquid water. Chem. Rev. 77:219–262</t>
      </text>
    </comment>
    <comment ref="BM1" authorId="3" shapeId="0" xr:uid="{E7608C05-BE78-456C-84E3-E369B45C37AD}">
      <text>
        <t>[Threaded comment]
Your version of Excel allows you to read this threaded comment; however, any edits to it will get removed if the file is opened in a newer version of Excel. Learn more: https://go.microsoft.com/fwlink/?linkid=870924
Comment:
    Henry's Law says that P = Kh*X where X is the mole fraction in water, then P1/X1 = P2/X2 and P1 = 1
I want to calculate X2 from P2, so X2 = P2*X1</t>
      </text>
    </comment>
    <comment ref="BN1" authorId="4" shapeId="0" xr:uid="{93B3345D-1C3E-49AA-BAD0-B88858CF49BC}">
      <text>
        <t>[Threaded comment]
Your version of Excel allows you to read this threaded comment; however, any edits to it will get removed if the file is opened in a newer version of Excel. Learn more: https://go.microsoft.com/fwlink/?linkid=870924
Comment:
    1 kg H2O has 55.55 moles H2O, so 
# moles CO2 per kg H2O = XCO2*55.55
CO2sat (mol m-3) = moles CO2/kg H2O * 1000 kg/m^3 = moles m-3</t>
      </text>
    </comment>
    <comment ref="BO1" authorId="5" shapeId="0" xr:uid="{5FF89CE2-50FD-4168-A4C4-817FB92E1B36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average kCO2 of 5.7 m d-1 from Raymond et al. (2013)</t>
      </text>
    </comment>
    <comment ref="BT1" authorId="6" shapeId="0" xr:uid="{3C03E67F-7721-4F77-A997-2C7E8FB1D601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average kCO2 of 5.7 m d-1 from Raymond et al. (2013)</t>
      </text>
    </comment>
  </commentList>
</comments>
</file>

<file path=xl/sharedStrings.xml><?xml version="1.0" encoding="utf-8"?>
<sst xmlns="http://schemas.openxmlformats.org/spreadsheetml/2006/main" count="86" uniqueCount="80">
  <si>
    <t xml:space="preserve">SampleID </t>
  </si>
  <si>
    <t>Location</t>
  </si>
  <si>
    <t xml:space="preserve">Lat </t>
  </si>
  <si>
    <t xml:space="preserve">Long </t>
  </si>
  <si>
    <t xml:space="preserve">Date </t>
  </si>
  <si>
    <t xml:space="preserve">Time </t>
  </si>
  <si>
    <t>Discharge (ft^3/s)</t>
  </si>
  <si>
    <t>Upstream watershed area (km^2)</t>
  </si>
  <si>
    <t>IBV (V)</t>
  </si>
  <si>
    <r>
      <t>Temp (</t>
    </r>
    <r>
      <rPr>
        <sz val="12"/>
        <color theme="1"/>
        <rFont val="Calibri"/>
        <family val="2"/>
      </rPr>
      <t>°C)</t>
    </r>
  </si>
  <si>
    <t>SpC (mS/cm?)</t>
  </si>
  <si>
    <t>Salinity (ppt)</t>
  </si>
  <si>
    <t>TDS (mg/L?)</t>
  </si>
  <si>
    <t xml:space="preserve">pH </t>
  </si>
  <si>
    <t>ORP (mV)</t>
  </si>
  <si>
    <t>LDO (mg/L)</t>
  </si>
  <si>
    <t>Turbidity (?)</t>
  </si>
  <si>
    <t>TSS (mg/L)</t>
  </si>
  <si>
    <t>Al</t>
  </si>
  <si>
    <t>B</t>
  </si>
  <si>
    <t>Ca</t>
  </si>
  <si>
    <t>Fe</t>
  </si>
  <si>
    <t>K</t>
  </si>
  <si>
    <t>Mg</t>
  </si>
  <si>
    <t>Na</t>
  </si>
  <si>
    <t>P</t>
  </si>
  <si>
    <t>S</t>
  </si>
  <si>
    <t>Si</t>
  </si>
  <si>
    <t>Sr</t>
  </si>
  <si>
    <t>Zn</t>
  </si>
  <si>
    <t>Sb</t>
  </si>
  <si>
    <t>As</t>
  </si>
  <si>
    <t>Ba</t>
  </si>
  <si>
    <t>Cd</t>
  </si>
  <si>
    <t>Cr</t>
  </si>
  <si>
    <t>Co</t>
  </si>
  <si>
    <t>Pb</t>
  </si>
  <si>
    <t>Mn</t>
  </si>
  <si>
    <t>Mo</t>
  </si>
  <si>
    <t>Ni</t>
  </si>
  <si>
    <t>Tl</t>
  </si>
  <si>
    <t>Ti</t>
  </si>
  <si>
    <t>V</t>
  </si>
  <si>
    <t>Cl</t>
  </si>
  <si>
    <t>NO3</t>
  </si>
  <si>
    <t>PO4</t>
  </si>
  <si>
    <t>SO4</t>
  </si>
  <si>
    <t>DIC as C</t>
  </si>
  <si>
    <t>DOC as C</t>
  </si>
  <si>
    <t>HR_01</t>
  </si>
  <si>
    <t>Pinkerton Park Canoe Access</t>
  </si>
  <si>
    <t>HR_02</t>
  </si>
  <si>
    <t xml:space="preserve">Highway </t>
  </si>
  <si>
    <t>HR_03</t>
  </si>
  <si>
    <t>HRP State Park, Bellevue</t>
  </si>
  <si>
    <t>HR_04</t>
  </si>
  <si>
    <t xml:space="preserve">HRP State Park; Narrows of the Harpeth </t>
  </si>
  <si>
    <t>*Note: Be, Cu and Se were deleted due to negative concentrations</t>
  </si>
  <si>
    <t>Charge imbalance error</t>
  </si>
  <si>
    <t>Water type</t>
  </si>
  <si>
    <t>Ca-HCO3</t>
  </si>
  <si>
    <t>Hardness (mg/kg_as_CaCO3)</t>
  </si>
  <si>
    <t>Carbonate alkalinity (mg/kg_as_CaCO3)</t>
  </si>
  <si>
    <t>Dissolved solids (mg/kg)</t>
  </si>
  <si>
    <t>SI Calcite (log Q/K)</t>
  </si>
  <si>
    <t>log PCO2</t>
  </si>
  <si>
    <t>CO2(aq) free umol/kg</t>
  </si>
  <si>
    <t>CO2w mol m-3</t>
  </si>
  <si>
    <t>FCO2 (mol m-2 d-1)</t>
  </si>
  <si>
    <t>FCO2 (g C m-2 d-1)</t>
  </si>
  <si>
    <t>T_K</t>
  </si>
  <si>
    <t>PCO2atm(mol frac)</t>
  </si>
  <si>
    <t>CO2sat (mole fraction)</t>
  </si>
  <si>
    <t>CO2sat (mol m-3)</t>
  </si>
  <si>
    <t>RlnXCO2,w</t>
  </si>
  <si>
    <t>Kh CO2(M/bar)</t>
  </si>
  <si>
    <t>Diss CO2(g) (bar)</t>
  </si>
  <si>
    <t>CO2sat from Kh (mol/L)</t>
  </si>
  <si>
    <t>CO2sat from Kh (mol m-3)</t>
  </si>
  <si>
    <t>FCO2 (g C m-2 y-1)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</si>
</sst>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00"/>
    <numFmt numFmtId="166" formatCode="0.0"/>
    <numFmt numFmtId="167" formatCode="#,##0.000"/>
    <numFmt numFmtId="168" formatCode="#,##0.000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23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4" fontId="5" fillId="0" borderId="0" xfId="0" applyNumberFormat="1" applyFont="1"/>
    <xf numFmtId="165" fontId="5" fillId="0" borderId="0" xfId="2" applyNumberFormat="1" applyFont="1" applyAlignment="1">
      <alignment horizontal="right" vertical="center"/>
    </xf>
    <xf numFmtId="4" fontId="5" fillId="0" borderId="0" xfId="2" applyNumberFormat="1" applyFont="1" applyAlignment="1">
      <alignment horizontal="right" vertical="center"/>
    </xf>
    <xf numFmtId="0" fontId="7" fillId="0" borderId="0" xfId="0" applyFont="1" applyAlignment="1">
      <alignment horizontal="center"/>
    </xf>
    <xf numFmtId="0" fontId="0" fillId="0" borderId="0" xfId="0" applyBorder="1"/>
    <xf numFmtId="166" fontId="0" fillId="0" borderId="0" xfId="0" applyNumberFormat="1" applyBorder="1"/>
    <xf numFmtId="166" fontId="0" fillId="0" borderId="0" xfId="0" applyNumberFormat="1"/>
    <xf numFmtId="167" fontId="5" fillId="0" borderId="0" xfId="2" applyNumberFormat="1" applyFont="1" applyAlignment="1">
      <alignment horizontal="right" vertical="center"/>
    </xf>
    <xf numFmtId="168" fontId="5" fillId="0" borderId="0" xfId="2" applyNumberFormat="1" applyFont="1" applyAlignment="1">
      <alignment horizontal="right" vertical="center"/>
    </xf>
    <xf numFmtId="0" fontId="0" fillId="0" borderId="0" xfId="0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0" fontId="2" fillId="0" borderId="0" xfId="1" applyBorder="1"/>
    <xf numFmtId="10" fontId="0" fillId="0" borderId="0" xfId="0" applyNumberFormat="1"/>
    <xf numFmtId="2" fontId="0" fillId="0" borderId="0" xfId="0" applyNumberFormat="1"/>
    <xf numFmtId="0" fontId="0" fillId="0" borderId="0" xfId="0" applyFill="1" applyBorder="1"/>
    <xf numFmtId="11" fontId="0" fillId="0" borderId="0" xfId="0" applyNumberFormat="1" applyBorder="1"/>
    <xf numFmtId="11" fontId="0" fillId="0" borderId="0" xfId="0" applyNumberFormat="1"/>
    <xf numFmtId="1" fontId="0" fillId="0" borderId="0" xfId="0" applyNumberFormat="1"/>
  </cellXfs>
  <cellStyles count="3">
    <cellStyle name="Hyperlink" xfId="1" builtinId="8"/>
    <cellStyle name="Normal" xfId="0" builtinId="0"/>
    <cellStyle name="Normal 2" xfId="2" xr:uid="{0CD94BED-EA3B-4240-8120-8852261B2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Harpeth</a:t>
            </a:r>
            <a:r>
              <a:rPr lang="en-US" baseline="0"/>
              <a:t> River gauging stations 2/8/2020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Sheet1!$BP$1</c:f>
              <c:strCache>
                <c:ptCount val="1"/>
                <c:pt idx="0">
                  <c:v>FCO2 (g C m-2 d-1)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Sheet1!$G$2:$G$5</c:f>
              <c:numCache>
                <c:formatCode>0</c:formatCode>
                <c:ptCount val="4"/>
                <c:pt idx="0">
                  <c:v>1010</c:v>
                </c:pt>
                <c:pt idx="1">
                  <c:v>1310</c:v>
                </c:pt>
                <c:pt idx="2">
                  <c:v>2630</c:v>
                </c:pt>
                <c:pt idx="3">
                  <c:v>3530</c:v>
                </c:pt>
              </c:numCache>
            </c:numRef>
          </c:xVal>
          <c:yVal>
            <c:numRef>
              <c:f>Sheet1!$BP$2:$BP$5</c:f>
              <c:numCache>
                <c:formatCode>0.00</c:formatCode>
                <c:ptCount val="4"/>
                <c:pt idx="0">
                  <c:v>-36.869198550993865</c:v>
                </c:pt>
                <c:pt idx="1">
                  <c:v>-29.063381236702845</c:v>
                </c:pt>
                <c:pt idx="2">
                  <c:v>-23.323656823927202</c:v>
                </c:pt>
                <c:pt idx="3">
                  <c:v>-16.723554937882838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F-487D-99AB-4E0F2EEAF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248031"/>
        <c:axId val="234249695"/>
      </c:scatterChart>
      <c:valAx>
        <c:axId val="23424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Discharge (ft</a:t>
                </a:r>
                <a:r>
                  <a:rPr lang="en-US" sz="1400" baseline="30000"/>
                  <a:t>3</a:t>
                </a:r>
                <a:r>
                  <a:rPr lang="en-US" sz="1400"/>
                  <a:t> s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49695"/>
        <c:crossesAt val="-40"/>
        <c:crossBetween val="midCat"/>
      </c:valAx>
      <c:valAx>
        <c:axId val="2342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Flux CO</a:t>
                </a:r>
                <a:r>
                  <a:rPr lang="en-US" sz="1400" b="0" i="0" baseline="-25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 (g C m</a:t>
                </a:r>
                <a:r>
                  <a:rPr lang="en-US" sz="1400" b="0" i="0" baseline="30000">
                    <a:effectLst/>
                  </a:rPr>
                  <a:t>-2</a:t>
                </a:r>
                <a:r>
                  <a:rPr lang="en-US" sz="1400" b="0" i="0" baseline="0">
                    <a:effectLst/>
                  </a:rPr>
                  <a:t> d</a:t>
                </a:r>
                <a:r>
                  <a:rPr lang="en-US" sz="1400" b="0" i="0" baseline="30000">
                    <a:effectLst/>
                  </a:rPr>
                  <a:t>-1</a:t>
                </a:r>
                <a:r>
                  <a:rPr lang="en-US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48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328612</xdr:colOff>
      <xdr:row>7</xdr:row>
      <xdr:rowOff>166687</xdr:rowOff>
    </xdr:from>
    <xdr:to>
      <xdr:col>65</xdr:col>
      <xdr:colOff>228600</xdr:colOff>
      <xdr:row>21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799B8-6E17-4DE7-8BAF-16BB758D6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68</xdr:col>
      <xdr:colOff>514350</xdr:colOff>
      <xdr:row>6</xdr:row>
      <xdr:rowOff>28575</xdr:rowOff>
    </xdr:from>
    <xdr:to>
      <xdr:col>73</xdr:col>
      <xdr:colOff>323850</xdr:colOff>
      <xdr:row>10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F5E2F7-4187-4C63-B845-AF550B5FD3C5}"/>
            </a:ext>
          </a:extLst>
        </xdr:cNvPr>
        <xdr:cNvSpPr txBox="1"/>
      </xdr:nvSpPr>
      <xdr:spPr>
        <a:xfrm>
          <a:off x="58788300" y="1428750"/>
          <a:ext cx="385762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calculated CO2sat</a:t>
          </a:r>
          <a:r>
            <a:rPr lang="en-US" sz="1100" baseline="0"/>
            <a:t> and FCO2 using two different methods and got the same results.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yers, John C" id="{9AF12D22-F14A-462E-92E5-69E6D9719325}" userId="S::john.c.ayers@Vanderbilt.Edu::12edf861-6a32-44ff-8a1c-f1942872daa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02-10T22:26:02.39" personId="{9AF12D22-F14A-462E-92E5-69E6D9719325}" id="{8C1B114B-165F-4415-86CD-29EDB971A6FA}">
    <text>From Langmuir (1991) Table 1.1 pg. 16</text>
  </threadedComment>
  <threadedComment ref="Q1" dT="2020-12-28T18:23:18.79" personId="{9AF12D22-F14A-462E-92E5-69E6D9719325}" id="{F754B129-7D3D-4F74-B07A-3281DE44CF01}">
    <text>Added 187 mV for conversion of Hach ORP measurements made relative to Ag/AgCl electrode to standard hydrogen electrode</text>
  </threadedComment>
  <threadedComment ref="BL1" dT="2022-02-09T17:18:02.41" personId="{9AF12D22-F14A-462E-92E5-69E6D9719325}" id="{CD27863C-6007-4FF7-8A46-666804A80AA7}">
    <text>Wilhelm E, Battino R, Wilcock RJ (1977) Low-pressure solubility of gases in liquid water. Chem. Rev. 77:219–262</text>
  </threadedComment>
  <threadedComment ref="BM1" dT="2022-02-09T17:25:14.77" personId="{9AF12D22-F14A-462E-92E5-69E6D9719325}" id="{E7608C05-BE78-456C-84E3-E369B45C37AD}">
    <text>Henry's Law says that P = Kh*X where X is the mole fraction in water, then P1/X1 = P2/X2 and P1 = 1
I want to calculate X2 from P2, so X2 = P2*X1</text>
  </threadedComment>
  <threadedComment ref="BN1" dT="2022-02-09T14:32:24.34" personId="{9AF12D22-F14A-462E-92E5-69E6D9719325}" id="{93B3345D-1C3E-49AA-BAD0-B88858CF49BC}">
    <text>1 kg H2O has 55.55 moles H2O, so 
# moles CO2 per kg H2O = XCO2*55.55
CO2sat (mol m-3) = moles CO2/kg H2O * 1000 kg/m^3 = moles m-3</text>
  </threadedComment>
  <threadedComment ref="BO1" dT="2022-02-09T14:35:32.68" personId="{9AF12D22-F14A-462E-92E5-69E6D9719325}" id="{5FF89CE2-50FD-4168-A4C4-817FB92E1B36}">
    <text>Using average kCO2 of 5.7 m d-1 from Raymond et al. (2013)</text>
  </threadedComment>
  <threadedComment ref="BT1" dT="2022-02-09T14:35:32.68" personId="{9AF12D22-F14A-462E-92E5-69E6D9719325}" id="{3C03E67F-7721-4F77-A997-2C7E8FB1D601}">
    <text>Using average kCO2 of 5.7 m d-1 from Raymond et al. (2013)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terdata.usgs.gov/monitoring-location/03433500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"/>
  <sheetViews>
    <sheetView tabSelected="1" topLeftCell="BG7" workbookViewId="0">
      <selection activeCell="BJ8" sqref="BJ8"/>
    </sheetView>
  </sheetViews>
  <sheetFormatPr defaultColWidth="10.58203125" defaultRowHeight="15.5" x14ac:dyDescent="0.35"/>
  <cols>
    <col min="2" max="2" width="24.58203125" customWidth="1"/>
    <col min="3" max="3" width="11" bestFit="1" customWidth="1"/>
    <col min="7" max="7" width="15.75" bestFit="1" customWidth="1"/>
    <col min="8" max="8" width="21.33203125" customWidth="1"/>
    <col min="65" max="65" width="22.58203125" bestFit="1" customWidth="1"/>
  </cols>
  <sheetData>
    <row r="1" spans="1:74" ht="3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7" t="s">
        <v>9</v>
      </c>
      <c r="K1" s="19" t="s">
        <v>75</v>
      </c>
      <c r="L1" s="19" t="s">
        <v>70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6</v>
      </c>
      <c r="U1" s="7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1" t="s">
        <v>47</v>
      </c>
      <c r="AZ1" s="1" t="s">
        <v>48</v>
      </c>
      <c r="BA1" t="s">
        <v>58</v>
      </c>
      <c r="BB1" t="s">
        <v>61</v>
      </c>
      <c r="BC1" t="s">
        <v>62</v>
      </c>
      <c r="BD1" t="s">
        <v>59</v>
      </c>
      <c r="BE1" t="s">
        <v>63</v>
      </c>
      <c r="BF1" t="s">
        <v>76</v>
      </c>
      <c r="BG1" t="s">
        <v>65</v>
      </c>
      <c r="BH1" t="s">
        <v>64</v>
      </c>
      <c r="BI1" t="s">
        <v>66</v>
      </c>
      <c r="BJ1" t="s">
        <v>67</v>
      </c>
      <c r="BK1" t="s">
        <v>71</v>
      </c>
      <c r="BL1" t="s">
        <v>74</v>
      </c>
      <c r="BM1" t="s">
        <v>72</v>
      </c>
      <c r="BN1" t="s">
        <v>73</v>
      </c>
      <c r="BO1" t="s">
        <v>68</v>
      </c>
      <c r="BP1" t="s">
        <v>69</v>
      </c>
      <c r="BR1" t="s">
        <v>77</v>
      </c>
      <c r="BS1" t="s">
        <v>78</v>
      </c>
      <c r="BT1" t="s">
        <v>68</v>
      </c>
      <c r="BU1" t="s">
        <v>69</v>
      </c>
      <c r="BV1" t="s">
        <v>79</v>
      </c>
    </row>
    <row r="2" spans="1:74" x14ac:dyDescent="0.35">
      <c r="A2" s="7" t="s">
        <v>49</v>
      </c>
      <c r="B2" s="7" t="s">
        <v>50</v>
      </c>
      <c r="C2" s="7">
        <v>35.920816500000001</v>
      </c>
      <c r="D2" s="7">
        <v>-86.865498200000005</v>
      </c>
      <c r="E2" s="13">
        <v>43869</v>
      </c>
      <c r="F2" s="14">
        <v>0.56597222222222221</v>
      </c>
      <c r="G2" s="15">
        <v>1010</v>
      </c>
      <c r="H2" s="15"/>
      <c r="I2" s="7">
        <v>8.1</v>
      </c>
      <c r="J2" s="7">
        <v>11.41</v>
      </c>
      <c r="K2" s="20">
        <v>5.11E-2</v>
      </c>
      <c r="L2" s="7">
        <f>J2+273.15</f>
        <v>284.56</v>
      </c>
      <c r="M2" s="7">
        <v>297.5</v>
      </c>
      <c r="N2" s="7">
        <v>0.14000000000000001</v>
      </c>
      <c r="O2" s="7">
        <v>0.19</v>
      </c>
      <c r="P2" s="7">
        <v>7.05</v>
      </c>
      <c r="Q2" s="7">
        <f>187+248</f>
        <v>435</v>
      </c>
      <c r="R2" s="7"/>
      <c r="S2" s="7">
        <v>18.399999999999999</v>
      </c>
      <c r="T2" s="15">
        <v>1010</v>
      </c>
      <c r="U2" s="8">
        <v>142.88537549407113</v>
      </c>
      <c r="V2" s="2">
        <v>22.7</v>
      </c>
      <c r="W2" s="2">
        <v>5.8559999999999999</v>
      </c>
      <c r="X2" s="3">
        <v>59890</v>
      </c>
      <c r="Y2" s="2">
        <v>16.3</v>
      </c>
      <c r="Z2" s="3">
        <v>840</v>
      </c>
      <c r="AA2" s="3">
        <v>3520</v>
      </c>
      <c r="AB2" s="3">
        <v>1370</v>
      </c>
      <c r="AC2" s="3">
        <v>125</v>
      </c>
      <c r="AD2" s="3">
        <v>5380</v>
      </c>
      <c r="AE2" s="3">
        <v>2515</v>
      </c>
      <c r="AF2" s="3">
        <v>165</v>
      </c>
      <c r="AG2" s="4">
        <v>3.13</v>
      </c>
      <c r="AH2" s="5">
        <v>4.3900000000000002E-2</v>
      </c>
      <c r="AI2" s="5">
        <v>1.84</v>
      </c>
      <c r="AJ2" s="5">
        <v>21.2</v>
      </c>
      <c r="AK2" s="10">
        <v>2.76E-2</v>
      </c>
      <c r="AL2" s="5">
        <v>0.17899999999999999</v>
      </c>
      <c r="AM2" s="10">
        <v>0.13500000000000001</v>
      </c>
      <c r="AN2" s="11">
        <v>8.1499999999999993E-3</v>
      </c>
      <c r="AO2" s="5">
        <v>5.86</v>
      </c>
      <c r="AP2" s="5">
        <v>0.45100000000000001</v>
      </c>
      <c r="AQ2" s="5">
        <v>1.28</v>
      </c>
      <c r="AR2" s="5">
        <v>6.1600000000000002E-2</v>
      </c>
      <c r="AS2" s="5">
        <v>2.46</v>
      </c>
      <c r="AT2" s="5">
        <v>0.26600000000000001</v>
      </c>
      <c r="AU2" s="3">
        <v>2084</v>
      </c>
      <c r="AV2" s="3">
        <v>628</v>
      </c>
      <c r="AW2" s="3">
        <v>339</v>
      </c>
      <c r="AX2" s="3">
        <v>15125</v>
      </c>
      <c r="AY2" s="3">
        <v>35350</v>
      </c>
      <c r="AZ2" s="3">
        <v>6028</v>
      </c>
      <c r="BA2" s="17">
        <v>9.6129999999999993E-2</v>
      </c>
      <c r="BB2">
        <v>164.2</v>
      </c>
      <c r="BC2">
        <v>119.1</v>
      </c>
      <c r="BD2" t="s">
        <v>60</v>
      </c>
      <c r="BE2">
        <v>260.10000000000002</v>
      </c>
      <c r="BF2">
        <v>1.0749999999999999E-2</v>
      </c>
      <c r="BG2" s="18">
        <f>LOG10(BF2)</f>
        <v>-1.9685915357483759</v>
      </c>
      <c r="BH2">
        <v>-0.48070000000000002</v>
      </c>
      <c r="BI2">
        <v>560.1</v>
      </c>
      <c r="BJ2">
        <f>BI2/1000</f>
        <v>0.56010000000000004</v>
      </c>
      <c r="BK2">
        <f>414.63/1000000</f>
        <v>4.1462999999999998E-4</v>
      </c>
      <c r="BL2">
        <f>-317.658+17371.2/L2+43.0607*LN(L2)-0.00219107*L2</f>
        <v>-13.9020559485842</v>
      </c>
      <c r="BM2">
        <f>BK2*EXP(BL2/1.987)</f>
        <v>3.7941727041286735E-7</v>
      </c>
      <c r="BN2">
        <f>BM2*55.55*1000</f>
        <v>2.1076629371434778E-2</v>
      </c>
      <c r="BO2" s="18">
        <f>5.7*(BN2-BJ2)</f>
        <v>-3.0724332125828222</v>
      </c>
      <c r="BP2" s="18">
        <f>BO2*12</f>
        <v>-36.869198550993865</v>
      </c>
      <c r="BR2" s="21">
        <f>K2*BK2</f>
        <v>2.1187592999999998E-5</v>
      </c>
      <c r="BS2" s="21">
        <f>BR2*1000</f>
        <v>2.1187592999999998E-2</v>
      </c>
      <c r="BT2" s="18">
        <f>5.7*(BS2-BJ2)</f>
        <v>-3.0718007199000006</v>
      </c>
      <c r="BU2" s="18">
        <f>BT2*12</f>
        <v>-36.861608638800007</v>
      </c>
      <c r="BV2" s="22">
        <f>BU2*365</f>
        <v>-13454.487153162003</v>
      </c>
    </row>
    <row r="3" spans="1:74" x14ac:dyDescent="0.35">
      <c r="A3" s="7" t="s">
        <v>51</v>
      </c>
      <c r="B3" s="7" t="s">
        <v>52</v>
      </c>
      <c r="C3" s="7">
        <v>35.948166000000001</v>
      </c>
      <c r="D3" s="7">
        <v>-86.881743</v>
      </c>
      <c r="E3" s="13">
        <v>43869</v>
      </c>
      <c r="F3" s="14">
        <v>0.58333333333333337</v>
      </c>
      <c r="G3" s="15">
        <v>1310</v>
      </c>
      <c r="H3" s="15"/>
      <c r="I3" s="7">
        <v>8</v>
      </c>
      <c r="J3" s="7">
        <v>10.26</v>
      </c>
      <c r="K3" s="20">
        <v>5.2900000000000003E-2</v>
      </c>
      <c r="L3" s="7">
        <f t="shared" ref="L3:L5" si="0">J3+273.15</f>
        <v>283.40999999999997</v>
      </c>
      <c r="M3" s="7">
        <v>315.89999999999998</v>
      </c>
      <c r="N3" s="7">
        <v>0.15</v>
      </c>
      <c r="O3" s="7">
        <v>0.20219999999999999</v>
      </c>
      <c r="P3" s="7">
        <v>7.19</v>
      </c>
      <c r="Q3" s="7">
        <f>187+233</f>
        <v>420</v>
      </c>
      <c r="R3" s="7">
        <v>10.93</v>
      </c>
      <c r="S3" s="7">
        <v>16.100000000000001</v>
      </c>
      <c r="T3" s="15">
        <v>1310</v>
      </c>
      <c r="U3" s="8">
        <v>177.77777777777777</v>
      </c>
      <c r="V3" s="2">
        <v>25.1</v>
      </c>
      <c r="W3" s="2">
        <v>6.1669999999999998</v>
      </c>
      <c r="X3" s="3">
        <v>63840</v>
      </c>
      <c r="Y3" s="2">
        <v>18.2</v>
      </c>
      <c r="Z3" s="3">
        <v>940</v>
      </c>
      <c r="AA3" s="3">
        <v>3910</v>
      </c>
      <c r="AB3" s="3">
        <v>1910</v>
      </c>
      <c r="AC3" s="3">
        <v>118</v>
      </c>
      <c r="AD3" s="3">
        <v>7260</v>
      </c>
      <c r="AE3" s="3">
        <v>2520</v>
      </c>
      <c r="AF3" s="3">
        <v>182</v>
      </c>
      <c r="AG3" s="4">
        <v>3.16</v>
      </c>
      <c r="AH3" s="5">
        <v>4.6699999999999998E-2</v>
      </c>
      <c r="AI3" s="5">
        <v>1.76</v>
      </c>
      <c r="AJ3" s="5">
        <v>20.9</v>
      </c>
      <c r="AK3" s="10">
        <v>2.6100000000000002E-2</v>
      </c>
      <c r="AL3" s="5">
        <v>0.20300000000000001</v>
      </c>
      <c r="AM3" s="10">
        <v>0.13300000000000001</v>
      </c>
      <c r="AN3" s="11">
        <v>8.2900000000000005E-3</v>
      </c>
      <c r="AO3" s="5">
        <v>6.01</v>
      </c>
      <c r="AP3" s="5">
        <v>0.42799999999999999</v>
      </c>
      <c r="AQ3" s="5">
        <v>1.24</v>
      </c>
      <c r="AR3" s="5">
        <v>6.8500000000000005E-2</v>
      </c>
      <c r="AS3" s="5">
        <v>2.76</v>
      </c>
      <c r="AT3" s="5">
        <v>0.27300000000000002</v>
      </c>
      <c r="AU3" s="3">
        <v>2912</v>
      </c>
      <c r="AV3" s="3">
        <v>727</v>
      </c>
      <c r="AW3" s="3">
        <v>335</v>
      </c>
      <c r="AX3" s="3">
        <v>19265</v>
      </c>
      <c r="AY3" s="3">
        <v>36450</v>
      </c>
      <c r="AZ3" s="3">
        <v>5873</v>
      </c>
      <c r="BA3" s="17">
        <v>7.3999999999999996E-2</v>
      </c>
      <c r="BB3">
        <v>175.7</v>
      </c>
      <c r="BC3">
        <v>129.4</v>
      </c>
      <c r="BD3" t="s">
        <v>60</v>
      </c>
      <c r="BE3">
        <v>279.10000000000002</v>
      </c>
      <c r="BF3">
        <v>8.3059999999999991E-3</v>
      </c>
      <c r="BG3" s="18">
        <f t="shared" ref="BG3:BG5" si="1">LOG10(BF3)</f>
        <v>-2.0806080732261405</v>
      </c>
      <c r="BH3">
        <v>-0.30299999999999999</v>
      </c>
      <c r="BI3">
        <v>446.8</v>
      </c>
      <c r="BJ3">
        <f t="shared" ref="BJ3:BJ5" si="2">BI3/1000</f>
        <v>0.44680000000000003</v>
      </c>
      <c r="BK3">
        <f t="shared" ref="BK3:BK5" si="3">414.63/1000000</f>
        <v>4.1462999999999998E-4</v>
      </c>
      <c r="BL3">
        <f t="shared" ref="BL3:BL5" si="4">-317.658+17371.2/L3+43.0607*LN(L3)-0.00219107*L3</f>
        <v>-13.826203972102356</v>
      </c>
      <c r="BM3">
        <f t="shared" ref="BM3:BM5" si="5">BK3*EXP(BL3/1.987)</f>
        <v>3.9418119793483474E-7</v>
      </c>
      <c r="BN3">
        <f>BM3*55.55*1000</f>
        <v>2.189676554528007E-2</v>
      </c>
      <c r="BO3" s="18">
        <f>5.7*(BN3-BJ3)</f>
        <v>-2.4219484363919039</v>
      </c>
      <c r="BP3" s="18">
        <f t="shared" ref="BP3:BP5" si="6">BO3*12</f>
        <v>-29.063381236702845</v>
      </c>
      <c r="BR3" s="21">
        <f>K3*BK3</f>
        <v>2.1933927000000001E-5</v>
      </c>
      <c r="BS3" s="21">
        <f>BR3*1000</f>
        <v>2.1933927000000002E-2</v>
      </c>
      <c r="BT3" s="18">
        <f>5.7*(BS3-BJ3)</f>
        <v>-2.4217366161</v>
      </c>
      <c r="BU3" s="18">
        <f t="shared" ref="BU3:BU5" si="7">BT3*12</f>
        <v>-29.060839393199998</v>
      </c>
      <c r="BV3" s="22">
        <f t="shared" ref="BV3:BV5" si="8">BU3*365</f>
        <v>-10607.206378518</v>
      </c>
    </row>
    <row r="4" spans="1:74" x14ac:dyDescent="0.35">
      <c r="A4" s="16" t="s">
        <v>53</v>
      </c>
      <c r="B4" s="7" t="s">
        <v>54</v>
      </c>
      <c r="C4" s="7">
        <v>36.054563000000002</v>
      </c>
      <c r="D4" s="7">
        <v>-86.928510000000003</v>
      </c>
      <c r="E4" s="13">
        <v>43869</v>
      </c>
      <c r="F4" s="14">
        <v>0.60416666666666663</v>
      </c>
      <c r="G4" s="15">
        <v>2630</v>
      </c>
      <c r="H4" s="15"/>
      <c r="I4" s="7">
        <v>7.9</v>
      </c>
      <c r="J4" s="7">
        <v>9.9700000000000006</v>
      </c>
      <c r="K4" s="20">
        <v>5.33E-2</v>
      </c>
      <c r="L4" s="7">
        <f t="shared" si="0"/>
        <v>283.12</v>
      </c>
      <c r="M4" s="7">
        <v>305.8</v>
      </c>
      <c r="N4" s="7">
        <v>0.15</v>
      </c>
      <c r="O4" s="7">
        <v>0.19570000000000001</v>
      </c>
      <c r="P4" s="7">
        <v>7.28</v>
      </c>
      <c r="Q4" s="7">
        <f>187+247</f>
        <v>434</v>
      </c>
      <c r="R4" s="7">
        <v>10.57</v>
      </c>
      <c r="S4" s="7">
        <v>20.7</v>
      </c>
      <c r="T4" s="15">
        <v>2630</v>
      </c>
      <c r="U4" s="8">
        <v>128.18725099601596</v>
      </c>
      <c r="V4" s="2">
        <v>24.9</v>
      </c>
      <c r="W4" s="2">
        <v>5.8529999999999998</v>
      </c>
      <c r="X4" s="3">
        <v>60580</v>
      </c>
      <c r="Y4" s="2">
        <v>17.100000000000001</v>
      </c>
      <c r="Z4" s="3">
        <v>890</v>
      </c>
      <c r="AA4" s="3">
        <v>3710</v>
      </c>
      <c r="AB4" s="3">
        <v>1720</v>
      </c>
      <c r="AC4" s="3">
        <v>121</v>
      </c>
      <c r="AD4" s="3">
        <v>7230</v>
      </c>
      <c r="AE4" s="3">
        <v>2643</v>
      </c>
      <c r="AF4" s="3">
        <v>176</v>
      </c>
      <c r="AG4" s="4">
        <v>2.98</v>
      </c>
      <c r="AH4" s="5">
        <v>4.2599999999999999E-2</v>
      </c>
      <c r="AI4" s="5">
        <v>1.7</v>
      </c>
      <c r="AJ4" s="5">
        <v>20.8</v>
      </c>
      <c r="AK4" s="10">
        <v>2.5899999999999999E-2</v>
      </c>
      <c r="AL4" s="5">
        <v>0.182</v>
      </c>
      <c r="AM4" s="10">
        <v>0.128</v>
      </c>
      <c r="AN4" s="11">
        <v>8.1899999999999994E-3</v>
      </c>
      <c r="AO4" s="5">
        <v>5.96</v>
      </c>
      <c r="AP4" s="5">
        <v>0.434</v>
      </c>
      <c r="AQ4" s="5">
        <v>1.29</v>
      </c>
      <c r="AR4" s="5">
        <v>6.2300000000000001E-2</v>
      </c>
      <c r="AS4" s="5">
        <v>2.8</v>
      </c>
      <c r="AT4" s="5">
        <v>0.26400000000000001</v>
      </c>
      <c r="AU4" s="3">
        <v>2649</v>
      </c>
      <c r="AV4" s="3">
        <v>705</v>
      </c>
      <c r="AW4" s="3">
        <v>348</v>
      </c>
      <c r="AX4" s="3">
        <v>19814</v>
      </c>
      <c r="AY4" s="3">
        <v>35240</v>
      </c>
      <c r="AZ4" s="3">
        <v>5969</v>
      </c>
      <c r="BA4" s="17">
        <v>5.0500000000000003E-2</v>
      </c>
      <c r="BB4">
        <v>166.7</v>
      </c>
      <c r="BC4">
        <v>128.6</v>
      </c>
      <c r="BD4" t="s">
        <v>60</v>
      </c>
      <c r="BE4">
        <v>270.5</v>
      </c>
      <c r="BF4">
        <v>6.6950000000000004E-3</v>
      </c>
      <c r="BG4" s="18">
        <f t="shared" si="1"/>
        <v>-2.1742494186519723</v>
      </c>
      <c r="BH4">
        <v>-0.2402</v>
      </c>
      <c r="BI4">
        <v>363.1</v>
      </c>
      <c r="BJ4">
        <f t="shared" si="2"/>
        <v>0.36310000000000003</v>
      </c>
      <c r="BK4">
        <f t="shared" si="3"/>
        <v>4.1462999999999998E-4</v>
      </c>
      <c r="BL4">
        <f t="shared" si="4"/>
        <v>-13.806870085735339</v>
      </c>
      <c r="BM4">
        <f t="shared" si="5"/>
        <v>3.9803537618835593E-7</v>
      </c>
      <c r="BN4">
        <f>BM4*55.55*1000</f>
        <v>2.2110865147263171E-2</v>
      </c>
      <c r="BO4" s="18">
        <f>5.7*(BN4-BJ4)</f>
        <v>-1.9436380686606001</v>
      </c>
      <c r="BP4" s="18">
        <f t="shared" si="6"/>
        <v>-23.323656823927202</v>
      </c>
      <c r="BR4" s="21">
        <f>K4*BK4</f>
        <v>2.2099779000000001E-5</v>
      </c>
      <c r="BS4" s="21">
        <f>BR4*1000</f>
        <v>2.2099779E-2</v>
      </c>
      <c r="BT4" s="18">
        <f>5.7*(BS4-BJ4)</f>
        <v>-1.9437012597000003</v>
      </c>
      <c r="BU4" s="18">
        <f t="shared" si="7"/>
        <v>-23.324415116400004</v>
      </c>
      <c r="BV4" s="22">
        <f t="shared" si="8"/>
        <v>-8513.4115174860017</v>
      </c>
    </row>
    <row r="5" spans="1:74" x14ac:dyDescent="0.35">
      <c r="A5" s="7" t="s">
        <v>55</v>
      </c>
      <c r="B5" s="7" t="s">
        <v>56</v>
      </c>
      <c r="C5" s="7">
        <v>36.071919999999999</v>
      </c>
      <c r="D5" s="7">
        <v>-87.055599999999998</v>
      </c>
      <c r="E5" s="13">
        <v>43869</v>
      </c>
      <c r="F5" s="14">
        <v>0.63055555555555554</v>
      </c>
      <c r="G5" s="15">
        <v>3530</v>
      </c>
      <c r="H5" s="15"/>
      <c r="I5" s="7">
        <v>7.9</v>
      </c>
      <c r="J5" s="7">
        <v>9.58</v>
      </c>
      <c r="K5" s="20">
        <v>5.4100000000000002E-2</v>
      </c>
      <c r="L5" s="7">
        <f t="shared" si="0"/>
        <v>282.72999999999996</v>
      </c>
      <c r="M5" s="7">
        <v>274.7</v>
      </c>
      <c r="N5" s="7">
        <v>0.13</v>
      </c>
      <c r="O5" s="7">
        <v>0.17580000000000001</v>
      </c>
      <c r="P5" s="7">
        <v>7.43</v>
      </c>
      <c r="Q5" s="7">
        <f>187+235</f>
        <v>422</v>
      </c>
      <c r="R5" s="7">
        <v>10.81</v>
      </c>
      <c r="S5" s="7">
        <v>21.2</v>
      </c>
      <c r="T5" s="15">
        <v>3530</v>
      </c>
      <c r="U5" s="8">
        <v>182.80193236714979</v>
      </c>
      <c r="V5" s="2">
        <v>24.6</v>
      </c>
      <c r="W5" s="2">
        <v>5.7510000000000003</v>
      </c>
      <c r="X5" s="3">
        <v>54070</v>
      </c>
      <c r="Y5" s="2">
        <v>18.5</v>
      </c>
      <c r="Z5" s="3">
        <v>860</v>
      </c>
      <c r="AA5" s="3">
        <v>3880</v>
      </c>
      <c r="AB5" s="3">
        <v>1610</v>
      </c>
      <c r="AC5" s="3">
        <v>98.5</v>
      </c>
      <c r="AD5" s="3">
        <v>6650</v>
      </c>
      <c r="AE5" s="3">
        <v>2641</v>
      </c>
      <c r="AF5" s="3">
        <v>169</v>
      </c>
      <c r="AG5" s="4">
        <v>2.84</v>
      </c>
      <c r="AH5" s="5">
        <v>4.5900000000000003E-2</v>
      </c>
      <c r="AI5" s="5">
        <v>1.82</v>
      </c>
      <c r="AJ5" s="5">
        <v>20.6</v>
      </c>
      <c r="AK5" s="10">
        <v>2.4899999999999999E-2</v>
      </c>
      <c r="AL5" s="5">
        <v>0.184</v>
      </c>
      <c r="AM5" s="10">
        <v>0.126</v>
      </c>
      <c r="AN5" s="11">
        <v>8.4499999999999992E-3</v>
      </c>
      <c r="AO5" s="5">
        <v>5.74</v>
      </c>
      <c r="AP5" s="5">
        <v>0.44700000000000001</v>
      </c>
      <c r="AQ5" s="5">
        <v>1.32</v>
      </c>
      <c r="AR5" s="5">
        <v>6.7799999999999999E-2</v>
      </c>
      <c r="AS5" s="5">
        <v>2.66</v>
      </c>
      <c r="AT5" s="5">
        <v>0.26</v>
      </c>
      <c r="AU5" s="3">
        <v>2353</v>
      </c>
      <c r="AV5" s="3">
        <v>654</v>
      </c>
      <c r="AW5" s="3">
        <v>314</v>
      </c>
      <c r="AX5" s="3">
        <v>18324</v>
      </c>
      <c r="AY5" s="3">
        <v>34960</v>
      </c>
      <c r="AZ5" s="3">
        <v>6305</v>
      </c>
      <c r="BA5" s="17">
        <v>-4.4939999999999997E-3</v>
      </c>
      <c r="BB5">
        <v>151.1</v>
      </c>
      <c r="BC5">
        <v>132.4</v>
      </c>
      <c r="BD5" t="s">
        <v>60</v>
      </c>
      <c r="BE5">
        <v>262.10000000000002</v>
      </c>
      <c r="BF5">
        <v>4.8659999999999997E-3</v>
      </c>
      <c r="BG5" s="18">
        <f t="shared" si="1"/>
        <v>-2.3128278954052002</v>
      </c>
      <c r="BH5">
        <v>-0.12859999999999999</v>
      </c>
      <c r="BI5">
        <v>266.89999999999998</v>
      </c>
      <c r="BJ5">
        <f t="shared" si="2"/>
        <v>0.26689999999999997</v>
      </c>
      <c r="BK5">
        <f t="shared" si="3"/>
        <v>4.1462999999999998E-4</v>
      </c>
      <c r="BL5">
        <f t="shared" si="4"/>
        <v>-13.780737522221056</v>
      </c>
      <c r="BM5">
        <f t="shared" si="5"/>
        <v>4.0330482051288277E-7</v>
      </c>
      <c r="BN5">
        <f>BM5*55.55*1000</f>
        <v>2.2403582779490637E-2</v>
      </c>
      <c r="BO5" s="18">
        <f>5.7*(BN5-BJ5)</f>
        <v>-1.3936295781569032</v>
      </c>
      <c r="BP5" s="18">
        <f t="shared" si="6"/>
        <v>-16.723554937882838</v>
      </c>
      <c r="BR5" s="21">
        <f>K5*BK5</f>
        <v>2.2431483E-5</v>
      </c>
      <c r="BS5" s="21">
        <f>BR5*1000</f>
        <v>2.2431483000000002E-2</v>
      </c>
      <c r="BT5" s="18">
        <f>5.7*(BS5-BJ5)</f>
        <v>-1.3934705468999999</v>
      </c>
      <c r="BU5" s="18">
        <f t="shared" si="7"/>
        <v>-16.7216465628</v>
      </c>
      <c r="BV5" s="22">
        <f t="shared" si="8"/>
        <v>-6103.4009954220001</v>
      </c>
    </row>
    <row r="6" spans="1:74" x14ac:dyDescent="0.35">
      <c r="P6">
        <f>AVERAGE(P3:P5)</f>
        <v>7.3</v>
      </c>
      <c r="Q6" s="9">
        <f>AVERAGE(Q3:Q5)</f>
        <v>425.33333333333331</v>
      </c>
      <c r="R6">
        <f>AVERAGE(R3:R5)</f>
        <v>10.770000000000001</v>
      </c>
      <c r="BU6" s="18"/>
    </row>
    <row r="7" spans="1:74" x14ac:dyDescent="0.35">
      <c r="B7" t="s">
        <v>57</v>
      </c>
      <c r="U7" s="9">
        <f>AVERAGE(U2:U5)</f>
        <v>157.91308415875366</v>
      </c>
      <c r="V7" s="9">
        <f t="shared" ref="V7:AZ7" si="9">AVERAGE(V2:V5)</f>
        <v>24.324999999999996</v>
      </c>
      <c r="W7" s="9">
        <f t="shared" si="9"/>
        <v>5.9067499999999997</v>
      </c>
      <c r="X7" s="9">
        <f t="shared" si="9"/>
        <v>59595</v>
      </c>
      <c r="Y7" s="9">
        <f t="shared" si="9"/>
        <v>17.524999999999999</v>
      </c>
      <c r="Z7" s="9">
        <f t="shared" si="9"/>
        <v>882.5</v>
      </c>
      <c r="AA7" s="9">
        <f t="shared" si="9"/>
        <v>3755</v>
      </c>
      <c r="AB7" s="9">
        <f t="shared" si="9"/>
        <v>1652.5</v>
      </c>
      <c r="AC7" s="9">
        <f t="shared" si="9"/>
        <v>115.625</v>
      </c>
      <c r="AD7" s="9">
        <f t="shared" si="9"/>
        <v>6630</v>
      </c>
      <c r="AE7" s="9">
        <f t="shared" si="9"/>
        <v>2579.75</v>
      </c>
      <c r="AF7" s="9">
        <f t="shared" si="9"/>
        <v>173</v>
      </c>
      <c r="AG7" s="9">
        <f t="shared" si="9"/>
        <v>3.0274999999999999</v>
      </c>
      <c r="AH7" s="9">
        <f t="shared" si="9"/>
        <v>4.4774999999999995E-2</v>
      </c>
      <c r="AI7" s="9">
        <f t="shared" si="9"/>
        <v>1.78</v>
      </c>
      <c r="AJ7" s="9">
        <f t="shared" si="9"/>
        <v>20.875</v>
      </c>
      <c r="AK7" s="9">
        <f t="shared" si="9"/>
        <v>2.6125000000000002E-2</v>
      </c>
      <c r="AL7" s="9">
        <f t="shared" si="9"/>
        <v>0.187</v>
      </c>
      <c r="AM7" s="9">
        <f t="shared" si="9"/>
        <v>0.1305</v>
      </c>
      <c r="AN7" s="9">
        <f t="shared" si="9"/>
        <v>8.2699999999999996E-3</v>
      </c>
      <c r="AO7" s="9">
        <f t="shared" si="9"/>
        <v>5.8925000000000001</v>
      </c>
      <c r="AP7" s="9">
        <f t="shared" si="9"/>
        <v>0.44</v>
      </c>
      <c r="AQ7" s="9">
        <f t="shared" si="9"/>
        <v>1.2825</v>
      </c>
      <c r="AR7" s="9">
        <f t="shared" si="9"/>
        <v>6.5049999999999997E-2</v>
      </c>
      <c r="AS7" s="9">
        <f t="shared" si="9"/>
        <v>2.67</v>
      </c>
      <c r="AT7" s="9">
        <f t="shared" si="9"/>
        <v>0.26575000000000004</v>
      </c>
      <c r="AU7" s="9">
        <f t="shared" si="9"/>
        <v>2499.5</v>
      </c>
      <c r="AV7" s="9">
        <f t="shared" si="9"/>
        <v>678.5</v>
      </c>
      <c r="AW7" s="9">
        <f t="shared" si="9"/>
        <v>334</v>
      </c>
      <c r="AX7" s="9">
        <f t="shared" si="9"/>
        <v>18132</v>
      </c>
      <c r="AY7" s="9">
        <f t="shared" si="9"/>
        <v>35500</v>
      </c>
      <c r="AZ7" s="9">
        <f t="shared" si="9"/>
        <v>6043.75</v>
      </c>
    </row>
    <row r="9" spans="1:74" x14ac:dyDescent="0.35">
      <c r="G9">
        <f>(6.35-5.33)*(9.58-5)/5</f>
        <v>0.9343199999999996</v>
      </c>
      <c r="H9">
        <f>6.35-G9</f>
        <v>5.41568</v>
      </c>
    </row>
  </sheetData>
  <phoneticPr fontId="1" type="noConversion"/>
  <hyperlinks>
    <hyperlink ref="A4" r:id="rId1" xr:uid="{B3CFB0A1-C2AB-43E9-B720-1074686F8B0A}"/>
  </hyperlinks>
  <pageMargins left="0.7" right="0.7" top="0.75" bottom="0.75" header="0.3" footer="0.3"/>
  <pageSetup orientation="portrait" horizontalDpi="0" verticalDpi="0" r:id="rId2"/>
  <drawing r:id="rId3"/>
  <legacyDrawing r:id="rId4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0B578A8-79A7-4DA0-ACA3-15619FC66DE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Sheet1!T2:T5</xm:f>
              <xm:sqref>T6</xm:sqref>
            </x14:sparkline>
            <x14:sparkline>
              <xm:f>Sheet1!U2:U5</xm:f>
              <xm:sqref>U6</xm:sqref>
            </x14:sparkline>
            <x14:sparkline>
              <xm:f>Sheet1!V2:V5</xm:f>
              <xm:sqref>V6</xm:sqref>
            </x14:sparkline>
            <x14:sparkline>
              <xm:f>Sheet1!W2:W5</xm:f>
              <xm:sqref>W6</xm:sqref>
            </x14:sparkline>
            <x14:sparkline>
              <xm:f>Sheet1!X2:X5</xm:f>
              <xm:sqref>X6</xm:sqref>
            </x14:sparkline>
            <x14:sparkline>
              <xm:f>Sheet1!Y2:Y5</xm:f>
              <xm:sqref>Y6</xm:sqref>
            </x14:sparkline>
            <x14:sparkline>
              <xm:f>Sheet1!Z2:Z5</xm:f>
              <xm:sqref>Z6</xm:sqref>
            </x14:sparkline>
            <x14:sparkline>
              <xm:f>Sheet1!AA2:AA5</xm:f>
              <xm:sqref>AA6</xm:sqref>
            </x14:sparkline>
            <x14:sparkline>
              <xm:f>Sheet1!AB2:AB5</xm:f>
              <xm:sqref>AB6</xm:sqref>
            </x14:sparkline>
            <x14:sparkline>
              <xm:f>Sheet1!AC2:AC5</xm:f>
              <xm:sqref>AC6</xm:sqref>
            </x14:sparkline>
            <x14:sparkline>
              <xm:f>Sheet1!AD2:AD5</xm:f>
              <xm:sqref>AD6</xm:sqref>
            </x14:sparkline>
            <x14:sparkline>
              <xm:f>Sheet1!AE2:AE5</xm:f>
              <xm:sqref>AE6</xm:sqref>
            </x14:sparkline>
            <x14:sparkline>
              <xm:f>Sheet1!AF2:AF5</xm:f>
              <xm:sqref>AF6</xm:sqref>
            </x14:sparkline>
            <x14:sparkline>
              <xm:f>Sheet1!AG2:AG5</xm:f>
              <xm:sqref>AG6</xm:sqref>
            </x14:sparkline>
            <x14:sparkline>
              <xm:f>Sheet1!AH2:AH5</xm:f>
              <xm:sqref>AH6</xm:sqref>
            </x14:sparkline>
            <x14:sparkline>
              <xm:f>Sheet1!AI2:AI5</xm:f>
              <xm:sqref>AI6</xm:sqref>
            </x14:sparkline>
            <x14:sparkline>
              <xm:f>Sheet1!AJ2:AJ5</xm:f>
              <xm:sqref>AJ6</xm:sqref>
            </x14:sparkline>
            <x14:sparkline>
              <xm:f>Sheet1!AK2:AK5</xm:f>
              <xm:sqref>AK6</xm:sqref>
            </x14:sparkline>
            <x14:sparkline>
              <xm:f>Sheet1!AL2:AL5</xm:f>
              <xm:sqref>AL6</xm:sqref>
            </x14:sparkline>
            <x14:sparkline>
              <xm:f>Sheet1!AM2:AM5</xm:f>
              <xm:sqref>AM6</xm:sqref>
            </x14:sparkline>
            <x14:sparkline>
              <xm:f>Sheet1!AN2:AN5</xm:f>
              <xm:sqref>AN6</xm:sqref>
            </x14:sparkline>
            <x14:sparkline>
              <xm:f>Sheet1!AO2:AO5</xm:f>
              <xm:sqref>AO6</xm:sqref>
            </x14:sparkline>
            <x14:sparkline>
              <xm:f>Sheet1!AP2:AP5</xm:f>
              <xm:sqref>AP6</xm:sqref>
            </x14:sparkline>
            <x14:sparkline>
              <xm:f>Sheet1!AQ2:AQ5</xm:f>
              <xm:sqref>AQ6</xm:sqref>
            </x14:sparkline>
            <x14:sparkline>
              <xm:f>Sheet1!AR2:AR5</xm:f>
              <xm:sqref>AR6</xm:sqref>
            </x14:sparkline>
            <x14:sparkline>
              <xm:f>Sheet1!AS2:AS5</xm:f>
              <xm:sqref>AS6</xm:sqref>
            </x14:sparkline>
            <x14:sparkline>
              <xm:f>Sheet1!AT2:AT5</xm:f>
              <xm:sqref>AT6</xm:sqref>
            </x14:sparkline>
            <x14:sparkline>
              <xm:f>Sheet1!AU2:AU5</xm:f>
              <xm:sqref>AU6</xm:sqref>
            </x14:sparkline>
            <x14:sparkline>
              <xm:f>Sheet1!AV2:AV5</xm:f>
              <xm:sqref>AV6</xm:sqref>
            </x14:sparkline>
            <x14:sparkline>
              <xm:f>Sheet1!AW2:AW5</xm:f>
              <xm:sqref>AW6</xm:sqref>
            </x14:sparkline>
            <x14:sparkline>
              <xm:f>Sheet1!AX2:AX5</xm:f>
              <xm:sqref>AX6</xm:sqref>
            </x14:sparkline>
            <x14:sparkline>
              <xm:f>Sheet1!AY2:AY5</xm:f>
              <xm:sqref>AY6</xm:sqref>
            </x14:sparkline>
            <x14:sparkline>
              <xm:f>Sheet1!AZ2:AZ5</xm:f>
              <xm:sqref>AZ6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 Doctor's Companion</dc:creator>
  <cp:keywords/>
  <dc:description/>
  <cp:lastModifiedBy>Ayers, John C</cp:lastModifiedBy>
  <cp:revision/>
  <dcterms:created xsi:type="dcterms:W3CDTF">2020-02-11T06:42:30Z</dcterms:created>
  <dcterms:modified xsi:type="dcterms:W3CDTF">2022-02-23T16:18:41Z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ad7cd40cfc2140c4aa4617ceaaaa68e1</vt:lpwstr>
  </property>
</Properties>
</file>