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ilsen\OneDrive - Environmental Protection Agency (EPA)\FNilsen\ORISE Files\ORISE Project #2 Files\Manuscript Files\"/>
    </mc:Choice>
  </mc:AlternateContent>
  <xr:revisionPtr revIDLastSave="79" documentId="8_{BA849DA7-DB92-47E4-B988-ED41ABCCE854}" xr6:coauthVersionLast="45" xr6:coauthVersionMax="45" xr10:uidLastSave="{64B97CCB-E75F-47EA-B0DF-20B70528459B}"/>
  <bookViews>
    <workbookView xWindow="-120" yWindow="-120" windowWidth="29040" windowHeight="15840" tabRatio="723" xr2:uid="{00000000-000D-0000-FFFF-FFFF00000000}"/>
  </bookViews>
  <sheets>
    <sheet name="Data Dictionary" sheetId="19" r:id="rId1"/>
    <sheet name="CigSm Final" sheetId="16" r:id="rId2"/>
    <sheet name="Cocaine Final" sheetId="4" r:id="rId3"/>
    <sheet name="Alcohol Final" sheetId="8" r:id="rId4"/>
    <sheet name="PhPl Final" sheetId="13" r:id="rId5"/>
    <sheet name="OCs Final" sheetId="17" r:id="rId6"/>
    <sheet name="Hg Final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5" i="4"/>
  <c r="F10" i="4"/>
  <c r="F9" i="4"/>
  <c r="F8" i="4"/>
  <c r="F7" i="4"/>
  <c r="F6" i="4"/>
  <c r="F5" i="4"/>
  <c r="K12" i="17" l="1"/>
  <c r="K14" i="17"/>
  <c r="J14" i="17"/>
  <c r="K13" i="17"/>
  <c r="J13" i="17"/>
  <c r="J12" i="17"/>
  <c r="K11" i="17"/>
  <c r="J11" i="17"/>
  <c r="G11" i="17"/>
  <c r="G14" i="17"/>
  <c r="G13" i="17"/>
  <c r="G12" i="17"/>
  <c r="H45" i="16" l="1"/>
  <c r="H46" i="16"/>
  <c r="H19" i="16"/>
  <c r="H20" i="16"/>
  <c r="H28" i="16"/>
  <c r="H52" i="16"/>
  <c r="H53" i="16"/>
  <c r="H55" i="16"/>
  <c r="H56" i="16"/>
  <c r="H58" i="16"/>
  <c r="H59" i="16"/>
  <c r="H60" i="16"/>
  <c r="H4" i="16"/>
  <c r="H5" i="16"/>
  <c r="H57" i="16"/>
  <c r="H26" i="16"/>
  <c r="H27" i="16"/>
  <c r="H8" i="16"/>
  <c r="H25" i="16"/>
  <c r="H42" i="16"/>
  <c r="H10" i="16"/>
  <c r="H44" i="16"/>
  <c r="H14" i="16"/>
  <c r="H51" i="16"/>
  <c r="H54" i="16"/>
  <c r="H17" i="16"/>
  <c r="H24" i="16"/>
  <c r="H34" i="16"/>
  <c r="H16" i="16"/>
  <c r="H23" i="16"/>
  <c r="H33" i="16"/>
  <c r="H3" i="16"/>
  <c r="H9" i="16"/>
  <c r="H43" i="16"/>
  <c r="H47" i="16"/>
  <c r="H48" i="16"/>
  <c r="H6" i="16"/>
  <c r="H15" i="16"/>
  <c r="H21" i="16"/>
  <c r="H29" i="16"/>
  <c r="H30" i="16"/>
  <c r="H31" i="16"/>
  <c r="H49" i="16"/>
  <c r="H50" i="16"/>
  <c r="H13" i="16"/>
  <c r="H12" i="16"/>
  <c r="H11" i="16"/>
  <c r="H65" i="16"/>
  <c r="H71" i="16"/>
  <c r="H70" i="16"/>
  <c r="H69" i="16"/>
  <c r="H67" i="16"/>
  <c r="I67" i="16" s="1"/>
  <c r="H76" i="16"/>
  <c r="H68" i="16"/>
  <c r="H72" i="16"/>
  <c r="H66" i="16"/>
  <c r="H64" i="16"/>
  <c r="H77" i="16"/>
  <c r="H14" i="4"/>
  <c r="H15" i="4"/>
  <c r="H16" i="4"/>
  <c r="H17" i="4"/>
  <c r="H18" i="4"/>
  <c r="H13" i="4"/>
  <c r="H11" i="4"/>
  <c r="H12" i="4"/>
  <c r="H5" i="18"/>
  <c r="I5" i="18" s="1"/>
  <c r="G5" i="18"/>
  <c r="J5" i="18" s="1"/>
  <c r="K5" i="18" l="1"/>
  <c r="H22" i="18"/>
  <c r="I22" i="18" s="1"/>
  <c r="H21" i="18"/>
  <c r="I21" i="18" s="1"/>
  <c r="G20" i="18"/>
  <c r="H20" i="18" s="1"/>
  <c r="I20" i="18" s="1"/>
  <c r="H19" i="18"/>
  <c r="I19" i="18" s="1"/>
  <c r="K18" i="18"/>
  <c r="J18" i="18"/>
  <c r="G18" i="18"/>
  <c r="H18" i="18" s="1"/>
  <c r="I18" i="18" s="1"/>
  <c r="F18" i="18"/>
  <c r="G17" i="18"/>
  <c r="H17" i="18" s="1"/>
  <c r="I17" i="18" s="1"/>
  <c r="G16" i="18"/>
  <c r="H16" i="18" s="1"/>
  <c r="I16" i="18" s="1"/>
  <c r="H15" i="18"/>
  <c r="I15" i="18" s="1"/>
  <c r="F15" i="18"/>
  <c r="H14" i="18"/>
  <c r="I14" i="18" s="1"/>
  <c r="F14" i="18"/>
  <c r="H13" i="18"/>
  <c r="I13" i="18" s="1"/>
  <c r="H12" i="18"/>
  <c r="I12" i="18" s="1"/>
  <c r="G9" i="18"/>
  <c r="H9" i="18" s="1"/>
  <c r="I9" i="18" s="1"/>
  <c r="G8" i="18"/>
  <c r="H8" i="18" s="1"/>
  <c r="I8" i="18" s="1"/>
  <c r="K7" i="18"/>
  <c r="J7" i="18"/>
  <c r="G7" i="18"/>
  <c r="H7" i="18" s="1"/>
  <c r="I7" i="18" s="1"/>
  <c r="H11" i="18"/>
  <c r="I11" i="18" s="1"/>
  <c r="G11" i="18"/>
  <c r="H10" i="18"/>
  <c r="I10" i="18" s="1"/>
  <c r="G10" i="18"/>
  <c r="J10" i="18" s="1"/>
  <c r="J6" i="18"/>
  <c r="I6" i="18"/>
  <c r="H6" i="18"/>
  <c r="G6" i="18"/>
  <c r="K6" i="18" s="1"/>
  <c r="H4" i="18"/>
  <c r="G4" i="18"/>
  <c r="H3" i="18"/>
  <c r="I3" i="18" s="1"/>
  <c r="G3" i="18"/>
  <c r="K3" i="18" s="1"/>
  <c r="K11" i="18" l="1"/>
  <c r="K4" i="18"/>
  <c r="J4" i="18"/>
  <c r="J3" i="18"/>
  <c r="J11" i="18"/>
  <c r="K10" i="18"/>
  <c r="I4" i="18"/>
  <c r="I56" i="17"/>
  <c r="H56" i="17"/>
  <c r="I55" i="17"/>
  <c r="H55" i="17"/>
  <c r="I54" i="17"/>
  <c r="H54" i="17"/>
  <c r="I53" i="17"/>
  <c r="H53" i="17"/>
  <c r="I51" i="17"/>
  <c r="H51" i="17"/>
  <c r="I50" i="17"/>
  <c r="H50" i="17"/>
  <c r="I49" i="17"/>
  <c r="H49" i="17"/>
  <c r="H6" i="17"/>
  <c r="I6" i="17" s="1"/>
  <c r="H31" i="17"/>
  <c r="I31" i="17" s="1"/>
  <c r="H5" i="17"/>
  <c r="I5" i="17" s="1"/>
  <c r="H30" i="17"/>
  <c r="I30" i="17" s="1"/>
  <c r="K20" i="17"/>
  <c r="J20" i="17"/>
  <c r="G20" i="17"/>
  <c r="K39" i="17"/>
  <c r="J39" i="17"/>
  <c r="G39" i="17"/>
  <c r="K38" i="17"/>
  <c r="J38" i="17"/>
  <c r="G38" i="17"/>
  <c r="H38" i="17" s="1"/>
  <c r="I38" i="17" s="1"/>
  <c r="K36" i="17"/>
  <c r="J36" i="17"/>
  <c r="G36" i="17"/>
  <c r="K27" i="17"/>
  <c r="J27" i="17"/>
  <c r="G27" i="17"/>
  <c r="H27" i="17" s="1"/>
  <c r="I27" i="17" s="1"/>
  <c r="K37" i="17"/>
  <c r="J37" i="17"/>
  <c r="G37" i="17"/>
  <c r="K4" i="17"/>
  <c r="J4" i="17"/>
  <c r="G4" i="17"/>
  <c r="K3" i="17"/>
  <c r="J3" i="17"/>
  <c r="G3" i="17"/>
  <c r="K17" i="17"/>
  <c r="J17" i="17"/>
  <c r="G17" i="17"/>
  <c r="H17" i="17" s="1"/>
  <c r="I17" i="17" s="1"/>
  <c r="K16" i="17"/>
  <c r="J16" i="17"/>
  <c r="G16" i="17"/>
  <c r="K15" i="17"/>
  <c r="J15" i="17"/>
  <c r="G15" i="17"/>
  <c r="H10" i="17"/>
  <c r="I10" i="17" s="1"/>
  <c r="H9" i="17"/>
  <c r="I9" i="17" s="1"/>
  <c r="K35" i="17"/>
  <c r="J35" i="17"/>
  <c r="G35" i="17"/>
  <c r="K34" i="17"/>
  <c r="J34" i="17"/>
  <c r="G34" i="17"/>
  <c r="K33" i="17"/>
  <c r="J33" i="17"/>
  <c r="G33" i="17"/>
  <c r="H32" i="17"/>
  <c r="I32" i="17" s="1"/>
  <c r="K29" i="17"/>
  <c r="J29" i="17"/>
  <c r="G29" i="17"/>
  <c r="K28" i="17"/>
  <c r="J28" i="17"/>
  <c r="G28" i="17"/>
  <c r="K26" i="17"/>
  <c r="J26" i="17"/>
  <c r="G26" i="17"/>
  <c r="K25" i="17"/>
  <c r="J25" i="17"/>
  <c r="G25" i="17"/>
  <c r="K24" i="17"/>
  <c r="J24" i="17"/>
  <c r="G24" i="17"/>
  <c r="K23" i="17"/>
  <c r="J23" i="17"/>
  <c r="G23" i="17"/>
  <c r="K22" i="17"/>
  <c r="J22" i="17"/>
  <c r="G22" i="17"/>
  <c r="H21" i="17"/>
  <c r="I21" i="17" s="1"/>
  <c r="K19" i="17"/>
  <c r="J19" i="17"/>
  <c r="G19" i="17"/>
  <c r="K18" i="17"/>
  <c r="J18" i="17"/>
  <c r="G18" i="17"/>
  <c r="H14" i="17"/>
  <c r="I14" i="17" s="1"/>
  <c r="H12" i="17"/>
  <c r="I12" i="17" s="1"/>
  <c r="H8" i="17"/>
  <c r="I8" i="17" s="1"/>
  <c r="H7" i="17"/>
  <c r="I7" i="17" s="1"/>
  <c r="K75" i="16"/>
  <c r="H33" i="17" l="1"/>
  <c r="I33" i="17" s="1"/>
  <c r="H25" i="17"/>
  <c r="I25" i="17" s="1"/>
  <c r="H4" i="17"/>
  <c r="I4" i="17" s="1"/>
  <c r="H16" i="17"/>
  <c r="I16" i="17" s="1"/>
  <c r="H23" i="17"/>
  <c r="I23" i="17" s="1"/>
  <c r="H29" i="17"/>
  <c r="I29" i="17" s="1"/>
  <c r="H35" i="17"/>
  <c r="I35" i="17" s="1"/>
  <c r="H3" i="17"/>
  <c r="I3" i="17" s="1"/>
  <c r="H18" i="17"/>
  <c r="I18" i="17" s="1"/>
  <c r="H28" i="17"/>
  <c r="I28" i="17" s="1"/>
  <c r="H19" i="17"/>
  <c r="I19" i="17" s="1"/>
  <c r="H37" i="17"/>
  <c r="I37" i="17" s="1"/>
  <c r="H20" i="17"/>
  <c r="I20" i="17" s="1"/>
  <c r="H11" i="17"/>
  <c r="I11" i="17" s="1"/>
  <c r="H24" i="17"/>
  <c r="I24" i="17" s="1"/>
  <c r="H36" i="17"/>
  <c r="I36" i="17" s="1"/>
  <c r="H22" i="17"/>
  <c r="I22" i="17" s="1"/>
  <c r="H15" i="17"/>
  <c r="I15" i="17" s="1"/>
  <c r="H13" i="17"/>
  <c r="I13" i="17" s="1"/>
  <c r="H26" i="17"/>
  <c r="I26" i="17" s="1"/>
  <c r="H34" i="17"/>
  <c r="I34" i="17" s="1"/>
  <c r="H39" i="17"/>
  <c r="I39" i="17" s="1"/>
  <c r="I42" i="16"/>
  <c r="I25" i="16"/>
  <c r="F25" i="16"/>
  <c r="I8" i="16"/>
  <c r="I27" i="16"/>
  <c r="I26" i="16"/>
  <c r="I57" i="16"/>
  <c r="I5" i="16"/>
  <c r="I4" i="16"/>
  <c r="I60" i="16"/>
  <c r="I59" i="16"/>
  <c r="I58" i="16"/>
  <c r="I56" i="16"/>
  <c r="I55" i="16"/>
  <c r="I64" i="16"/>
  <c r="F64" i="16"/>
  <c r="I54" i="16"/>
  <c r="F54" i="16"/>
  <c r="I53" i="16"/>
  <c r="I52" i="16"/>
  <c r="F52" i="16"/>
  <c r="I66" i="16"/>
  <c r="F66" i="16"/>
  <c r="I51" i="16"/>
  <c r="F51" i="16"/>
  <c r="G50" i="16"/>
  <c r="G49" i="16"/>
  <c r="I48" i="16"/>
  <c r="F48" i="16"/>
  <c r="I47" i="16"/>
  <c r="I46" i="16"/>
  <c r="G46" i="16"/>
  <c r="I45" i="16"/>
  <c r="G45" i="16"/>
  <c r="I44" i="16"/>
  <c r="I43" i="16"/>
  <c r="I76" i="16"/>
  <c r="K41" i="16"/>
  <c r="J41" i="16"/>
  <c r="G41" i="16"/>
  <c r="J75" i="16"/>
  <c r="H75" i="16" s="1"/>
  <c r="G75" i="16"/>
  <c r="K40" i="16"/>
  <c r="J40" i="16"/>
  <c r="G40" i="16"/>
  <c r="K39" i="16"/>
  <c r="J39" i="16"/>
  <c r="G39" i="16"/>
  <c r="K38" i="16"/>
  <c r="J38" i="16"/>
  <c r="G38" i="16"/>
  <c r="K37" i="16"/>
  <c r="J37" i="16"/>
  <c r="G37" i="16"/>
  <c r="K36" i="16"/>
  <c r="J36" i="16"/>
  <c r="G36" i="16"/>
  <c r="K35" i="16"/>
  <c r="J35" i="16"/>
  <c r="G35" i="16"/>
  <c r="I34" i="16"/>
  <c r="G34" i="16"/>
  <c r="I33" i="16"/>
  <c r="G33" i="16"/>
  <c r="I68" i="16"/>
  <c r="G68" i="16"/>
  <c r="I72" i="16"/>
  <c r="G72" i="16"/>
  <c r="K32" i="16"/>
  <c r="J32" i="16"/>
  <c r="G32" i="16"/>
  <c r="I31" i="16"/>
  <c r="I30" i="16"/>
  <c r="I29" i="16"/>
  <c r="I28" i="16"/>
  <c r="I24" i="16"/>
  <c r="G24" i="16"/>
  <c r="I23" i="16"/>
  <c r="G23" i="16"/>
  <c r="I69" i="16"/>
  <c r="G69" i="16"/>
  <c r="G67" i="16"/>
  <c r="K22" i="16"/>
  <c r="J22" i="16"/>
  <c r="G22" i="16"/>
  <c r="K74" i="16"/>
  <c r="J74" i="16"/>
  <c r="G74" i="16"/>
  <c r="I21" i="16"/>
  <c r="I20" i="16"/>
  <c r="I19" i="16"/>
  <c r="F19" i="16"/>
  <c r="K18" i="16"/>
  <c r="J18" i="16"/>
  <c r="G18" i="16"/>
  <c r="K73" i="16"/>
  <c r="J73" i="16"/>
  <c r="G73" i="16"/>
  <c r="I17" i="16"/>
  <c r="G17" i="16"/>
  <c r="I16" i="16"/>
  <c r="G16" i="16"/>
  <c r="I71" i="16"/>
  <c r="G71" i="16"/>
  <c r="I70" i="16"/>
  <c r="G70" i="16"/>
  <c r="I15" i="16"/>
  <c r="I65" i="16"/>
  <c r="F65" i="16"/>
  <c r="I14" i="16"/>
  <c r="F14" i="16"/>
  <c r="I13" i="16"/>
  <c r="F13" i="16"/>
  <c r="I12" i="16"/>
  <c r="F12" i="16"/>
  <c r="I11" i="16"/>
  <c r="F11" i="16"/>
  <c r="I10" i="16"/>
  <c r="I9" i="16"/>
  <c r="I77" i="16"/>
  <c r="K7" i="16"/>
  <c r="J7" i="16"/>
  <c r="G7" i="16"/>
  <c r="I6" i="16"/>
  <c r="I3" i="16"/>
  <c r="H73" i="16" l="1"/>
  <c r="H37" i="16"/>
  <c r="H22" i="16"/>
  <c r="I22" i="16" s="1"/>
  <c r="H36" i="16"/>
  <c r="I36" i="16" s="1"/>
  <c r="H40" i="16"/>
  <c r="I40" i="16" s="1"/>
  <c r="H74" i="16"/>
  <c r="I74" i="16" s="1"/>
  <c r="H35" i="16"/>
  <c r="H39" i="16"/>
  <c r="I39" i="16" s="1"/>
  <c r="H41" i="16"/>
  <c r="I41" i="16" s="1"/>
  <c r="H7" i="16"/>
  <c r="I7" i="16" s="1"/>
  <c r="H18" i="16"/>
  <c r="I18" i="16" s="1"/>
  <c r="H32" i="16"/>
  <c r="I32" i="16" s="1"/>
  <c r="H38" i="16"/>
  <c r="I38" i="16" s="1"/>
  <c r="I73" i="16"/>
  <c r="I35" i="16"/>
  <c r="I75" i="16"/>
  <c r="I37" i="16"/>
  <c r="H32" i="8" l="1"/>
  <c r="I32" i="8" s="1"/>
  <c r="H5" i="8"/>
  <c r="H6" i="8"/>
  <c r="H31" i="8"/>
  <c r="I31" i="8" s="1"/>
  <c r="H30" i="8"/>
  <c r="I30" i="8" s="1"/>
  <c r="H29" i="8"/>
  <c r="I29" i="8" s="1"/>
  <c r="H28" i="8"/>
  <c r="I28" i="8" s="1"/>
  <c r="F31" i="8"/>
  <c r="F29" i="8"/>
  <c r="I13" i="4" l="1"/>
  <c r="I14" i="4"/>
  <c r="I15" i="4"/>
  <c r="I16" i="4"/>
  <c r="I17" i="4"/>
  <c r="I18" i="4"/>
  <c r="H31" i="13" l="1"/>
  <c r="K31" i="13"/>
  <c r="L31" i="13"/>
  <c r="L59" i="13"/>
  <c r="K59" i="13"/>
  <c r="H59" i="13"/>
  <c r="L82" i="13"/>
  <c r="K82" i="13"/>
  <c r="H82" i="13"/>
  <c r="L26" i="13"/>
  <c r="K26" i="13"/>
  <c r="H26" i="13"/>
  <c r="H55" i="13"/>
  <c r="K55" i="13"/>
  <c r="L55" i="13"/>
  <c r="L78" i="13"/>
  <c r="K78" i="13"/>
  <c r="H78" i="13"/>
  <c r="L22" i="13"/>
  <c r="K22" i="13"/>
  <c r="H22" i="13"/>
  <c r="H51" i="13"/>
  <c r="K51" i="13"/>
  <c r="L51" i="13"/>
  <c r="L75" i="13"/>
  <c r="K75" i="13"/>
  <c r="H75" i="13"/>
  <c r="H19" i="13"/>
  <c r="K19" i="13"/>
  <c r="L19" i="13"/>
  <c r="L47" i="13"/>
  <c r="K47" i="13"/>
  <c r="H47" i="13"/>
  <c r="H71" i="13"/>
  <c r="K71" i="13"/>
  <c r="L71" i="13"/>
  <c r="L29" i="13"/>
  <c r="K29" i="13"/>
  <c r="H29" i="13"/>
  <c r="H57" i="13"/>
  <c r="K57" i="13"/>
  <c r="L57" i="13"/>
  <c r="L81" i="13"/>
  <c r="K81" i="13"/>
  <c r="H81" i="13"/>
  <c r="L17" i="13"/>
  <c r="K17" i="13"/>
  <c r="H17" i="13"/>
  <c r="H45" i="13"/>
  <c r="K45" i="13"/>
  <c r="L45" i="13"/>
  <c r="L69" i="13"/>
  <c r="K69" i="13"/>
  <c r="H69" i="13"/>
  <c r="L28" i="13"/>
  <c r="K28" i="13"/>
  <c r="H28" i="13"/>
  <c r="H56" i="13"/>
  <c r="K56" i="13"/>
  <c r="L56" i="13"/>
  <c r="L79" i="13"/>
  <c r="K79" i="13"/>
  <c r="H79" i="13"/>
  <c r="H24" i="13"/>
  <c r="K24" i="13"/>
  <c r="L24" i="13"/>
  <c r="L52" i="13"/>
  <c r="K52" i="13"/>
  <c r="H52" i="13"/>
  <c r="H76" i="13"/>
  <c r="K76" i="13"/>
  <c r="L76" i="13"/>
  <c r="L20" i="13"/>
  <c r="K20" i="13"/>
  <c r="H20" i="13"/>
  <c r="L49" i="13"/>
  <c r="K49" i="13"/>
  <c r="H49" i="13"/>
  <c r="L72" i="13"/>
  <c r="K72" i="13"/>
  <c r="H72" i="13"/>
  <c r="L23" i="13"/>
  <c r="K23" i="13"/>
  <c r="H23" i="13"/>
  <c r="L48" i="13"/>
  <c r="K48" i="13"/>
  <c r="H48" i="13"/>
  <c r="L68" i="13"/>
  <c r="K68" i="13"/>
  <c r="H68" i="13"/>
  <c r="L30" i="13"/>
  <c r="K30" i="13"/>
  <c r="H30" i="13"/>
  <c r="L58" i="13"/>
  <c r="K58" i="13"/>
  <c r="H58" i="13"/>
  <c r="L80" i="13"/>
  <c r="K80" i="13"/>
  <c r="H80" i="13"/>
  <c r="L25" i="13"/>
  <c r="K25" i="13"/>
  <c r="H25" i="13"/>
  <c r="L54" i="13"/>
  <c r="K54" i="13"/>
  <c r="H54" i="13"/>
  <c r="L77" i="13"/>
  <c r="K77" i="13"/>
  <c r="H77" i="13"/>
  <c r="L21" i="13"/>
  <c r="K21" i="13"/>
  <c r="H21" i="13"/>
  <c r="H50" i="13"/>
  <c r="K50" i="13"/>
  <c r="L50" i="13"/>
  <c r="L74" i="13"/>
  <c r="K74" i="13"/>
  <c r="H74" i="13"/>
  <c r="L18" i="13"/>
  <c r="K18" i="13"/>
  <c r="H18" i="13"/>
  <c r="L46" i="13"/>
  <c r="K46" i="13"/>
  <c r="H46" i="13"/>
  <c r="L70" i="13"/>
  <c r="K70" i="13"/>
  <c r="H70" i="13"/>
  <c r="L27" i="13"/>
  <c r="K27" i="13"/>
  <c r="H27" i="13"/>
  <c r="L53" i="13"/>
  <c r="K53" i="13"/>
  <c r="H53" i="13"/>
  <c r="L73" i="13"/>
  <c r="K73" i="13"/>
  <c r="H73" i="13"/>
  <c r="L44" i="13"/>
  <c r="K44" i="13"/>
  <c r="H44" i="13"/>
  <c r="L43" i="13"/>
  <c r="K43" i="13"/>
  <c r="H43" i="13"/>
  <c r="L42" i="13"/>
  <c r="K42" i="13"/>
  <c r="H42" i="13"/>
  <c r="H41" i="13"/>
  <c r="K41" i="13"/>
  <c r="L41" i="13"/>
  <c r="L40" i="13"/>
  <c r="K40" i="13"/>
  <c r="H40" i="13"/>
  <c r="L16" i="13"/>
  <c r="K16" i="13"/>
  <c r="H16" i="13"/>
  <c r="L15" i="13"/>
  <c r="K15" i="13"/>
  <c r="H15" i="13"/>
  <c r="L14" i="13"/>
  <c r="K14" i="13"/>
  <c r="H14" i="13"/>
  <c r="L13" i="13"/>
  <c r="K13" i="13"/>
  <c r="H13" i="13"/>
  <c r="L12" i="13"/>
  <c r="K12" i="13"/>
  <c r="H12" i="13"/>
  <c r="L5" i="13"/>
  <c r="K5" i="13"/>
  <c r="H5" i="13"/>
  <c r="K34" i="8" l="1"/>
  <c r="J34" i="8"/>
  <c r="G34" i="8"/>
  <c r="K33" i="8"/>
  <c r="J33" i="8"/>
  <c r="G33" i="8"/>
  <c r="H21" i="8"/>
  <c r="G21" i="8"/>
  <c r="H18" i="8"/>
  <c r="G18" i="8"/>
  <c r="H19" i="8"/>
  <c r="G19" i="8"/>
  <c r="H20" i="8"/>
  <c r="G20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I27" i="13" l="1"/>
  <c r="J27" i="13" s="1"/>
  <c r="I18" i="13"/>
  <c r="J18" i="13" s="1"/>
  <c r="I21" i="13"/>
  <c r="J21" i="13" s="1"/>
  <c r="I25" i="13"/>
  <c r="J25" i="13" s="1"/>
  <c r="I30" i="13"/>
  <c r="J30" i="13" s="1"/>
  <c r="I53" i="13"/>
  <c r="J53" i="13" s="1"/>
  <c r="I46" i="13"/>
  <c r="J46" i="13" s="1"/>
  <c r="I50" i="13"/>
  <c r="J50" i="13" s="1"/>
  <c r="I54" i="13"/>
  <c r="J54" i="13" s="1"/>
  <c r="I58" i="13"/>
  <c r="J58" i="13" s="1"/>
  <c r="I73" i="13"/>
  <c r="J73" i="13" s="1"/>
  <c r="I70" i="13"/>
  <c r="J70" i="13" s="1"/>
  <c r="I74" i="13"/>
  <c r="J74" i="13" s="1"/>
  <c r="I77" i="13"/>
  <c r="J77" i="13" s="1"/>
  <c r="I80" i="13"/>
  <c r="J80" i="13" s="1"/>
  <c r="I15" i="13"/>
  <c r="J15" i="13" s="1"/>
  <c r="I43" i="13"/>
  <c r="J43" i="13" s="1"/>
  <c r="I16" i="13"/>
  <c r="J16" i="13" s="1"/>
  <c r="I44" i="13"/>
  <c r="J44" i="13" s="1"/>
  <c r="I14" i="13"/>
  <c r="J14" i="13" s="1"/>
  <c r="I23" i="13"/>
  <c r="J23" i="13" s="1"/>
  <c r="I20" i="13"/>
  <c r="J20" i="13" s="1"/>
  <c r="I24" i="13"/>
  <c r="J24" i="13" s="1"/>
  <c r="I28" i="13"/>
  <c r="J28" i="13" s="1"/>
  <c r="I17" i="13"/>
  <c r="J17" i="13" s="1"/>
  <c r="I42" i="13"/>
  <c r="J42" i="13" s="1"/>
  <c r="I48" i="13"/>
  <c r="J48" i="13" s="1"/>
  <c r="I49" i="13"/>
  <c r="J49" i="13" s="1"/>
  <c r="I52" i="13"/>
  <c r="J52" i="13" s="1"/>
  <c r="I56" i="13"/>
  <c r="J56" i="13" s="1"/>
  <c r="I45" i="13"/>
  <c r="J45" i="13" s="1"/>
  <c r="I68" i="13"/>
  <c r="J68" i="13" s="1"/>
  <c r="I72" i="13"/>
  <c r="J72" i="13" s="1"/>
  <c r="I76" i="13"/>
  <c r="J76" i="13" s="1"/>
  <c r="I79" i="13"/>
  <c r="J79" i="13" s="1"/>
  <c r="I69" i="13"/>
  <c r="J69" i="13" s="1"/>
  <c r="I29" i="13"/>
  <c r="J29" i="13" s="1"/>
  <c r="I19" i="13"/>
  <c r="J19" i="13" s="1"/>
  <c r="I22" i="13"/>
  <c r="J22" i="13" s="1"/>
  <c r="I26" i="13"/>
  <c r="J26" i="13" s="1"/>
  <c r="I31" i="13"/>
  <c r="J31" i="13" s="1"/>
  <c r="I57" i="13"/>
  <c r="J57" i="13" s="1"/>
  <c r="I47" i="13"/>
  <c r="J47" i="13" s="1"/>
  <c r="I51" i="13"/>
  <c r="J51" i="13" s="1"/>
  <c r="I55" i="13"/>
  <c r="J55" i="13" s="1"/>
  <c r="I59" i="13"/>
  <c r="J59" i="13" s="1"/>
  <c r="I81" i="13"/>
  <c r="J81" i="13" s="1"/>
  <c r="I71" i="13"/>
  <c r="J71" i="13" s="1"/>
  <c r="I75" i="13"/>
  <c r="J75" i="13" s="1"/>
  <c r="I78" i="13"/>
  <c r="J78" i="13" s="1"/>
  <c r="I82" i="13"/>
  <c r="J82" i="13" s="1"/>
  <c r="I13" i="13"/>
  <c r="J13" i="13" s="1"/>
  <c r="I41" i="13"/>
  <c r="J41" i="13" s="1"/>
  <c r="I12" i="13"/>
  <c r="J12" i="13" s="1"/>
  <c r="I40" i="13"/>
  <c r="J40" i="13" s="1"/>
  <c r="I65" i="13"/>
  <c r="J65" i="13" s="1"/>
  <c r="I66" i="13"/>
  <c r="J66" i="13" s="1"/>
  <c r="I67" i="13"/>
  <c r="J67" i="13" s="1"/>
  <c r="I37" i="13"/>
  <c r="J37" i="13" s="1"/>
  <c r="I38" i="13"/>
  <c r="J38" i="13" s="1"/>
  <c r="I39" i="13"/>
  <c r="J39" i="13" s="1"/>
  <c r="I9" i="13"/>
  <c r="J9" i="13" s="1"/>
  <c r="I10" i="13"/>
  <c r="J10" i="13" s="1"/>
  <c r="I11" i="13"/>
  <c r="J11" i="13" s="1"/>
  <c r="L8" i="13" l="1"/>
  <c r="K8" i="13"/>
  <c r="H8" i="13"/>
  <c r="L7" i="13"/>
  <c r="K7" i="13"/>
  <c r="H7" i="13"/>
  <c r="L6" i="13"/>
  <c r="K6" i="13"/>
  <c r="H6" i="13"/>
  <c r="L4" i="13"/>
  <c r="K4" i="13"/>
  <c r="H4" i="13"/>
  <c r="L32" i="13"/>
  <c r="K32" i="13"/>
  <c r="H32" i="13"/>
  <c r="L36" i="13"/>
  <c r="H36" i="13"/>
  <c r="K36" i="13"/>
  <c r="H35" i="13"/>
  <c r="L35" i="13"/>
  <c r="K35" i="13"/>
  <c r="L34" i="13"/>
  <c r="K34" i="13"/>
  <c r="H34" i="13"/>
  <c r="L33" i="13"/>
  <c r="K33" i="13"/>
  <c r="H33" i="13"/>
  <c r="L64" i="13"/>
  <c r="K64" i="13"/>
  <c r="H64" i="13"/>
  <c r="L63" i="13"/>
  <c r="K63" i="13"/>
  <c r="H63" i="13"/>
  <c r="L62" i="13"/>
  <c r="K62" i="13"/>
  <c r="H62" i="13"/>
  <c r="L61" i="13"/>
  <c r="K61" i="13"/>
  <c r="H61" i="13"/>
  <c r="L60" i="13"/>
  <c r="K60" i="13"/>
  <c r="H60" i="13"/>
  <c r="I33" i="13" l="1"/>
  <c r="J33" i="13" s="1"/>
  <c r="I61" i="13"/>
  <c r="J61" i="13" s="1"/>
  <c r="I35" i="13"/>
  <c r="J35" i="13" s="1"/>
  <c r="I7" i="13"/>
  <c r="J7" i="13" s="1"/>
  <c r="I36" i="13"/>
  <c r="J36" i="13" s="1"/>
  <c r="I32" i="13"/>
  <c r="J32" i="13" s="1"/>
  <c r="I63" i="13"/>
  <c r="J63" i="13" s="1"/>
  <c r="I5" i="13"/>
  <c r="J5" i="13" s="1"/>
  <c r="I60" i="13"/>
  <c r="J60" i="13" s="1"/>
  <c r="I64" i="13"/>
  <c r="J64" i="13" s="1"/>
  <c r="I6" i="13"/>
  <c r="J6" i="13" s="1"/>
  <c r="I62" i="13"/>
  <c r="J62" i="13" s="1"/>
  <c r="I34" i="13"/>
  <c r="J34" i="13" s="1"/>
  <c r="I4" i="13"/>
  <c r="J4" i="13" s="1"/>
  <c r="I8" i="13"/>
  <c r="J8" i="13" s="1"/>
  <c r="G6" i="8"/>
  <c r="G5" i="8"/>
  <c r="G12" i="4"/>
  <c r="G11" i="4"/>
  <c r="I8" i="8" l="1"/>
  <c r="I9" i="8"/>
  <c r="I10" i="8"/>
  <c r="I12" i="8"/>
  <c r="I13" i="8"/>
  <c r="I14" i="8"/>
  <c r="I15" i="8"/>
  <c r="I16" i="8"/>
  <c r="I17" i="8"/>
  <c r="I20" i="8"/>
  <c r="I21" i="8"/>
  <c r="H33" i="8"/>
  <c r="I33" i="8" s="1"/>
  <c r="H22" i="8"/>
  <c r="H23" i="8"/>
  <c r="I23" i="8" s="1"/>
  <c r="H24" i="8"/>
  <c r="I24" i="8" s="1"/>
  <c r="H25" i="8"/>
  <c r="I25" i="8" s="1"/>
  <c r="H26" i="8"/>
  <c r="I26" i="8" s="1"/>
  <c r="H27" i="8"/>
  <c r="I27" i="8" s="1"/>
  <c r="H34" i="8"/>
  <c r="I34" i="8" s="1"/>
  <c r="I7" i="8"/>
  <c r="I11" i="8"/>
  <c r="I18" i="8"/>
  <c r="I19" i="8"/>
  <c r="I22" i="8"/>
  <c r="I6" i="8" l="1"/>
  <c r="K6" i="8" s="1"/>
  <c r="I5" i="8"/>
  <c r="K5" i="8" s="1"/>
  <c r="J5" i="8"/>
  <c r="J6" i="8"/>
  <c r="J12" i="4" l="1"/>
  <c r="I12" i="4"/>
  <c r="K12" i="4"/>
  <c r="J11" i="4"/>
  <c r="I11" i="4"/>
  <c r="K11" i="4"/>
  <c r="J50" i="16"/>
  <c r="I50" i="16"/>
  <c r="K50" i="16"/>
  <c r="J49" i="16"/>
  <c r="I49" i="16"/>
  <c r="K49" i="16"/>
</calcChain>
</file>

<file path=xl/sharedStrings.xml><?xml version="1.0" encoding="utf-8"?>
<sst xmlns="http://schemas.openxmlformats.org/spreadsheetml/2006/main" count="1434" uniqueCount="431">
  <si>
    <t>Reference</t>
  </si>
  <si>
    <t>Tiesler 2011-1</t>
  </si>
  <si>
    <t>Tiesler 2011-2</t>
  </si>
  <si>
    <t>Tiesler 2011-3</t>
  </si>
  <si>
    <t>Tiesler 2011-4</t>
  </si>
  <si>
    <t>Tiesler 2011-5</t>
  </si>
  <si>
    <t>Tiesler 2011-6</t>
  </si>
  <si>
    <t>OR</t>
  </si>
  <si>
    <t>Lower CI</t>
  </si>
  <si>
    <t xml:space="preserve">Upper CI </t>
  </si>
  <si>
    <t>Chastang 2015-1</t>
  </si>
  <si>
    <t>Chastang 2015-2</t>
  </si>
  <si>
    <t>Ball 2010-1</t>
  </si>
  <si>
    <t>Ball 2010-2</t>
  </si>
  <si>
    <t>Ball 2010-3</t>
  </si>
  <si>
    <t>Desrosiers 2013-1</t>
  </si>
  <si>
    <t>Desrosiers 2013-2</t>
  </si>
  <si>
    <t>Prenatal Smoke Exposure &amp; Behavior Disorders</t>
  </si>
  <si>
    <t>Outcome</t>
  </si>
  <si>
    <t>ADHD</t>
  </si>
  <si>
    <t>Exposure</t>
  </si>
  <si>
    <t>Age Range</t>
  </si>
  <si>
    <t>10 yrs</t>
  </si>
  <si>
    <t>11 yrs</t>
  </si>
  <si>
    <t>CD</t>
  </si>
  <si>
    <t>prenatal</t>
  </si>
  <si>
    <t>ODD</t>
  </si>
  <si>
    <t>&lt;1/2 pack/day</t>
  </si>
  <si>
    <t>1/2-1 pack/day</t>
  </si>
  <si>
    <t>&gt; full pack/day</t>
  </si>
  <si>
    <t>general prenatal</t>
  </si>
  <si>
    <t>n</t>
  </si>
  <si>
    <t>CD/ODD</t>
  </si>
  <si>
    <t>11yrs</t>
  </si>
  <si>
    <t>1st trimester only</t>
  </si>
  <si>
    <t xml:space="preserve">1st, 2nd &amp; 3rd trimester </t>
  </si>
  <si>
    <t>9 yrs</t>
  </si>
  <si>
    <t>7 yrs</t>
  </si>
  <si>
    <t>8 yrs</t>
  </si>
  <si>
    <t>10-12 yrs</t>
  </si>
  <si>
    <t>prenatal (maternal)</t>
  </si>
  <si>
    <t>12-23 yrs</t>
  </si>
  <si>
    <t>Palmer 2016-1</t>
  </si>
  <si>
    <t>Palmer 2016-2</t>
  </si>
  <si>
    <t>Palmer 2016-3</t>
  </si>
  <si>
    <t>Palmer 2016-4</t>
  </si>
  <si>
    <t>Palmer 2016-5</t>
  </si>
  <si>
    <t>Palmer 2016-6</t>
  </si>
  <si>
    <t>5-16 yrs</t>
  </si>
  <si>
    <t>Gaysina 2013-1</t>
  </si>
  <si>
    <t>3 yrs</t>
  </si>
  <si>
    <t>Maughan 2004-1</t>
  </si>
  <si>
    <t>Maughan 2004-2</t>
  </si>
  <si>
    <t>Maughan 2004-3</t>
  </si>
  <si>
    <t>Maughan 2004-4</t>
  </si>
  <si>
    <t>Maughan 2004-5</t>
  </si>
  <si>
    <t>Maughan 2004-6</t>
  </si>
  <si>
    <t>5 yrs</t>
  </si>
  <si>
    <t>1-9 cigg/day</t>
  </si>
  <si>
    <t>10-14 cigg/day</t>
  </si>
  <si>
    <t>15+ cigg/day</t>
  </si>
  <si>
    <t>6-10 yrs</t>
  </si>
  <si>
    <t>McLaughlin 2011-3</t>
  </si>
  <si>
    <t>McLaughlin 2011-6</t>
  </si>
  <si>
    <t>Prental Cocaine Exposure &amp; Behavior disorders</t>
  </si>
  <si>
    <t>cocaine metabolites in maternal/infant urine/infant meconium, maternal admission of use</t>
  </si>
  <si>
    <t>Bada 2007-1</t>
  </si>
  <si>
    <t>Bada 2007-2</t>
  </si>
  <si>
    <t>Bada 2007-3</t>
  </si>
  <si>
    <t>Bada 2007-4</t>
  </si>
  <si>
    <t>Bada 2007-5</t>
  </si>
  <si>
    <t>Bada 2007-6</t>
  </si>
  <si>
    <t>&lt;3x/week in 1st trimester (Some)</t>
  </si>
  <si>
    <t>&gt;3x/week in 1st trimester (High)</t>
  </si>
  <si>
    <t xml:space="preserve">7 yrs </t>
  </si>
  <si>
    <t>Mental Health Assessment</t>
  </si>
  <si>
    <t>DSM-IV</t>
  </si>
  <si>
    <t>SE</t>
  </si>
  <si>
    <t>Knopik 2009-13</t>
  </si>
  <si>
    <t>Knopik 2009-14</t>
  </si>
  <si>
    <t>Knopik 2009-15</t>
  </si>
  <si>
    <t>3-10 yrs</t>
  </si>
  <si>
    <t>1-10 days</t>
  </si>
  <si>
    <t>11-35 days</t>
  </si>
  <si>
    <t>&gt;35 days</t>
  </si>
  <si>
    <t>some heavy use</t>
  </si>
  <si>
    <t>frequent heavy use</t>
  </si>
  <si>
    <t>1st Trimester; 1-10 cigg/day</t>
  </si>
  <si>
    <t>1st trimester; 11+ cigg/day</t>
  </si>
  <si>
    <t>Beyond 1st Trimeser; 1-10 cigg/day</t>
  </si>
  <si>
    <t>beyond 1st Trimeser; 11+ cigg/day</t>
  </si>
  <si>
    <t>SDQ</t>
  </si>
  <si>
    <t>binge drinking during pregnancy ( 4+ drinks/day) at least once</t>
  </si>
  <si>
    <t>Sayal 2014-1</t>
  </si>
  <si>
    <t>Sayal 2014-2</t>
  </si>
  <si>
    <t>pb</t>
  </si>
  <si>
    <t>Ruckinger 2010-1</t>
  </si>
  <si>
    <t>Ruckinger 2010-2</t>
  </si>
  <si>
    <t>8-15 yrs</t>
  </si>
  <si>
    <t>Braun 2008-8</t>
  </si>
  <si>
    <t>1.5 yrs</t>
  </si>
  <si>
    <t>1st trimester</t>
  </si>
  <si>
    <t>2nd trimester</t>
  </si>
  <si>
    <t>3rd trimester</t>
  </si>
  <si>
    <t>Harley 2013-1</t>
  </si>
  <si>
    <t>Harley 2013-2</t>
  </si>
  <si>
    <t>Harley 2013-3</t>
  </si>
  <si>
    <t>Harley 2013-4</t>
  </si>
  <si>
    <t>Harley 2013-5</t>
  </si>
  <si>
    <t>Harley 2013-6</t>
  </si>
  <si>
    <t>Harley 2013-7</t>
  </si>
  <si>
    <t>Harley 2013-8</t>
  </si>
  <si>
    <t>Harley 2013-9</t>
  </si>
  <si>
    <t>Harley 2013-10</t>
  </si>
  <si>
    <t>Kobrosly 2014-1</t>
  </si>
  <si>
    <t>Kobrosly 2014-2</t>
  </si>
  <si>
    <t>Kobrosly 2014-3</t>
  </si>
  <si>
    <t>Kobrosly 2014-4</t>
  </si>
  <si>
    <t>Kobrosly 2014-5</t>
  </si>
  <si>
    <t>Kobrosly 2014-6</t>
  </si>
  <si>
    <t>Kobrosly 2014-7</t>
  </si>
  <si>
    <t>Kobrosly 2014-8</t>
  </si>
  <si>
    <t>Kobrosly 2014-9</t>
  </si>
  <si>
    <t>Kobrosly 2014-10</t>
  </si>
  <si>
    <t>Kobrosly 2014-11</t>
  </si>
  <si>
    <t>Kobrosly 2014-12</t>
  </si>
  <si>
    <t>Kobrosly 2014-13</t>
  </si>
  <si>
    <t>Kobrosly 2014-14</t>
  </si>
  <si>
    <t>Kobrosly 2014-15</t>
  </si>
  <si>
    <t>Kobrosly 2014-16</t>
  </si>
  <si>
    <t>Kobrosly 2014-17</t>
  </si>
  <si>
    <t>Kobrosly 2014-18</t>
  </si>
  <si>
    <t>Kobrosly 2014-19</t>
  </si>
  <si>
    <t>Kobrosly 2014-20</t>
  </si>
  <si>
    <t>Kobrosly 2014-21</t>
  </si>
  <si>
    <t>Kobrosly 2014-22</t>
  </si>
  <si>
    <t>Kobrosly 2014-23</t>
  </si>
  <si>
    <t>Kobrosly 2014-24</t>
  </si>
  <si>
    <t>Kobrosly 2014-25</t>
  </si>
  <si>
    <t>Kobrosly 2014-26</t>
  </si>
  <si>
    <t>Kobrosly 2014-27</t>
  </si>
  <si>
    <t>Kobrosly 2014-28</t>
  </si>
  <si>
    <t>Kobrosly 2014-29</t>
  </si>
  <si>
    <t>Kobrosly 2014-30</t>
  </si>
  <si>
    <t>Kobrosly 2014-31</t>
  </si>
  <si>
    <t>Kobrosly 2014-32</t>
  </si>
  <si>
    <t>Kobrosly 2014-33</t>
  </si>
  <si>
    <t>Kobrosly 2014-34</t>
  </si>
  <si>
    <t>Kobrosly 2014-35</t>
  </si>
  <si>
    <t>Kobrosly 2014-36</t>
  </si>
  <si>
    <t>Kobrosly 2014-37</t>
  </si>
  <si>
    <t>Kobrosly 2014-38</t>
  </si>
  <si>
    <t>Kobrosly 2014-39</t>
  </si>
  <si>
    <t>Kobrosly 2014-40</t>
  </si>
  <si>
    <t>Kobrosly 2014-41</t>
  </si>
  <si>
    <t>Kobrosly 2014-42</t>
  </si>
  <si>
    <t>Kobrosly 2014-43</t>
  </si>
  <si>
    <t>Kobrosly 2014-44</t>
  </si>
  <si>
    <t>Kobrosly 2014-45</t>
  </si>
  <si>
    <t>Prental Alcohol Exposure &amp; Behavior disorders</t>
  </si>
  <si>
    <t>sex</t>
  </si>
  <si>
    <t>Capersen 2016-1</t>
  </si>
  <si>
    <t>Capersen 2016-2</t>
  </si>
  <si>
    <t>Capersen 2016-3</t>
  </si>
  <si>
    <t>Capersen 2016-4</t>
  </si>
  <si>
    <t>Capersen 2016-5</t>
  </si>
  <si>
    <t>Capersen 2016-6</t>
  </si>
  <si>
    <t>Capersen 2016-7</t>
  </si>
  <si>
    <t>Capersen 2016-8</t>
  </si>
  <si>
    <t>Sagiv 2010-1</t>
  </si>
  <si>
    <t>Sagiv 2010-2</t>
  </si>
  <si>
    <t>Sagiv 2010-3</t>
  </si>
  <si>
    <t>Sagiv 2010-4</t>
  </si>
  <si>
    <t>Sagiv 2010-5</t>
  </si>
  <si>
    <t>Sagiv 2010-6</t>
  </si>
  <si>
    <t>Sagiv 2010-7</t>
  </si>
  <si>
    <t>Sagiv 2010-8</t>
  </si>
  <si>
    <t>Sagiv 2010-9</t>
  </si>
  <si>
    <t>V</t>
  </si>
  <si>
    <t>Dolan 2016-1</t>
  </si>
  <si>
    <t>smoking during pregnancy</t>
  </si>
  <si>
    <t>CBCL</t>
  </si>
  <si>
    <t>Dolan 2016-2</t>
  </si>
  <si>
    <t>Dolan 2016-3</t>
  </si>
  <si>
    <t>Dolan 2016-4</t>
  </si>
  <si>
    <t>Dolan 2016-5</t>
  </si>
  <si>
    <t>Dolan 2016-6</t>
  </si>
  <si>
    <t>Dolan 2016-7</t>
  </si>
  <si>
    <t>Dolan 2016-8</t>
  </si>
  <si>
    <t>Cd</t>
  </si>
  <si>
    <t>Boden 2010-1</t>
  </si>
  <si>
    <t>Boden 2010-2</t>
  </si>
  <si>
    <t>14-16 yrs</t>
  </si>
  <si>
    <t>14-16yrs</t>
  </si>
  <si>
    <t>Cornelius 2007-1</t>
  </si>
  <si>
    <t>Any smopking during pregnancy</t>
  </si>
  <si>
    <t>Cornelius 2007-2</t>
  </si>
  <si>
    <t>Cornelius 2007-3</t>
  </si>
  <si>
    <t>Cornelius 2007-4</t>
  </si>
  <si>
    <t>1st trimes smoking</t>
  </si>
  <si>
    <t>Cornelius 2007-5</t>
  </si>
  <si>
    <t>Cornelius 2007-6</t>
  </si>
  <si>
    <t xml:space="preserve">Wakschlag 2010-1 </t>
  </si>
  <si>
    <t>Wakschlag 2010-2</t>
  </si>
  <si>
    <t>DISC_IV</t>
  </si>
  <si>
    <t xml:space="preserve">prenatal Exposure to cigs </t>
  </si>
  <si>
    <t>CD (boys)</t>
  </si>
  <si>
    <t>Barthelemy 2016-1</t>
  </si>
  <si>
    <t>intrauterine conaine exposuire (high v none)</t>
  </si>
  <si>
    <t>intrauterine conaine exposuire (light v one)</t>
  </si>
  <si>
    <t>Barthelemy 2016-2</t>
  </si>
  <si>
    <t>Barthelemy 2016-3</t>
  </si>
  <si>
    <t>prenatal (10+ vs none)</t>
  </si>
  <si>
    <t>prenatal (1-10 vs none)</t>
  </si>
  <si>
    <t>Barthelemy 2016-4</t>
  </si>
  <si>
    <t>Barthelemy 2016 - 5</t>
  </si>
  <si>
    <t>prenatal (0.5 drinks/day v none)</t>
  </si>
  <si>
    <t>Barthelemy 2016 - 6</t>
  </si>
  <si>
    <t>prenatal (0.5+ drinks/day v none)</t>
  </si>
  <si>
    <t>Evans 2015-1</t>
  </si>
  <si>
    <t>Evans 2015-2</t>
  </si>
  <si>
    <t>Evans 2015-3</t>
  </si>
  <si>
    <t>Evans 2015-4</t>
  </si>
  <si>
    <t>Evans 2015-5</t>
  </si>
  <si>
    <t>Evans 2015-6</t>
  </si>
  <si>
    <t>Evans 2015-7</t>
  </si>
  <si>
    <t>Evans 2015-8</t>
  </si>
  <si>
    <t>Evans 2015-9</t>
  </si>
  <si>
    <t>DSM</t>
  </si>
  <si>
    <t>Engel 2010-1</t>
  </si>
  <si>
    <t>Engel 2010-2</t>
  </si>
  <si>
    <t>Engel 2010-3</t>
  </si>
  <si>
    <t>Engel 2010-4</t>
  </si>
  <si>
    <t>Engel 2010-5</t>
  </si>
  <si>
    <t>Engel 2010-6</t>
  </si>
  <si>
    <t>Engel 2010-7</t>
  </si>
  <si>
    <t>Engel 2010-8</t>
  </si>
  <si>
    <t>Engel 2010-9</t>
  </si>
  <si>
    <t>Engel 2010-10</t>
  </si>
  <si>
    <t>Engel 2010-11</t>
  </si>
  <si>
    <t>Engel 2010-12</t>
  </si>
  <si>
    <t>Engel 2010-13</t>
  </si>
  <si>
    <t>Engel 2010-14</t>
  </si>
  <si>
    <t>Engel 2010-15</t>
  </si>
  <si>
    <t>BASC</t>
  </si>
  <si>
    <t>5-18 yrs</t>
  </si>
  <si>
    <t>Boucher 2012-3</t>
  </si>
  <si>
    <t>Boucher 2012-4</t>
  </si>
  <si>
    <t>Boucher 2012-5</t>
  </si>
  <si>
    <t>ADHD-Inat</t>
  </si>
  <si>
    <t>ADHD-HypImp</t>
  </si>
  <si>
    <t>ODD CD</t>
  </si>
  <si>
    <t>Boucher 2012-6</t>
  </si>
  <si>
    <t>Boucher 2012-7</t>
  </si>
  <si>
    <t>Boucher 2012-8</t>
  </si>
  <si>
    <t>cord hg</t>
  </si>
  <si>
    <t>Boucher 2012-10</t>
  </si>
  <si>
    <t>8-14 yrs</t>
  </si>
  <si>
    <t>Boucher 2012-11</t>
  </si>
  <si>
    <t>Cord PCB 153</t>
  </si>
  <si>
    <t>DSM_IV</t>
  </si>
  <si>
    <t>Sagiv 2012-1</t>
  </si>
  <si>
    <t>DSM IV</t>
  </si>
  <si>
    <t>ADHD Inat</t>
  </si>
  <si>
    <t>ADHD Hyp/Imp</t>
  </si>
  <si>
    <t>Sagiv 2012-3</t>
  </si>
  <si>
    <t>maternal hair hg (&lt; 1ug/g)</t>
  </si>
  <si>
    <t>Sagiv 2012-4</t>
  </si>
  <si>
    <t>Sagiv 2012-5</t>
  </si>
  <si>
    <t>Sagiv 2012-6</t>
  </si>
  <si>
    <t>Cord Serum- Sum of 51 PCBS</t>
  </si>
  <si>
    <t>Cord Serum- Sum of 4 PCBS</t>
  </si>
  <si>
    <t>Cord Serum DDE</t>
  </si>
  <si>
    <t>Ribas-Fito 2007-1</t>
  </si>
  <si>
    <t>In utero HCB (.5-.99 ng/ml)</t>
  </si>
  <si>
    <t>Ribas-Fito 2007-2</t>
  </si>
  <si>
    <t>Ribas-Fito 2007-3</t>
  </si>
  <si>
    <t>Ribas-Fito 2007-4</t>
  </si>
  <si>
    <t>In utero HCB (1-1.49 ng/ml)</t>
  </si>
  <si>
    <t>In utero HCB (1.5+ ng/ml)</t>
  </si>
  <si>
    <t>In utero HCB (ng/ml)</t>
  </si>
  <si>
    <t>Perera 2014-1</t>
  </si>
  <si>
    <t>cord Pah adducts</t>
  </si>
  <si>
    <t>Perera 2014-2</t>
  </si>
  <si>
    <t>Perera 2014-3</t>
  </si>
  <si>
    <t>Perera 2014-4</t>
  </si>
  <si>
    <t>DSM-IV CPRS</t>
  </si>
  <si>
    <t>maternal PCB 153</t>
  </si>
  <si>
    <t>ADHD Imp</t>
  </si>
  <si>
    <t>ADHD Hyp</t>
  </si>
  <si>
    <t>maternal dioxin like compounds</t>
  </si>
  <si>
    <t>2-6 yrs</t>
  </si>
  <si>
    <t>Cord Serum PFOS</t>
  </si>
  <si>
    <t>Cord Serum PFOA</t>
  </si>
  <si>
    <t>Ode 2014-1</t>
  </si>
  <si>
    <t>Ode 2014-2</t>
  </si>
  <si>
    <t>8-12 yrs</t>
  </si>
  <si>
    <t>DSM -IV</t>
  </si>
  <si>
    <t>maternal Urinary pyrethriods</t>
  </si>
  <si>
    <t>Furlong 2017-1</t>
  </si>
  <si>
    <t>Furlong 2017-2</t>
  </si>
  <si>
    <t>Furlong 2017-3</t>
  </si>
  <si>
    <t>Furlong 2017-4</t>
  </si>
  <si>
    <t>6-9 yrs</t>
  </si>
  <si>
    <t>Desrosier 2013-3</t>
  </si>
  <si>
    <t>Desrosier 2013-4</t>
  </si>
  <si>
    <t>Desrosier 2013-5</t>
  </si>
  <si>
    <t>Desrosier 2013-6</t>
  </si>
  <si>
    <t>Desrosier 2013-7</t>
  </si>
  <si>
    <t>cord hg (low)</t>
  </si>
  <si>
    <t>cord hg (high)</t>
  </si>
  <si>
    <t>CBCL TRF</t>
  </si>
  <si>
    <t>Joo 2017-1</t>
  </si>
  <si>
    <t>Joo 2017-2</t>
  </si>
  <si>
    <t>Joo 2017-3</t>
  </si>
  <si>
    <t>ADHD -Hyp</t>
  </si>
  <si>
    <t>ADHD -Hyp/Imp</t>
  </si>
  <si>
    <t>ADHD - Inat</t>
  </si>
  <si>
    <t>Extern. Behav.</t>
  </si>
  <si>
    <t>Ext - aggression</t>
  </si>
  <si>
    <t>Knopik 2009 - 1</t>
  </si>
  <si>
    <t>Knopik 2009 - 2</t>
  </si>
  <si>
    <t>Knopik 2009 - 3</t>
  </si>
  <si>
    <t>Knopik 2009 - 4</t>
  </si>
  <si>
    <t>Knopik 2009 - 5</t>
  </si>
  <si>
    <t>Knopik 2009 - 6</t>
  </si>
  <si>
    <t>Knopik 2009 - 7</t>
  </si>
  <si>
    <t>Knopik 2009 - 8</t>
  </si>
  <si>
    <t>Knopik 2009 - 9</t>
  </si>
  <si>
    <t>Knopik 2009 - 10</t>
  </si>
  <si>
    <t>Knopik 2009 - 11</t>
  </si>
  <si>
    <t>Knopik 2009 - 12</t>
  </si>
  <si>
    <t>Langley 2012-1</t>
  </si>
  <si>
    <t>McLaughlin 2011-1</t>
  </si>
  <si>
    <t>McLaughlin 2011-2</t>
  </si>
  <si>
    <t>McLaughlin 2011-4</t>
  </si>
  <si>
    <t>McLaughlin 2011-5</t>
  </si>
  <si>
    <t>McLaughlin 2011-7</t>
  </si>
  <si>
    <t>maternal hair hg (1+ug/g)</t>
  </si>
  <si>
    <t>Knopik 2009-16</t>
  </si>
  <si>
    <t>Knopik 2009-17</t>
  </si>
  <si>
    <t>Knopik 2009-18</t>
  </si>
  <si>
    <t>Knopik 2009-19</t>
  </si>
  <si>
    <t>Knopik 2009-20</t>
  </si>
  <si>
    <t>Knopik 2009-21</t>
  </si>
  <si>
    <t>Knopik 2009-22</t>
  </si>
  <si>
    <t>Knopik 2009-23</t>
  </si>
  <si>
    <t>Knopik 2009-24</t>
  </si>
  <si>
    <t>Knopik 2009-25</t>
  </si>
  <si>
    <t>Knopik 2009-26</t>
  </si>
  <si>
    <t>Knopik 2009-27</t>
  </si>
  <si>
    <t>Knudsen 2014-3</t>
  </si>
  <si>
    <t>Knudsen 2014-4</t>
  </si>
  <si>
    <t>Knudsen 2014-5</t>
  </si>
  <si>
    <t>Knudsen 2014-6</t>
  </si>
  <si>
    <t>mn</t>
  </si>
  <si>
    <t>cd</t>
  </si>
  <si>
    <t>hair hg</t>
  </si>
  <si>
    <t>low</t>
  </si>
  <si>
    <t>high</t>
  </si>
  <si>
    <t>CRS</t>
  </si>
  <si>
    <t>Ext Beh</t>
  </si>
  <si>
    <t>Ext - aggresion</t>
  </si>
  <si>
    <t xml:space="preserve"> Ext - attention</t>
  </si>
  <si>
    <t>ADHD - Hyp/Inat</t>
  </si>
  <si>
    <t xml:space="preserve"> maternal urine increase in LMWP</t>
  </si>
  <si>
    <t xml:space="preserve"> maternal urine BPA</t>
  </si>
  <si>
    <t>maternal urine BPA</t>
  </si>
  <si>
    <t>maternal urine DEHP</t>
  </si>
  <si>
    <t>maternal urine MBP</t>
  </si>
  <si>
    <t>maternal urine MBzP</t>
  </si>
  <si>
    <t>maternal urine MEP</t>
  </si>
  <si>
    <t>maternal urine MiBP</t>
  </si>
  <si>
    <t>Ext - Aggression</t>
  </si>
  <si>
    <t>ADHD - Hyp</t>
  </si>
  <si>
    <t>Galera 2011-1</t>
  </si>
  <si>
    <t>prenatal tobacco exposure</t>
  </si>
  <si>
    <t>Galera 2011-2</t>
  </si>
  <si>
    <t>Hsieh 2010-1</t>
  </si>
  <si>
    <t>Hsieh 2010-2</t>
  </si>
  <si>
    <t>Hsieh 2010-3</t>
  </si>
  <si>
    <t>Marks 2010-1</t>
  </si>
  <si>
    <t>prenatal DAP</t>
  </si>
  <si>
    <t>Marks 2010-2</t>
  </si>
  <si>
    <t>Marks 2010-3</t>
  </si>
  <si>
    <t>Marks 2010-4</t>
  </si>
  <si>
    <t>Pfinder 2012-1</t>
  </si>
  <si>
    <t>ADHD- Hyp/Inat</t>
  </si>
  <si>
    <t>Pfinder 2012-2</t>
  </si>
  <si>
    <t>Pfinder 2012-3</t>
  </si>
  <si>
    <t>Pfinder 2012-4</t>
  </si>
  <si>
    <t>Pineda 2007-2</t>
  </si>
  <si>
    <t>Pineda 2007-1</t>
  </si>
  <si>
    <t>ADHD-Hyp</t>
  </si>
  <si>
    <t>First Trimester Only Data</t>
  </si>
  <si>
    <t>Sagiv 2012-2</t>
  </si>
  <si>
    <t>CD (girls)</t>
  </si>
  <si>
    <t>Knudsen 2014-1</t>
  </si>
  <si>
    <t>Knudsen 2014-2</t>
  </si>
  <si>
    <t>Boucher 2012-1</t>
  </si>
  <si>
    <t>Boucher 2012-2</t>
  </si>
  <si>
    <t>Desrosier 2013-8</t>
  </si>
  <si>
    <t>Biological Sample</t>
  </si>
  <si>
    <t>F</t>
  </si>
  <si>
    <t>M</t>
  </si>
  <si>
    <t>M+F</t>
  </si>
  <si>
    <t>Extern. Behav</t>
  </si>
  <si>
    <t>Prenatal Phthalate/Plasticizer Exposures &amp; Behavior Disorders</t>
  </si>
  <si>
    <t>Prenatal OC Exposure Data</t>
  </si>
  <si>
    <t>Prenatal Hg Exposure Data</t>
  </si>
  <si>
    <t>Abbreviation</t>
  </si>
  <si>
    <t>Complete Phrase</t>
  </si>
  <si>
    <t>Ext - attention</t>
  </si>
  <si>
    <t>Attention deficiet hyperactivity disorder</t>
  </si>
  <si>
    <t>Attention deficiet hyperactivity disorder - Inattetnion Sympotoms</t>
  </si>
  <si>
    <t>Attention deficiet hyperactivity disorder - Hyperactive Sympotoms</t>
  </si>
  <si>
    <t>Attention deficiet hyperactivity disorder - Hyperactive &amp; Inattetnive Sympotoms</t>
  </si>
  <si>
    <t>Conduct Disorcer</t>
  </si>
  <si>
    <t>Conduct Disorder / Oppositiosnl defiant disorder</t>
  </si>
  <si>
    <t>Diagnostic and Statistical Manual of Mental Disorders</t>
  </si>
  <si>
    <t>Diagnostic and Statistical Manual of Mental Disorders volume 5</t>
  </si>
  <si>
    <t>Externalizing Behaviors- aggressive symptoms</t>
  </si>
  <si>
    <t>Externalizing Behaviors- inattetnion symptoms</t>
  </si>
  <si>
    <t>Externalizing Behaviors</t>
  </si>
  <si>
    <t>Oppositional Defiant disroder</t>
  </si>
  <si>
    <t>Strength &amp; Difficulties questionaire</t>
  </si>
  <si>
    <t>Child Behavior Checklist - Teacher Report Form</t>
  </si>
  <si>
    <t>Child Behavior Checklist</t>
  </si>
  <si>
    <t>Behavior Assessment System for Children</t>
  </si>
  <si>
    <t>Diagnostic and Statistical Manual of Mental Disorders - Child Parent Rating Scale</t>
  </si>
  <si>
    <t>Ext. Beh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</si>
</sst>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0" xfId="0" applyFont="1"/>
    <xf numFmtId="164" fontId="0" fillId="0" borderId="2" xfId="0" applyNumberFormat="1" applyBorder="1" applyAlignment="1">
      <alignment horizontal="center"/>
    </xf>
    <xf numFmtId="2" fontId="5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Prenatal Cigarette Exposure &amp; Total</a:t>
            </a:r>
            <a:r>
              <a:rPr lang="en-US" baseline="0"/>
              <a:t> </a:t>
            </a:r>
            <a:r>
              <a:rPr lang="en-US"/>
              <a:t>Behavior Disorder</a:t>
            </a:r>
          </a:p>
        </c:rich>
      </c:tx>
      <c:layout>
        <c:manualLayout>
          <c:xMode val="edge"/>
          <c:yMode val="edge"/>
          <c:x val="0.13688973252873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'CigSm Final'!$G$2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CigSm!#REF!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CigSm!#REF!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CigSm!#REF!</c:f>
            </c:numRef>
          </c:xVal>
          <c:yVal>
            <c:numRef>
              <c:f>CigSm!#REF!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C-4896-8D37-397CAC5D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2224"/>
        <c:axId val="409511240"/>
      </c:scatterChart>
      <c:valAx>
        <c:axId val="409512224"/>
        <c:scaling>
          <c:logBase val="10"/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Ratio (OR)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1240"/>
        <c:crosses val="autoZero"/>
        <c:crossBetween val="midCat"/>
        <c:majorUnit val="10"/>
      </c:valAx>
      <c:valAx>
        <c:axId val="409511240"/>
        <c:scaling>
          <c:orientation val="minMax"/>
          <c:max val="71"/>
          <c:min val="6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2224"/>
        <c:crossesAt val="1.0000000000000002E-3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36</xdr:col>
      <xdr:colOff>80555</xdr:colOff>
      <xdr:row>22</xdr:row>
      <xdr:rowOff>89262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9C8B1-07B5-4BCA-80DC-060D66A9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0.43731</cdr:x>
      <cdr:y>0.04846</cdr:y>
    </cdr:from>
    <cdr:to>
      <cdr:x>0.44038</cdr:x>
      <cdr:y>0.94261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3853A7-07E9-44E5-8986-A1008CDF07E0}"/>
            </a:ext>
          </a:extLst>
        </cdr:cNvPr>
        <cdr:cNvCxnSpPr/>
      </cdr:nvCxnSpPr>
      <cdr:spPr>
        <a:xfrm xmlns:a="http://schemas.openxmlformats.org/drawingml/2006/main" flipV="1">
          <a:off x="2167894" y="456631"/>
          <a:ext cx="15219" cy="84262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0224-A861-44BA-B9D2-7A005AEEFD9C}">
  <dimension ref="B2:C19"/>
  <sheetViews>
    <sheetView tabSelected="1" workbookViewId="0">
      <selection activeCell="E12" sqref="E12"/>
    </sheetView>
  </sheetViews>
  <sheetFormatPr defaultRowHeight="15" x14ac:dyDescent="0.25"/>
  <cols>
    <col min="2" max="2" width="12.5703125" bestFit="1" customWidth="1"/>
    <col min="3" max="3" width="57" bestFit="1" customWidth="1"/>
  </cols>
  <sheetData>
    <row r="2" spans="2:3" x14ac:dyDescent="0.25">
      <c r="B2" s="42" t="s">
        <v>410</v>
      </c>
      <c r="C2" s="42" t="s">
        <v>411</v>
      </c>
    </row>
    <row r="3" spans="2:3" x14ac:dyDescent="0.25">
      <c r="B3" s="17" t="s">
        <v>19</v>
      </c>
      <c r="C3" s="17" t="s">
        <v>413</v>
      </c>
    </row>
    <row r="4" spans="2:3" x14ac:dyDescent="0.25">
      <c r="B4" s="17" t="s">
        <v>317</v>
      </c>
      <c r="C4" s="17" t="s">
        <v>414</v>
      </c>
    </row>
    <row r="5" spans="2:3" x14ac:dyDescent="0.25">
      <c r="B5" s="17" t="s">
        <v>315</v>
      </c>
      <c r="C5" s="17" t="s">
        <v>416</v>
      </c>
    </row>
    <row r="6" spans="2:3" x14ac:dyDescent="0.25">
      <c r="B6" s="17" t="s">
        <v>316</v>
      </c>
      <c r="C6" s="17" t="s">
        <v>415</v>
      </c>
    </row>
    <row r="7" spans="2:3" x14ac:dyDescent="0.25">
      <c r="B7" s="17" t="s">
        <v>244</v>
      </c>
      <c r="C7" s="17" t="s">
        <v>428</v>
      </c>
    </row>
    <row r="8" spans="2:3" x14ac:dyDescent="0.25">
      <c r="B8" s="17" t="s">
        <v>181</v>
      </c>
      <c r="C8" s="17" t="s">
        <v>427</v>
      </c>
    </row>
    <row r="9" spans="2:3" x14ac:dyDescent="0.25">
      <c r="B9" s="17" t="s">
        <v>311</v>
      </c>
      <c r="C9" s="17" t="s">
        <v>426</v>
      </c>
    </row>
    <row r="10" spans="2:3" x14ac:dyDescent="0.25">
      <c r="B10" s="17" t="s">
        <v>24</v>
      </c>
      <c r="C10" s="17" t="s">
        <v>417</v>
      </c>
    </row>
    <row r="11" spans="2:3" x14ac:dyDescent="0.25">
      <c r="B11" s="17" t="s">
        <v>32</v>
      </c>
      <c r="C11" s="17" t="s">
        <v>418</v>
      </c>
    </row>
    <row r="12" spans="2:3" x14ac:dyDescent="0.25">
      <c r="B12" s="17" t="s">
        <v>228</v>
      </c>
      <c r="C12" s="17" t="s">
        <v>419</v>
      </c>
    </row>
    <row r="13" spans="2:3" x14ac:dyDescent="0.25">
      <c r="B13" s="17" t="s">
        <v>260</v>
      </c>
      <c r="C13" s="17" t="s">
        <v>420</v>
      </c>
    </row>
    <row r="14" spans="2:3" x14ac:dyDescent="0.25">
      <c r="B14" s="17" t="s">
        <v>286</v>
      </c>
      <c r="C14" s="17" t="s">
        <v>429</v>
      </c>
    </row>
    <row r="15" spans="2:3" x14ac:dyDescent="0.25">
      <c r="B15" s="17" t="s">
        <v>319</v>
      </c>
      <c r="C15" s="17" t="s">
        <v>421</v>
      </c>
    </row>
    <row r="16" spans="2:3" x14ac:dyDescent="0.25">
      <c r="B16" s="17" t="s">
        <v>412</v>
      </c>
      <c r="C16" s="17" t="s">
        <v>422</v>
      </c>
    </row>
    <row r="17" spans="2:3" x14ac:dyDescent="0.25">
      <c r="B17" s="17" t="s">
        <v>361</v>
      </c>
      <c r="C17" s="17" t="s">
        <v>423</v>
      </c>
    </row>
    <row r="18" spans="2:3" x14ac:dyDescent="0.25">
      <c r="B18" s="17" t="s">
        <v>26</v>
      </c>
      <c r="C18" s="17" t="s">
        <v>424</v>
      </c>
    </row>
    <row r="19" spans="2:3" x14ac:dyDescent="0.25">
      <c r="B19" s="17" t="s">
        <v>91</v>
      </c>
      <c r="C19" s="17" t="s">
        <v>425</v>
      </c>
    </row>
  </sheetData>
  <sortState xmlns:xlrd2="http://schemas.microsoft.com/office/spreadsheetml/2017/richdata2" ref="B3:C19">
    <sortCondition ref="B2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B168-AC18-4522-B22C-6BAB5EF81D53}">
  <sheetPr>
    <pageSetUpPr fitToPage="1"/>
  </sheetPr>
  <dimension ref="A1:M77"/>
  <sheetViews>
    <sheetView zoomScale="90" zoomScaleNormal="90" workbookViewId="0">
      <selection activeCell="C47" sqref="C47"/>
    </sheetView>
  </sheetViews>
  <sheetFormatPr defaultRowHeight="15" x14ac:dyDescent="0.25"/>
  <cols>
    <col min="1" max="1" width="16.42578125" bestFit="1" customWidth="1"/>
    <col min="2" max="2" width="26.42578125" style="24" bestFit="1" customWidth="1"/>
    <col min="3" max="3" width="24.42578125" style="24" bestFit="1" customWidth="1"/>
    <col min="4" max="4" width="13.140625" bestFit="1" customWidth="1"/>
    <col min="5" max="5" width="11.140625" style="24" bestFit="1" customWidth="1"/>
    <col min="6" max="6" width="7.42578125" style="24" bestFit="1" customWidth="1"/>
    <col min="7" max="7" width="12.7109375" style="2" bestFit="1" customWidth="1"/>
    <col min="8" max="9" width="5" style="24" customWidth="1"/>
    <col min="10" max="10" width="12.7109375" style="24" bestFit="1" customWidth="1"/>
    <col min="11" max="11" width="13.28515625" style="24" bestFit="1" customWidth="1"/>
  </cols>
  <sheetData>
    <row r="1" spans="1:11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s="23" t="s">
        <v>0</v>
      </c>
      <c r="B2" s="23" t="s">
        <v>20</v>
      </c>
      <c r="C2" s="23" t="s">
        <v>75</v>
      </c>
      <c r="D2" s="23" t="s">
        <v>18</v>
      </c>
      <c r="E2" s="23" t="s">
        <v>21</v>
      </c>
      <c r="F2" s="10" t="s">
        <v>31</v>
      </c>
      <c r="G2" s="20" t="s">
        <v>7</v>
      </c>
      <c r="H2" s="23" t="s">
        <v>77</v>
      </c>
      <c r="I2" s="23" t="s">
        <v>178</v>
      </c>
      <c r="J2" s="23" t="s">
        <v>8</v>
      </c>
      <c r="K2" s="23" t="s">
        <v>9</v>
      </c>
    </row>
    <row r="3" spans="1:11" x14ac:dyDescent="0.25">
      <c r="A3" s="11" t="s">
        <v>15</v>
      </c>
      <c r="B3" s="11" t="s">
        <v>30</v>
      </c>
      <c r="C3" s="11" t="s">
        <v>311</v>
      </c>
      <c r="D3" s="11" t="s">
        <v>19</v>
      </c>
      <c r="E3" s="12" t="s">
        <v>33</v>
      </c>
      <c r="F3" s="11">
        <v>258</v>
      </c>
      <c r="G3" s="16">
        <v>3.47</v>
      </c>
      <c r="H3" s="13">
        <f t="shared" ref="H3:H48" si="0">(K3-J3)/3.92</f>
        <v>2.8265306122448979</v>
      </c>
      <c r="I3" s="13">
        <f t="shared" ref="I3:I34" si="1">1/((H3)^2)</f>
        <v>0.1251677983552503</v>
      </c>
      <c r="J3" s="13">
        <v>1</v>
      </c>
      <c r="K3" s="13">
        <v>12.08</v>
      </c>
    </row>
    <row r="4" spans="1:11" x14ac:dyDescent="0.25">
      <c r="A4" s="17" t="s">
        <v>375</v>
      </c>
      <c r="B4" s="27" t="s">
        <v>376</v>
      </c>
      <c r="C4" s="27" t="s">
        <v>181</v>
      </c>
      <c r="D4" s="17" t="s">
        <v>19</v>
      </c>
      <c r="E4" s="27">
        <v>8</v>
      </c>
      <c r="F4" s="27">
        <v>1665</v>
      </c>
      <c r="G4" s="28">
        <v>1.37</v>
      </c>
      <c r="H4" s="13">
        <f t="shared" si="0"/>
        <v>0.23469387755102039</v>
      </c>
      <c r="I4" s="13">
        <f t="shared" si="1"/>
        <v>18.155009451795845</v>
      </c>
      <c r="J4" s="27">
        <v>0.98</v>
      </c>
      <c r="K4" s="27">
        <v>1.9</v>
      </c>
    </row>
    <row r="5" spans="1:11" x14ac:dyDescent="0.25">
      <c r="A5" s="17" t="s">
        <v>377</v>
      </c>
      <c r="B5" s="27" t="s">
        <v>376</v>
      </c>
      <c r="C5" s="27" t="s">
        <v>181</v>
      </c>
      <c r="D5" s="17" t="s">
        <v>19</v>
      </c>
      <c r="E5" s="27">
        <v>8</v>
      </c>
      <c r="F5" s="27">
        <v>1721</v>
      </c>
      <c r="G5" s="28">
        <v>1.41</v>
      </c>
      <c r="H5" s="13">
        <f t="shared" si="0"/>
        <v>0.22959183673469385</v>
      </c>
      <c r="I5" s="13">
        <f t="shared" si="1"/>
        <v>18.970864197530869</v>
      </c>
      <c r="J5" s="27">
        <v>1.03</v>
      </c>
      <c r="K5" s="27">
        <v>1.93</v>
      </c>
    </row>
    <row r="6" spans="1:11" x14ac:dyDescent="0.25">
      <c r="A6" s="11" t="s">
        <v>312</v>
      </c>
      <c r="B6" s="11" t="s">
        <v>25</v>
      </c>
      <c r="C6" s="11" t="s">
        <v>76</v>
      </c>
      <c r="D6" s="11" t="s">
        <v>19</v>
      </c>
      <c r="E6" s="11" t="s">
        <v>61</v>
      </c>
      <c r="F6" s="11">
        <v>418</v>
      </c>
      <c r="G6" s="16">
        <v>1.67</v>
      </c>
      <c r="H6" s="13">
        <f t="shared" si="0"/>
        <v>0.38265306122448978</v>
      </c>
      <c r="I6" s="13">
        <f t="shared" si="1"/>
        <v>6.8295111111111124</v>
      </c>
      <c r="J6" s="13">
        <v>1.08</v>
      </c>
      <c r="K6" s="13">
        <v>2.58</v>
      </c>
    </row>
    <row r="7" spans="1:11" x14ac:dyDescent="0.25">
      <c r="A7" s="11" t="s">
        <v>332</v>
      </c>
      <c r="B7" s="11" t="s">
        <v>40</v>
      </c>
      <c r="C7" s="11" t="s">
        <v>76</v>
      </c>
      <c r="D7" s="11" t="s">
        <v>19</v>
      </c>
      <c r="E7" s="11" t="s">
        <v>37</v>
      </c>
      <c r="F7" s="11">
        <v>5719</v>
      </c>
      <c r="G7" s="16">
        <f>EXP(0.19)</f>
        <v>1.2092495976572515</v>
      </c>
      <c r="H7" s="13">
        <f t="shared" si="0"/>
        <v>4.6547856927008052E-2</v>
      </c>
      <c r="I7" s="13">
        <f t="shared" si="1"/>
        <v>461.53072532553523</v>
      </c>
      <c r="J7" s="13">
        <f>EXP(0.12)</f>
        <v>1.1274968515793757</v>
      </c>
      <c r="K7" s="13">
        <f>EXP(0.27)</f>
        <v>1.3099644507332473</v>
      </c>
    </row>
    <row r="8" spans="1:11" x14ac:dyDescent="0.25">
      <c r="A8" s="29" t="s">
        <v>392</v>
      </c>
      <c r="B8" s="29" t="s">
        <v>25</v>
      </c>
      <c r="C8" s="29" t="s">
        <v>260</v>
      </c>
      <c r="D8" s="29" t="s">
        <v>19</v>
      </c>
      <c r="E8" s="29">
        <v>8</v>
      </c>
      <c r="F8" s="29">
        <v>486</v>
      </c>
      <c r="G8" s="29">
        <v>8.9</v>
      </c>
      <c r="H8" s="30">
        <f t="shared" si="0"/>
        <v>19.744897959183675</v>
      </c>
      <c r="I8" s="31">
        <f t="shared" si="1"/>
        <v>2.5650167925271583E-3</v>
      </c>
      <c r="J8" s="29">
        <v>1</v>
      </c>
      <c r="K8" s="29">
        <v>78.400000000000006</v>
      </c>
    </row>
    <row r="9" spans="1:11" x14ac:dyDescent="0.25">
      <c r="A9" s="29" t="s">
        <v>3</v>
      </c>
      <c r="B9" s="29" t="s">
        <v>30</v>
      </c>
      <c r="C9" s="29" t="s">
        <v>91</v>
      </c>
      <c r="D9" s="29" t="s">
        <v>19</v>
      </c>
      <c r="E9" s="29" t="s">
        <v>22</v>
      </c>
      <c r="F9" s="29">
        <v>49</v>
      </c>
      <c r="G9" s="33">
        <v>2.3199999999999998</v>
      </c>
      <c r="H9" s="30">
        <f t="shared" si="0"/>
        <v>0.92346938775510212</v>
      </c>
      <c r="I9" s="30">
        <f t="shared" si="1"/>
        <v>1.1726137785781874</v>
      </c>
      <c r="J9" s="30">
        <v>1.1299999999999999</v>
      </c>
      <c r="K9" s="30">
        <v>4.75</v>
      </c>
    </row>
    <row r="10" spans="1:11" x14ac:dyDescent="0.25">
      <c r="A10" s="29" t="s">
        <v>4</v>
      </c>
      <c r="B10" s="29" t="s">
        <v>35</v>
      </c>
      <c r="C10" s="29" t="s">
        <v>91</v>
      </c>
      <c r="D10" s="29" t="s">
        <v>19</v>
      </c>
      <c r="E10" s="29" t="s">
        <v>22</v>
      </c>
      <c r="F10" s="29">
        <v>122</v>
      </c>
      <c r="G10" s="33">
        <v>1.67</v>
      </c>
      <c r="H10" s="30">
        <f t="shared" si="0"/>
        <v>0.4311224489795919</v>
      </c>
      <c r="I10" s="30">
        <f t="shared" si="1"/>
        <v>5.3802037743776463</v>
      </c>
      <c r="J10" s="30">
        <v>1.03</v>
      </c>
      <c r="K10" s="30">
        <v>2.72</v>
      </c>
    </row>
    <row r="11" spans="1:11" x14ac:dyDescent="0.25">
      <c r="A11" s="11" t="s">
        <v>12</v>
      </c>
      <c r="B11" s="11" t="s">
        <v>27</v>
      </c>
      <c r="C11" s="11" t="s">
        <v>76</v>
      </c>
      <c r="D11" s="11" t="s">
        <v>317</v>
      </c>
      <c r="E11" s="11" t="s">
        <v>74</v>
      </c>
      <c r="F11" s="11">
        <f>812+482</f>
        <v>1294</v>
      </c>
      <c r="G11" s="16">
        <v>1.2</v>
      </c>
      <c r="H11" s="13">
        <f t="shared" si="0"/>
        <v>0.22704081632653059</v>
      </c>
      <c r="I11" s="13">
        <f t="shared" si="1"/>
        <v>19.399570761267519</v>
      </c>
      <c r="J11" s="13">
        <v>0.81</v>
      </c>
      <c r="K11" s="13">
        <v>1.7</v>
      </c>
    </row>
    <row r="12" spans="1:11" x14ac:dyDescent="0.25">
      <c r="A12" s="11" t="s">
        <v>13</v>
      </c>
      <c r="B12" s="11" t="s">
        <v>28</v>
      </c>
      <c r="C12" s="11" t="s">
        <v>76</v>
      </c>
      <c r="D12" s="11" t="s">
        <v>317</v>
      </c>
      <c r="E12" s="11" t="s">
        <v>74</v>
      </c>
      <c r="F12" s="11">
        <f>812+515</f>
        <v>1327</v>
      </c>
      <c r="G12" s="16">
        <v>1.1000000000000001</v>
      </c>
      <c r="H12" s="13">
        <f t="shared" si="0"/>
        <v>0.21683673469387757</v>
      </c>
      <c r="I12" s="13">
        <f t="shared" si="1"/>
        <v>21.268373702422142</v>
      </c>
      <c r="J12" s="13">
        <v>0.75</v>
      </c>
      <c r="K12" s="13">
        <v>1.6</v>
      </c>
    </row>
    <row r="13" spans="1:11" x14ac:dyDescent="0.25">
      <c r="A13" s="11" t="s">
        <v>14</v>
      </c>
      <c r="B13" s="11" t="s">
        <v>29</v>
      </c>
      <c r="C13" s="11" t="s">
        <v>76</v>
      </c>
      <c r="D13" s="11" t="s">
        <v>317</v>
      </c>
      <c r="E13" s="11" t="s">
        <v>74</v>
      </c>
      <c r="F13" s="11">
        <f>812+215</f>
        <v>1027</v>
      </c>
      <c r="G13" s="16">
        <v>1.1000000000000001</v>
      </c>
      <c r="H13" s="13">
        <f t="shared" si="0"/>
        <v>0.28826530612244894</v>
      </c>
      <c r="I13" s="13">
        <f t="shared" si="1"/>
        <v>12.034145195395102</v>
      </c>
      <c r="J13" s="13">
        <v>0.67</v>
      </c>
      <c r="K13" s="13">
        <v>1.8</v>
      </c>
    </row>
    <row r="14" spans="1:11" x14ac:dyDescent="0.25">
      <c r="A14" s="11" t="s">
        <v>196</v>
      </c>
      <c r="B14" s="11" t="s">
        <v>195</v>
      </c>
      <c r="C14" s="11" t="s">
        <v>181</v>
      </c>
      <c r="D14" s="11" t="s">
        <v>317</v>
      </c>
      <c r="E14" s="11">
        <v>6</v>
      </c>
      <c r="F14" s="11">
        <f>197+210</f>
        <v>407</v>
      </c>
      <c r="G14" s="16">
        <v>1.4357</v>
      </c>
      <c r="H14" s="13">
        <f t="shared" si="0"/>
        <v>0.26454081632653059</v>
      </c>
      <c r="I14" s="13">
        <f t="shared" si="1"/>
        <v>14.289420654677606</v>
      </c>
      <c r="J14" s="13">
        <v>1.008</v>
      </c>
      <c r="K14" s="13">
        <v>2.0449999999999999</v>
      </c>
    </row>
    <row r="15" spans="1:11" x14ac:dyDescent="0.25">
      <c r="A15" s="11" t="s">
        <v>313</v>
      </c>
      <c r="B15" s="11" t="s">
        <v>25</v>
      </c>
      <c r="C15" s="11" t="s">
        <v>76</v>
      </c>
      <c r="D15" s="11" t="s">
        <v>317</v>
      </c>
      <c r="E15" s="11" t="s">
        <v>61</v>
      </c>
      <c r="F15" s="11">
        <v>310</v>
      </c>
      <c r="G15" s="16">
        <v>1.49</v>
      </c>
      <c r="H15" s="13">
        <f t="shared" si="0"/>
        <v>0.40816326530612246</v>
      </c>
      <c r="I15" s="13">
        <f t="shared" si="1"/>
        <v>6.0024999999999995</v>
      </c>
      <c r="J15" s="13">
        <v>0.89</v>
      </c>
      <c r="K15" s="13">
        <v>2.4900000000000002</v>
      </c>
    </row>
    <row r="16" spans="1:11" x14ac:dyDescent="0.25">
      <c r="A16" s="11" t="s">
        <v>324</v>
      </c>
      <c r="B16" s="11" t="s">
        <v>89</v>
      </c>
      <c r="C16" s="11" t="s">
        <v>76</v>
      </c>
      <c r="D16" s="11" t="s">
        <v>317</v>
      </c>
      <c r="E16" s="11" t="s">
        <v>81</v>
      </c>
      <c r="F16" s="11">
        <v>2892</v>
      </c>
      <c r="G16" s="16">
        <f>EXP(0.214)</f>
        <v>1.2386226547934522</v>
      </c>
      <c r="H16" s="13">
        <f t="shared" si="0"/>
        <v>8.4475922015416122E-2</v>
      </c>
      <c r="I16" s="13">
        <f t="shared" si="1"/>
        <v>140.1309669552823</v>
      </c>
      <c r="J16" s="13">
        <v>1.0840673152190936</v>
      </c>
      <c r="K16" s="13">
        <v>1.4152129295195248</v>
      </c>
    </row>
    <row r="17" spans="1:11" x14ac:dyDescent="0.25">
      <c r="A17" s="11" t="s">
        <v>325</v>
      </c>
      <c r="B17" s="11" t="s">
        <v>90</v>
      </c>
      <c r="C17" s="11" t="s">
        <v>76</v>
      </c>
      <c r="D17" s="11" t="s">
        <v>317</v>
      </c>
      <c r="E17" s="11" t="s">
        <v>81</v>
      </c>
      <c r="F17" s="11">
        <v>2892</v>
      </c>
      <c r="G17" s="16">
        <f>EXP(0.082)</f>
        <v>1.085455809829549</v>
      </c>
      <c r="H17" s="13">
        <f t="shared" si="0"/>
        <v>7.4029713559237265E-2</v>
      </c>
      <c r="I17" s="13">
        <f t="shared" si="1"/>
        <v>182.46848324738215</v>
      </c>
      <c r="J17" s="13">
        <v>0.95001262975212519</v>
      </c>
      <c r="K17" s="13">
        <v>1.2402091069043353</v>
      </c>
    </row>
    <row r="18" spans="1:11" x14ac:dyDescent="0.25">
      <c r="A18" s="11" t="s">
        <v>42</v>
      </c>
      <c r="B18" s="11" t="s">
        <v>35</v>
      </c>
      <c r="C18" s="11" t="s">
        <v>76</v>
      </c>
      <c r="D18" s="11" t="s">
        <v>317</v>
      </c>
      <c r="E18" s="11" t="s">
        <v>41</v>
      </c>
      <c r="F18" s="11">
        <v>1616</v>
      </c>
      <c r="G18" s="16">
        <f>EXP(0.85)</f>
        <v>2.3396468519259908</v>
      </c>
      <c r="H18" s="13">
        <f t="shared" si="0"/>
        <v>0.74253351180186355</v>
      </c>
      <c r="I18" s="13">
        <f t="shared" si="1"/>
        <v>1.8137101450074773</v>
      </c>
      <c r="J18" s="13">
        <f>EXP(0.27)</f>
        <v>1.3099644507332473</v>
      </c>
      <c r="K18" s="13">
        <f>EXP(1.44)</f>
        <v>4.2206958169965523</v>
      </c>
    </row>
    <row r="19" spans="1:11" x14ac:dyDescent="0.25">
      <c r="A19" s="11" t="s">
        <v>183</v>
      </c>
      <c r="B19" s="11" t="s">
        <v>180</v>
      </c>
      <c r="C19" s="11" t="s">
        <v>181</v>
      </c>
      <c r="D19" s="11" t="s">
        <v>315</v>
      </c>
      <c r="E19" s="11">
        <v>3</v>
      </c>
      <c r="F19" s="11">
        <f>3217+11883</f>
        <v>15100</v>
      </c>
      <c r="G19" s="16">
        <v>1.5196000000000001</v>
      </c>
      <c r="H19" s="13">
        <f t="shared" si="0"/>
        <v>5.517857142857141E-2</v>
      </c>
      <c r="I19" s="13">
        <f t="shared" si="1"/>
        <v>328.44230789371733</v>
      </c>
      <c r="J19" s="13">
        <v>1.4153</v>
      </c>
      <c r="K19" s="13">
        <v>1.6315999999999999</v>
      </c>
    </row>
    <row r="20" spans="1:11" x14ac:dyDescent="0.25">
      <c r="A20" s="11" t="s">
        <v>187</v>
      </c>
      <c r="B20" s="11" t="s">
        <v>180</v>
      </c>
      <c r="C20" s="11" t="s">
        <v>181</v>
      </c>
      <c r="D20" s="11" t="s">
        <v>315</v>
      </c>
      <c r="E20" s="11">
        <v>3</v>
      </c>
      <c r="F20" s="11">
        <v>15058</v>
      </c>
      <c r="G20" s="16">
        <v>1.5092000000000001</v>
      </c>
      <c r="H20" s="13">
        <f t="shared" si="0"/>
        <v>5.4795918367346964E-2</v>
      </c>
      <c r="I20" s="13">
        <f t="shared" si="1"/>
        <v>333.04550766552546</v>
      </c>
      <c r="J20" s="13">
        <v>1.4056</v>
      </c>
      <c r="K20" s="13">
        <v>1.6204000000000001</v>
      </c>
    </row>
    <row r="21" spans="1:11" x14ac:dyDescent="0.25">
      <c r="A21" s="11" t="s">
        <v>314</v>
      </c>
      <c r="B21" s="11" t="s">
        <v>25</v>
      </c>
      <c r="C21" s="11" t="s">
        <v>76</v>
      </c>
      <c r="D21" s="11" t="s">
        <v>315</v>
      </c>
      <c r="E21" s="11" t="s">
        <v>61</v>
      </c>
      <c r="F21" s="11">
        <v>116</v>
      </c>
      <c r="G21" s="16">
        <v>1.91</v>
      </c>
      <c r="H21" s="13">
        <f t="shared" si="0"/>
        <v>1.0255102040816328</v>
      </c>
      <c r="I21" s="13">
        <f t="shared" si="1"/>
        <v>0.95086755278334667</v>
      </c>
      <c r="J21" s="13">
        <v>0.76</v>
      </c>
      <c r="K21" s="13">
        <v>4.78</v>
      </c>
    </row>
    <row r="22" spans="1:11" x14ac:dyDescent="0.25">
      <c r="A22" s="11" t="s">
        <v>43</v>
      </c>
      <c r="B22" s="11" t="s">
        <v>35</v>
      </c>
      <c r="C22" s="11" t="s">
        <v>76</v>
      </c>
      <c r="D22" s="11" t="s">
        <v>315</v>
      </c>
      <c r="E22" s="11" t="s">
        <v>41</v>
      </c>
      <c r="F22" s="11">
        <v>1616</v>
      </c>
      <c r="G22" s="16">
        <f>EXP(0.2)</f>
        <v>1.2214027581601699</v>
      </c>
      <c r="H22" s="13">
        <f t="shared" si="0"/>
        <v>0.26271611041108428</v>
      </c>
      <c r="I22" s="13">
        <f t="shared" si="1"/>
        <v>14.488605541820069</v>
      </c>
      <c r="J22" s="13">
        <f>EXP(-0.21)</f>
        <v>0.81058424597018708</v>
      </c>
      <c r="K22" s="13">
        <f>EXP(0.61)</f>
        <v>1.8404313987816374</v>
      </c>
    </row>
    <row r="23" spans="1:11" x14ac:dyDescent="0.25">
      <c r="A23" s="11" t="s">
        <v>322</v>
      </c>
      <c r="B23" s="11" t="s">
        <v>89</v>
      </c>
      <c r="C23" s="11" t="s">
        <v>76</v>
      </c>
      <c r="D23" s="11" t="s">
        <v>316</v>
      </c>
      <c r="E23" s="11" t="s">
        <v>81</v>
      </c>
      <c r="F23" s="11">
        <v>2892</v>
      </c>
      <c r="G23" s="16">
        <f>EXP(0.199)</f>
        <v>1.2201819658998725</v>
      </c>
      <c r="H23" s="13">
        <f t="shared" si="0"/>
        <v>7.7066960010096261E-2</v>
      </c>
      <c r="I23" s="13">
        <f t="shared" si="1"/>
        <v>168.3695471408825</v>
      </c>
      <c r="J23" s="13">
        <v>1.0784447963982919</v>
      </c>
      <c r="K23" s="13">
        <v>1.3805472796378693</v>
      </c>
    </row>
    <row r="24" spans="1:11" x14ac:dyDescent="0.25">
      <c r="A24" s="11" t="s">
        <v>323</v>
      </c>
      <c r="B24" s="11" t="s">
        <v>90</v>
      </c>
      <c r="C24" s="11" t="s">
        <v>76</v>
      </c>
      <c r="D24" s="11" t="s">
        <v>316</v>
      </c>
      <c r="E24" s="11" t="s">
        <v>81</v>
      </c>
      <c r="F24" s="11">
        <v>2892</v>
      </c>
      <c r="G24" s="16">
        <f>EXP(0.134)</f>
        <v>1.143392819644647</v>
      </c>
      <c r="H24" s="13">
        <f t="shared" si="0"/>
        <v>6.761063002204698E-2</v>
      </c>
      <c r="I24" s="13">
        <f t="shared" si="1"/>
        <v>218.76106764301662</v>
      </c>
      <c r="J24" s="13">
        <v>1.018529581046173</v>
      </c>
      <c r="K24" s="13">
        <v>1.2835632507325971</v>
      </c>
    </row>
    <row r="25" spans="1:11" x14ac:dyDescent="0.25">
      <c r="A25" s="29" t="s">
        <v>96</v>
      </c>
      <c r="B25" s="29" t="s">
        <v>25</v>
      </c>
      <c r="C25" s="29" t="s">
        <v>91</v>
      </c>
      <c r="D25" s="32" t="s">
        <v>393</v>
      </c>
      <c r="E25" s="32">
        <v>10</v>
      </c>
      <c r="F25" s="29">
        <f>1569+69</f>
        <v>1638</v>
      </c>
      <c r="G25" s="38">
        <v>1.0115000000000001</v>
      </c>
      <c r="H25" s="30">
        <f t="shared" si="0"/>
        <v>0.18295918367346939</v>
      </c>
      <c r="I25" s="31">
        <f t="shared" si="1"/>
        <v>29.873875880329059</v>
      </c>
      <c r="J25" s="38">
        <v>0.71460000000000001</v>
      </c>
      <c r="K25" s="38">
        <v>1.4318</v>
      </c>
    </row>
    <row r="26" spans="1:11" x14ac:dyDescent="0.25">
      <c r="A26" s="17" t="s">
        <v>379</v>
      </c>
      <c r="B26" s="27" t="s">
        <v>25</v>
      </c>
      <c r="C26" s="27" t="s">
        <v>181</v>
      </c>
      <c r="D26" s="17" t="s">
        <v>249</v>
      </c>
      <c r="E26" s="27">
        <v>2</v>
      </c>
      <c r="F26" s="27">
        <v>191</v>
      </c>
      <c r="G26" s="28">
        <v>1.2966</v>
      </c>
      <c r="H26" s="13">
        <f t="shared" si="0"/>
        <v>0.42622448979591843</v>
      </c>
      <c r="I26" s="13">
        <f t="shared" si="1"/>
        <v>5.5045674899579167</v>
      </c>
      <c r="J26" s="28">
        <v>0.70699999999999996</v>
      </c>
      <c r="K26" s="28">
        <v>2.3778000000000001</v>
      </c>
    </row>
    <row r="27" spans="1:11" x14ac:dyDescent="0.25">
      <c r="A27" s="17" t="s">
        <v>380</v>
      </c>
      <c r="B27" s="27" t="s">
        <v>25</v>
      </c>
      <c r="C27" s="27" t="s">
        <v>181</v>
      </c>
      <c r="D27" s="17" t="s">
        <v>319</v>
      </c>
      <c r="E27" s="27">
        <v>2</v>
      </c>
      <c r="F27" s="27">
        <v>191</v>
      </c>
      <c r="G27" s="28">
        <v>1.2089000000000001</v>
      </c>
      <c r="H27" s="13">
        <f t="shared" si="0"/>
        <v>0.39739795918367349</v>
      </c>
      <c r="I27" s="13">
        <f t="shared" si="1"/>
        <v>6.332114145324228</v>
      </c>
      <c r="J27" s="28">
        <v>0.65920000000000001</v>
      </c>
      <c r="K27" s="28">
        <v>2.2170000000000001</v>
      </c>
    </row>
    <row r="28" spans="1:11" x14ac:dyDescent="0.25">
      <c r="A28" s="11" t="s">
        <v>190</v>
      </c>
      <c r="B28" s="11" t="s">
        <v>180</v>
      </c>
      <c r="C28" s="11" t="s">
        <v>76</v>
      </c>
      <c r="D28" s="11" t="s">
        <v>24</v>
      </c>
      <c r="E28" s="11" t="s">
        <v>192</v>
      </c>
      <c r="F28" s="11">
        <v>926</v>
      </c>
      <c r="G28" s="16">
        <v>1.1502737988572274</v>
      </c>
      <c r="H28" s="13">
        <f t="shared" si="0"/>
        <v>4.6058101288407892E-2</v>
      </c>
      <c r="I28" s="13">
        <f t="shared" si="1"/>
        <v>471.39822071220829</v>
      </c>
      <c r="J28" s="13">
        <v>1.0635368448957823</v>
      </c>
      <c r="K28" s="13">
        <v>1.2440846019463412</v>
      </c>
    </row>
    <row r="29" spans="1:11" x14ac:dyDescent="0.25">
      <c r="A29" s="11" t="s">
        <v>99</v>
      </c>
      <c r="B29" s="11" t="s">
        <v>25</v>
      </c>
      <c r="C29" s="11" t="s">
        <v>76</v>
      </c>
      <c r="D29" s="11" t="s">
        <v>24</v>
      </c>
      <c r="E29" s="11" t="s">
        <v>98</v>
      </c>
      <c r="F29" s="11">
        <v>3082</v>
      </c>
      <c r="G29" s="16">
        <v>3</v>
      </c>
      <c r="H29" s="13">
        <f t="shared" si="0"/>
        <v>1.3443877551020407</v>
      </c>
      <c r="I29" s="13">
        <f t="shared" si="1"/>
        <v>0.55328755729506107</v>
      </c>
      <c r="J29" s="13">
        <v>1.36</v>
      </c>
      <c r="K29" s="13">
        <v>6.63</v>
      </c>
    </row>
    <row r="30" spans="1:11" x14ac:dyDescent="0.25">
      <c r="A30" s="11" t="s">
        <v>10</v>
      </c>
      <c r="B30" s="11" t="s">
        <v>25</v>
      </c>
      <c r="C30" s="11" t="s">
        <v>91</v>
      </c>
      <c r="D30" s="11" t="s">
        <v>24</v>
      </c>
      <c r="E30" s="11" t="s">
        <v>39</v>
      </c>
      <c r="F30" s="11">
        <v>1771</v>
      </c>
      <c r="G30" s="16">
        <v>1.38</v>
      </c>
      <c r="H30" s="13">
        <f t="shared" si="0"/>
        <v>0.79846938775510201</v>
      </c>
      <c r="I30" s="13">
        <f t="shared" si="1"/>
        <v>1.5684961569476059</v>
      </c>
      <c r="J30" s="13">
        <v>0.52</v>
      </c>
      <c r="K30" s="13">
        <v>3.65</v>
      </c>
    </row>
    <row r="31" spans="1:11" x14ac:dyDescent="0.25">
      <c r="A31" s="11" t="s">
        <v>11</v>
      </c>
      <c r="B31" s="11" t="s">
        <v>25</v>
      </c>
      <c r="C31" s="11" t="s">
        <v>91</v>
      </c>
      <c r="D31" s="11" t="s">
        <v>189</v>
      </c>
      <c r="E31" s="11" t="s">
        <v>39</v>
      </c>
      <c r="F31" s="11">
        <v>1771</v>
      </c>
      <c r="G31" s="16">
        <v>0.32</v>
      </c>
      <c r="H31" s="13">
        <f t="shared" si="0"/>
        <v>0.59438775510204089</v>
      </c>
      <c r="I31" s="13">
        <f t="shared" si="1"/>
        <v>2.8304813129731614</v>
      </c>
      <c r="J31" s="13">
        <v>0.04</v>
      </c>
      <c r="K31" s="13">
        <v>2.37</v>
      </c>
    </row>
    <row r="32" spans="1:11" x14ac:dyDescent="0.25">
      <c r="A32" s="11" t="s">
        <v>49</v>
      </c>
      <c r="B32" s="11" t="s">
        <v>30</v>
      </c>
      <c r="C32" s="11" t="s">
        <v>360</v>
      </c>
      <c r="D32" s="11" t="s">
        <v>24</v>
      </c>
      <c r="E32" s="11" t="s">
        <v>48</v>
      </c>
      <c r="F32" s="11">
        <v>1452</v>
      </c>
      <c r="G32" s="16">
        <f>EXP(1.13)</f>
        <v>3.0956565001247109</v>
      </c>
      <c r="H32" s="13">
        <f t="shared" si="0"/>
        <v>2.1360025376061298</v>
      </c>
      <c r="I32" s="13">
        <f t="shared" si="1"/>
        <v>0.2191777535735992</v>
      </c>
      <c r="J32" s="13">
        <f>EXP(0.02)</f>
        <v>1.0202013400267558</v>
      </c>
      <c r="K32" s="13">
        <f>EXP(2.24)</f>
        <v>9.3933312874427841</v>
      </c>
    </row>
    <row r="33" spans="1:13" x14ac:dyDescent="0.25">
      <c r="A33" s="11" t="s">
        <v>320</v>
      </c>
      <c r="B33" s="11" t="s">
        <v>89</v>
      </c>
      <c r="C33" s="11" t="s">
        <v>76</v>
      </c>
      <c r="D33" s="11" t="s">
        <v>24</v>
      </c>
      <c r="E33" s="11" t="s">
        <v>81</v>
      </c>
      <c r="F33" s="11">
        <v>2892</v>
      </c>
      <c r="G33" s="16">
        <f>EXP(0.11)</f>
        <v>1.1162780704588713</v>
      </c>
      <c r="H33" s="13">
        <f t="shared" si="0"/>
        <v>4.2457795433038875E-2</v>
      </c>
      <c r="I33" s="13">
        <f t="shared" si="1"/>
        <v>554.73442747546562</v>
      </c>
      <c r="J33" s="13">
        <v>1.0361583710882563</v>
      </c>
      <c r="K33" s="13">
        <v>1.2025929291857687</v>
      </c>
      <c r="M33" s="24"/>
    </row>
    <row r="34" spans="1:13" x14ac:dyDescent="0.25">
      <c r="A34" s="11" t="s">
        <v>321</v>
      </c>
      <c r="B34" s="11" t="s">
        <v>90</v>
      </c>
      <c r="C34" s="11" t="s">
        <v>76</v>
      </c>
      <c r="D34" s="11" t="s">
        <v>24</v>
      </c>
      <c r="E34" s="11" t="s">
        <v>81</v>
      </c>
      <c r="F34" s="11">
        <v>2892</v>
      </c>
      <c r="G34" s="16">
        <f>EXP(0.059)</f>
        <v>1.0607752407401589</v>
      </c>
      <c r="H34" s="13">
        <f t="shared" si="0"/>
        <v>4.2474490448086565E-2</v>
      </c>
      <c r="I34" s="13">
        <f t="shared" si="1"/>
        <v>554.29842556494623</v>
      </c>
      <c r="J34" s="13">
        <v>0.98078696898179296</v>
      </c>
      <c r="K34" s="13">
        <v>1.1472869715382923</v>
      </c>
      <c r="M34" s="24"/>
    </row>
    <row r="35" spans="1:13" x14ac:dyDescent="0.25">
      <c r="A35" s="11" t="s">
        <v>51</v>
      </c>
      <c r="B35" s="11" t="s">
        <v>58</v>
      </c>
      <c r="C35" s="11" t="s">
        <v>311</v>
      </c>
      <c r="D35" s="11" t="s">
        <v>24</v>
      </c>
      <c r="E35" s="11" t="s">
        <v>57</v>
      </c>
      <c r="F35" s="11">
        <v>1116</v>
      </c>
      <c r="G35" s="16">
        <f>EXP(0.1)</f>
        <v>1.1051709180756477</v>
      </c>
      <c r="H35" s="13">
        <f t="shared" si="0"/>
        <v>6.1988328578595292E-2</v>
      </c>
      <c r="I35" s="13">
        <f t="shared" ref="I35:I60" si="2">1/((H35)^2)</f>
        <v>260.24365343499335</v>
      </c>
      <c r="J35" s="13">
        <f>EXP(-0.11)</f>
        <v>0.89583413529652822</v>
      </c>
      <c r="K35" s="13">
        <f>EXP(0.13)</f>
        <v>1.1388283833246218</v>
      </c>
    </row>
    <row r="36" spans="1:13" x14ac:dyDescent="0.25">
      <c r="A36" s="11" t="s">
        <v>52</v>
      </c>
      <c r="B36" s="11" t="s">
        <v>59</v>
      </c>
      <c r="C36" s="11" t="s">
        <v>311</v>
      </c>
      <c r="D36" s="11" t="s">
        <v>24</v>
      </c>
      <c r="E36" s="11" t="s">
        <v>57</v>
      </c>
      <c r="F36" s="11">
        <v>1116</v>
      </c>
      <c r="G36" s="16">
        <f>EXP(0.06)</f>
        <v>1.0618365465453596</v>
      </c>
      <c r="H36" s="13">
        <f t="shared" si="0"/>
        <v>4.8823650300962987E-2</v>
      </c>
      <c r="I36" s="13">
        <f t="shared" si="2"/>
        <v>419.50728531279913</v>
      </c>
      <c r="J36" s="13">
        <f>EXP(-0.03)</f>
        <v>0.97044553354850815</v>
      </c>
      <c r="K36" s="13">
        <f>EXP(0.15)</f>
        <v>1.1618342427282831</v>
      </c>
    </row>
    <row r="37" spans="1:13" x14ac:dyDescent="0.25">
      <c r="A37" s="11" t="s">
        <v>53</v>
      </c>
      <c r="B37" s="11" t="s">
        <v>60</v>
      </c>
      <c r="C37" s="11" t="s">
        <v>311</v>
      </c>
      <c r="D37" s="11" t="s">
        <v>24</v>
      </c>
      <c r="E37" s="11" t="s">
        <v>57</v>
      </c>
      <c r="F37" s="11">
        <v>1116</v>
      </c>
      <c r="G37" s="16">
        <f>EXP(0.09)</f>
        <v>1.0941742837052104</v>
      </c>
      <c r="H37" s="13">
        <f t="shared" si="0"/>
        <v>6.7151154695978321E-2</v>
      </c>
      <c r="I37" s="13">
        <f t="shared" si="2"/>
        <v>221.76501289250479</v>
      </c>
      <c r="J37" s="13">
        <f>EXP(-0.03)</f>
        <v>0.97044553354850815</v>
      </c>
      <c r="K37" s="13">
        <f>EXP(0.21)</f>
        <v>1.2336780599567432</v>
      </c>
    </row>
    <row r="38" spans="1:13" x14ac:dyDescent="0.25">
      <c r="A38" s="11" t="s">
        <v>54</v>
      </c>
      <c r="B38" s="11" t="s">
        <v>58</v>
      </c>
      <c r="C38" s="11" t="s">
        <v>311</v>
      </c>
      <c r="D38" s="11" t="s">
        <v>24</v>
      </c>
      <c r="E38" s="11" t="s">
        <v>37</v>
      </c>
      <c r="F38" s="11">
        <v>1116</v>
      </c>
      <c r="G38" s="16">
        <f>EXP(0.05)</f>
        <v>1.0512710963760241</v>
      </c>
      <c r="H38" s="13">
        <f t="shared" si="0"/>
        <v>6.1509451807617861E-2</v>
      </c>
      <c r="I38" s="13">
        <f t="shared" si="2"/>
        <v>264.31163857173095</v>
      </c>
      <c r="J38" s="13">
        <f>EXP(-0.07)</f>
        <v>0.93239381990594827</v>
      </c>
      <c r="K38" s="13">
        <f>EXP(0.16)</f>
        <v>1.1735108709918103</v>
      </c>
    </row>
    <row r="39" spans="1:13" x14ac:dyDescent="0.25">
      <c r="A39" s="11" t="s">
        <v>55</v>
      </c>
      <c r="B39" s="11" t="s">
        <v>59</v>
      </c>
      <c r="C39" s="11" t="s">
        <v>311</v>
      </c>
      <c r="D39" s="11" t="s">
        <v>24</v>
      </c>
      <c r="E39" s="11" t="s">
        <v>37</v>
      </c>
      <c r="F39" s="11">
        <v>1116</v>
      </c>
      <c r="G39" s="16">
        <f>EXP(0.03)</f>
        <v>1.0304545339535169</v>
      </c>
      <c r="H39" s="13">
        <f t="shared" si="0"/>
        <v>4.7380693366103829E-2</v>
      </c>
      <c r="I39" s="13">
        <f t="shared" si="2"/>
        <v>445.44816708716104</v>
      </c>
      <c r="J39" s="13">
        <f>EXP(-0.06)</f>
        <v>0.94176453358424872</v>
      </c>
      <c r="K39" s="13">
        <f>EXP(0.12)</f>
        <v>1.1274968515793757</v>
      </c>
    </row>
    <row r="40" spans="1:13" x14ac:dyDescent="0.25">
      <c r="A40" s="11" t="s">
        <v>56</v>
      </c>
      <c r="B40" s="11" t="s">
        <v>60</v>
      </c>
      <c r="C40" s="11" t="s">
        <v>311</v>
      </c>
      <c r="D40" s="11" t="s">
        <v>24</v>
      </c>
      <c r="E40" s="11" t="s">
        <v>37</v>
      </c>
      <c r="F40" s="11">
        <v>1116</v>
      </c>
      <c r="G40" s="16">
        <f>EXP(0.17)</f>
        <v>1.1853048513203654</v>
      </c>
      <c r="H40" s="13">
        <f t="shared" si="0"/>
        <v>9.1052659262551378E-2</v>
      </c>
      <c r="I40" s="13">
        <f t="shared" si="2"/>
        <v>120.61872447576673</v>
      </c>
      <c r="J40" s="13">
        <f>EXP(0.02)</f>
        <v>1.0202013400267558</v>
      </c>
      <c r="K40" s="13">
        <f>EXP(0.32)</f>
        <v>1.3771277643359572</v>
      </c>
    </row>
    <row r="41" spans="1:13" x14ac:dyDescent="0.25">
      <c r="A41" s="11" t="s">
        <v>44</v>
      </c>
      <c r="B41" s="11" t="s">
        <v>35</v>
      </c>
      <c r="C41" s="11" t="s">
        <v>76</v>
      </c>
      <c r="D41" s="11" t="s">
        <v>24</v>
      </c>
      <c r="E41" s="11" t="s">
        <v>41</v>
      </c>
      <c r="F41" s="11">
        <v>1616</v>
      </c>
      <c r="G41" s="16">
        <f>EXP(0.34)</f>
        <v>1.4049475905635938</v>
      </c>
      <c r="H41" s="13">
        <f t="shared" si="0"/>
        <v>0.21080088849191814</v>
      </c>
      <c r="I41" s="13">
        <f t="shared" si="2"/>
        <v>22.503761993226792</v>
      </c>
      <c r="J41" s="13">
        <f>EXP(0.05)</f>
        <v>1.0512710963760241</v>
      </c>
      <c r="K41" s="13">
        <f>EXP(0.63)</f>
        <v>1.8776105792643432</v>
      </c>
    </row>
    <row r="42" spans="1:13" x14ac:dyDescent="0.25">
      <c r="A42" s="29" t="s">
        <v>97</v>
      </c>
      <c r="B42" s="29" t="s">
        <v>25</v>
      </c>
      <c r="C42" s="29" t="s">
        <v>91</v>
      </c>
      <c r="D42" s="32" t="s">
        <v>24</v>
      </c>
      <c r="E42" s="32">
        <v>10</v>
      </c>
      <c r="F42" s="32">
        <v>1638</v>
      </c>
      <c r="G42" s="37">
        <v>1.0886</v>
      </c>
      <c r="H42" s="30">
        <f t="shared" si="0"/>
        <v>0.20318877551020406</v>
      </c>
      <c r="I42" s="31">
        <f t="shared" si="2"/>
        <v>24.221474285844895</v>
      </c>
      <c r="J42" s="37">
        <v>0.76090000000000002</v>
      </c>
      <c r="K42" s="37">
        <v>1.5573999999999999</v>
      </c>
    </row>
    <row r="43" spans="1:13" x14ac:dyDescent="0.25">
      <c r="A43" s="29" t="s">
        <v>1</v>
      </c>
      <c r="B43" s="29" t="s">
        <v>30</v>
      </c>
      <c r="C43" s="29" t="s">
        <v>91</v>
      </c>
      <c r="D43" s="29" t="s">
        <v>24</v>
      </c>
      <c r="E43" s="29" t="s">
        <v>22</v>
      </c>
      <c r="F43" s="29">
        <v>49</v>
      </c>
      <c r="G43" s="33">
        <v>2.2999999999999998</v>
      </c>
      <c r="H43" s="30">
        <f t="shared" si="0"/>
        <v>0.73724489795918369</v>
      </c>
      <c r="I43" s="30">
        <f t="shared" si="2"/>
        <v>1.8398247147423998</v>
      </c>
      <c r="J43" s="30">
        <v>1.27</v>
      </c>
      <c r="K43" s="30">
        <v>4.16</v>
      </c>
    </row>
    <row r="44" spans="1:13" x14ac:dyDescent="0.25">
      <c r="A44" s="29" t="s">
        <v>2</v>
      </c>
      <c r="B44" s="29" t="s">
        <v>35</v>
      </c>
      <c r="C44" s="29" t="s">
        <v>91</v>
      </c>
      <c r="D44" s="29" t="s">
        <v>24</v>
      </c>
      <c r="E44" s="29" t="s">
        <v>22</v>
      </c>
      <c r="F44" s="29">
        <v>122</v>
      </c>
      <c r="G44" s="33">
        <v>1.58</v>
      </c>
      <c r="H44" s="30">
        <f t="shared" si="0"/>
        <v>0.33418367346938777</v>
      </c>
      <c r="I44" s="30">
        <f t="shared" si="2"/>
        <v>8.9542567449449333</v>
      </c>
      <c r="J44" s="30">
        <v>1.06</v>
      </c>
      <c r="K44" s="30">
        <v>2.37</v>
      </c>
    </row>
    <row r="45" spans="1:13" x14ac:dyDescent="0.25">
      <c r="A45" s="29" t="s">
        <v>203</v>
      </c>
      <c r="B45" s="29" t="s">
        <v>205</v>
      </c>
      <c r="C45" s="29" t="s">
        <v>204</v>
      </c>
      <c r="D45" s="29" t="s">
        <v>206</v>
      </c>
      <c r="E45" s="29">
        <v>15</v>
      </c>
      <c r="F45" s="29">
        <v>175</v>
      </c>
      <c r="G45" s="33">
        <f>EXP(0.213)</f>
        <v>1.2373846512436006</v>
      </c>
      <c r="H45" s="30">
        <f t="shared" si="0"/>
        <v>8.5640042322670626E-2</v>
      </c>
      <c r="I45" s="30">
        <f t="shared" si="2"/>
        <v>136.34720933188908</v>
      </c>
      <c r="J45" s="30">
        <v>1.0808632203658441</v>
      </c>
      <c r="K45" s="30">
        <v>1.416572186270713</v>
      </c>
    </row>
    <row r="46" spans="1:13" x14ac:dyDescent="0.25">
      <c r="A46" s="29" t="s">
        <v>202</v>
      </c>
      <c r="B46" s="29" t="s">
        <v>205</v>
      </c>
      <c r="C46" s="29" t="s">
        <v>204</v>
      </c>
      <c r="D46" s="29" t="s">
        <v>396</v>
      </c>
      <c r="E46" s="29">
        <v>15</v>
      </c>
      <c r="F46" s="29">
        <v>175</v>
      </c>
      <c r="G46" s="33">
        <f>EXP(-0.066)</f>
        <v>0.93613086429161885</v>
      </c>
      <c r="H46" s="30">
        <f t="shared" si="0"/>
        <v>3.1852012388985003E-2</v>
      </c>
      <c r="I46" s="30">
        <f t="shared" si="2"/>
        <v>985.65799291728115</v>
      </c>
      <c r="J46" s="30">
        <v>0.87578031627887654</v>
      </c>
      <c r="K46" s="30">
        <v>1.0006402048436978</v>
      </c>
    </row>
    <row r="47" spans="1:13" x14ac:dyDescent="0.25">
      <c r="A47" s="11" t="s">
        <v>16</v>
      </c>
      <c r="B47" s="11" t="s">
        <v>30</v>
      </c>
      <c r="C47" s="11" t="s">
        <v>311</v>
      </c>
      <c r="D47" s="11" t="s">
        <v>32</v>
      </c>
      <c r="E47" s="11" t="s">
        <v>23</v>
      </c>
      <c r="F47" s="11">
        <v>267</v>
      </c>
      <c r="G47" s="16">
        <v>2.14</v>
      </c>
      <c r="H47" s="13">
        <f t="shared" si="0"/>
        <v>1.278061224489796</v>
      </c>
      <c r="I47" s="13">
        <f t="shared" si="2"/>
        <v>0.61220473225206262</v>
      </c>
      <c r="J47" s="13">
        <v>0.79</v>
      </c>
      <c r="K47" s="13">
        <v>5.8</v>
      </c>
    </row>
    <row r="48" spans="1:13" x14ac:dyDescent="0.25">
      <c r="A48" s="11" t="s">
        <v>333</v>
      </c>
      <c r="B48" s="11" t="s">
        <v>30</v>
      </c>
      <c r="C48" s="11" t="s">
        <v>181</v>
      </c>
      <c r="D48" s="11" t="s">
        <v>32</v>
      </c>
      <c r="E48" s="11" t="s">
        <v>36</v>
      </c>
      <c r="F48" s="11">
        <f>162+131+39</f>
        <v>332</v>
      </c>
      <c r="G48" s="16">
        <v>2.36</v>
      </c>
      <c r="H48" s="13">
        <f t="shared" si="0"/>
        <v>0.19132653061224489</v>
      </c>
      <c r="I48" s="13">
        <f t="shared" si="2"/>
        <v>27.31804444444445</v>
      </c>
      <c r="J48" s="13">
        <v>1.03</v>
      </c>
      <c r="K48" s="13">
        <v>1.78</v>
      </c>
    </row>
    <row r="49" spans="1:11" x14ac:dyDescent="0.25">
      <c r="A49" s="11" t="s">
        <v>207</v>
      </c>
      <c r="B49" s="11" t="s">
        <v>212</v>
      </c>
      <c r="C49" s="11" t="s">
        <v>181</v>
      </c>
      <c r="D49" s="11" t="s">
        <v>319</v>
      </c>
      <c r="E49" s="11">
        <v>10</v>
      </c>
      <c r="F49" s="11">
        <v>140</v>
      </c>
      <c r="G49" s="16">
        <f>EXP(-1.53)</f>
        <v>0.21653566731600707</v>
      </c>
      <c r="H49" s="13">
        <f>EXP(1.41)</f>
        <v>4.0959554040711756</v>
      </c>
      <c r="I49" s="13">
        <f t="shared" si="2"/>
        <v>5.9605942708939375E-2</v>
      </c>
      <c r="J49" s="13">
        <f>G49-1.96*H49</f>
        <v>-7.8115369246634963</v>
      </c>
      <c r="K49" s="13">
        <f>G49+1.96*H49</f>
        <v>8.2446082592955108</v>
      </c>
    </row>
    <row r="50" spans="1:11" x14ac:dyDescent="0.25">
      <c r="A50" s="11" t="s">
        <v>210</v>
      </c>
      <c r="B50" s="11" t="s">
        <v>213</v>
      </c>
      <c r="C50" s="11" t="s">
        <v>181</v>
      </c>
      <c r="D50" s="11" t="s">
        <v>319</v>
      </c>
      <c r="E50" s="11">
        <v>10</v>
      </c>
      <c r="F50" s="11">
        <v>140</v>
      </c>
      <c r="G50" s="16">
        <f>EXP(-3.29)</f>
        <v>3.7253849396215809E-2</v>
      </c>
      <c r="H50" s="13">
        <f>EXP(1.49)</f>
        <v>4.4370955190036643</v>
      </c>
      <c r="I50" s="13">
        <f t="shared" si="2"/>
        <v>5.0792833864898509E-2</v>
      </c>
      <c r="J50" s="13">
        <f>G50-1.96*H50</f>
        <v>-8.6594533678509666</v>
      </c>
      <c r="K50" s="13">
        <f>G50+1.96*H50</f>
        <v>8.7339610666433973</v>
      </c>
    </row>
    <row r="51" spans="1:11" x14ac:dyDescent="0.25">
      <c r="A51" s="11" t="s">
        <v>197</v>
      </c>
      <c r="B51" s="11" t="s">
        <v>195</v>
      </c>
      <c r="C51" s="11" t="s">
        <v>181</v>
      </c>
      <c r="D51" s="11" t="s">
        <v>319</v>
      </c>
      <c r="E51" s="11">
        <v>6</v>
      </c>
      <c r="F51" s="11">
        <f>197+210</f>
        <v>407</v>
      </c>
      <c r="G51" s="16">
        <v>1.5907</v>
      </c>
      <c r="H51" s="13">
        <f t="shared" ref="H51:H60" si="3">(K51-J51)/3.92</f>
        <v>0.29308673469387753</v>
      </c>
      <c r="I51" s="13">
        <f t="shared" si="2"/>
        <v>11.641466028641641</v>
      </c>
      <c r="J51" s="13">
        <v>1.1168</v>
      </c>
      <c r="K51" s="13">
        <v>2.2656999999999998</v>
      </c>
    </row>
    <row r="52" spans="1:11" x14ac:dyDescent="0.25">
      <c r="A52" s="11" t="s">
        <v>182</v>
      </c>
      <c r="B52" s="11" t="s">
        <v>180</v>
      </c>
      <c r="C52" s="11" t="s">
        <v>181</v>
      </c>
      <c r="D52" s="11" t="s">
        <v>319</v>
      </c>
      <c r="E52" s="11">
        <v>3</v>
      </c>
      <c r="F52" s="11">
        <f>11860+3217</f>
        <v>15077</v>
      </c>
      <c r="G52" s="16">
        <v>1.6294999999999999</v>
      </c>
      <c r="H52" s="13">
        <f t="shared" si="3"/>
        <v>5.9158163265306124E-2</v>
      </c>
      <c r="I52" s="13">
        <f t="shared" si="2"/>
        <v>285.73973443594832</v>
      </c>
      <c r="J52" s="13">
        <v>1.5177</v>
      </c>
      <c r="K52" s="13">
        <v>1.7496</v>
      </c>
    </row>
    <row r="53" spans="1:11" x14ac:dyDescent="0.25">
      <c r="A53" s="11" t="s">
        <v>186</v>
      </c>
      <c r="B53" s="11" t="s">
        <v>180</v>
      </c>
      <c r="C53" s="11" t="s">
        <v>181</v>
      </c>
      <c r="D53" s="11" t="s">
        <v>319</v>
      </c>
      <c r="E53" s="11">
        <v>3</v>
      </c>
      <c r="F53" s="11">
        <v>15030</v>
      </c>
      <c r="G53" s="16">
        <v>1.6173999999999999</v>
      </c>
      <c r="H53" s="13">
        <f t="shared" si="3"/>
        <v>5.8724489795918357E-2</v>
      </c>
      <c r="I53" s="13">
        <f t="shared" si="2"/>
        <v>289.97562652805982</v>
      </c>
      <c r="J53" s="13">
        <v>1.5064</v>
      </c>
      <c r="K53" s="13">
        <v>1.7365999999999999</v>
      </c>
    </row>
    <row r="54" spans="1:11" x14ac:dyDescent="0.25">
      <c r="A54" s="11" t="s">
        <v>194</v>
      </c>
      <c r="B54" s="11" t="s">
        <v>195</v>
      </c>
      <c r="C54" s="11" t="s">
        <v>181</v>
      </c>
      <c r="D54" s="11" t="s">
        <v>430</v>
      </c>
      <c r="E54" s="11">
        <v>6</v>
      </c>
      <c r="F54" s="11">
        <f>197+210</f>
        <v>407</v>
      </c>
      <c r="G54" s="16">
        <v>1.5680000000000001</v>
      </c>
      <c r="H54" s="13">
        <f t="shared" si="3"/>
        <v>0.28890306122448983</v>
      </c>
      <c r="I54" s="13">
        <f t="shared" si="2"/>
        <v>11.981072954889889</v>
      </c>
      <c r="J54" s="13">
        <v>1.1009</v>
      </c>
      <c r="K54" s="13">
        <v>2.2334000000000001</v>
      </c>
    </row>
    <row r="55" spans="1:11" x14ac:dyDescent="0.25">
      <c r="A55" s="11" t="s">
        <v>184</v>
      </c>
      <c r="B55" s="11" t="s">
        <v>180</v>
      </c>
      <c r="C55" s="11" t="s">
        <v>181</v>
      </c>
      <c r="D55" s="11" t="s">
        <v>430</v>
      </c>
      <c r="E55" s="11">
        <v>3</v>
      </c>
      <c r="F55" s="11">
        <v>14976</v>
      </c>
      <c r="G55" s="16">
        <v>1.6623000000000001</v>
      </c>
      <c r="H55" s="13">
        <f t="shared" si="3"/>
        <v>6.0331632653061205E-2</v>
      </c>
      <c r="I55" s="13">
        <f t="shared" si="2"/>
        <v>274.73237711695867</v>
      </c>
      <c r="J55" s="13">
        <v>1.5483</v>
      </c>
      <c r="K55" s="13">
        <v>1.7847999999999999</v>
      </c>
    </row>
    <row r="56" spans="1:11" x14ac:dyDescent="0.25">
      <c r="A56" s="11" t="s">
        <v>188</v>
      </c>
      <c r="B56" s="11" t="s">
        <v>180</v>
      </c>
      <c r="C56" s="11" t="s">
        <v>181</v>
      </c>
      <c r="D56" s="11" t="s">
        <v>430</v>
      </c>
      <c r="E56" s="11">
        <v>3</v>
      </c>
      <c r="F56" s="11">
        <v>14901</v>
      </c>
      <c r="G56" s="16">
        <v>1.6909000000000001</v>
      </c>
      <c r="H56" s="13">
        <f t="shared" si="3"/>
        <v>6.1377551020408143E-2</v>
      </c>
      <c r="I56" s="13">
        <f t="shared" si="2"/>
        <v>265.44887435056046</v>
      </c>
      <c r="J56" s="13">
        <v>1.5749</v>
      </c>
      <c r="K56" s="13">
        <v>1.8154999999999999</v>
      </c>
    </row>
    <row r="57" spans="1:11" x14ac:dyDescent="0.25">
      <c r="A57" s="17" t="s">
        <v>378</v>
      </c>
      <c r="B57" s="27" t="s">
        <v>25</v>
      </c>
      <c r="C57" s="27" t="s">
        <v>181</v>
      </c>
      <c r="D57" s="11" t="s">
        <v>430</v>
      </c>
      <c r="E57" s="27">
        <v>2</v>
      </c>
      <c r="F57" s="27">
        <v>191</v>
      </c>
      <c r="G57" s="28">
        <v>1.2441</v>
      </c>
      <c r="H57" s="13">
        <f t="shared" si="3"/>
        <v>0.40895408163265307</v>
      </c>
      <c r="I57" s="13">
        <f t="shared" si="2"/>
        <v>5.9793077367593739</v>
      </c>
      <c r="J57" s="36">
        <v>0.6784</v>
      </c>
      <c r="K57" s="36">
        <v>2.2814999999999999</v>
      </c>
    </row>
    <row r="58" spans="1:11" x14ac:dyDescent="0.25">
      <c r="A58" s="11" t="s">
        <v>191</v>
      </c>
      <c r="B58" s="11" t="s">
        <v>180</v>
      </c>
      <c r="C58" s="11" t="s">
        <v>76</v>
      </c>
      <c r="D58" s="11" t="s">
        <v>26</v>
      </c>
      <c r="E58" s="11" t="s">
        <v>193</v>
      </c>
      <c r="F58" s="11">
        <v>926</v>
      </c>
      <c r="G58" s="16">
        <v>1.09417428370521</v>
      </c>
      <c r="H58" s="13">
        <f t="shared" si="3"/>
        <v>4.3811821182167851E-2</v>
      </c>
      <c r="I58" s="13">
        <f t="shared" si="2"/>
        <v>520.9756043637376</v>
      </c>
      <c r="J58" s="13">
        <v>1.01166754090552</v>
      </c>
      <c r="K58" s="13">
        <v>1.183409879939618</v>
      </c>
    </row>
    <row r="59" spans="1:11" x14ac:dyDescent="0.25">
      <c r="A59" s="11" t="s">
        <v>179</v>
      </c>
      <c r="B59" s="11" t="s">
        <v>180</v>
      </c>
      <c r="C59" s="11" t="s">
        <v>181</v>
      </c>
      <c r="D59" s="11" t="s">
        <v>26</v>
      </c>
      <c r="E59" s="11">
        <v>3</v>
      </c>
      <c r="F59" s="11">
        <v>15042</v>
      </c>
      <c r="G59" s="16">
        <v>1.5232000000000001</v>
      </c>
      <c r="H59" s="13">
        <f t="shared" si="3"/>
        <v>5.5306122448979561E-2</v>
      </c>
      <c r="I59" s="13">
        <f t="shared" si="2"/>
        <v>326.92909954929848</v>
      </c>
      <c r="J59" s="13">
        <v>1.4186000000000001</v>
      </c>
      <c r="K59" s="13">
        <v>1.6354</v>
      </c>
    </row>
    <row r="60" spans="1:11" x14ac:dyDescent="0.25">
      <c r="A60" s="11" t="s">
        <v>185</v>
      </c>
      <c r="B60" s="11" t="s">
        <v>180</v>
      </c>
      <c r="C60" s="11" t="s">
        <v>181</v>
      </c>
      <c r="D60" s="11" t="s">
        <v>26</v>
      </c>
      <c r="E60" s="11">
        <v>3</v>
      </c>
      <c r="F60" s="11">
        <v>15011</v>
      </c>
      <c r="G60" s="16">
        <v>1.5428999999999999</v>
      </c>
      <c r="H60" s="13">
        <f t="shared" si="3"/>
        <v>5.6020408163265312E-2</v>
      </c>
      <c r="I60" s="13">
        <f t="shared" si="2"/>
        <v>318.64525996927676</v>
      </c>
      <c r="J60" s="13">
        <v>1.4370000000000001</v>
      </c>
      <c r="K60" s="13">
        <v>1.6566000000000001</v>
      </c>
    </row>
    <row r="61" spans="1:11" x14ac:dyDescent="0.25">
      <c r="A61" s="24"/>
      <c r="E61"/>
      <c r="F61"/>
      <c r="G61"/>
      <c r="H61" s="21"/>
      <c r="I61" s="22"/>
      <c r="J61"/>
      <c r="K61"/>
    </row>
    <row r="62" spans="1:11" x14ac:dyDescent="0.25">
      <c r="A62" s="40" t="s">
        <v>394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 spans="1:11" x14ac:dyDescent="0.25">
      <c r="A63" s="23" t="s">
        <v>0</v>
      </c>
      <c r="B63" s="23" t="s">
        <v>20</v>
      </c>
      <c r="C63" s="23" t="s">
        <v>75</v>
      </c>
      <c r="D63" s="23" t="s">
        <v>18</v>
      </c>
      <c r="E63" s="23" t="s">
        <v>21</v>
      </c>
      <c r="F63" s="10" t="s">
        <v>31</v>
      </c>
      <c r="G63" s="20" t="s">
        <v>7</v>
      </c>
      <c r="H63" s="23" t="s">
        <v>77</v>
      </c>
      <c r="I63" s="23" t="s">
        <v>178</v>
      </c>
      <c r="J63" s="23" t="s">
        <v>8</v>
      </c>
      <c r="K63" s="23" t="s">
        <v>9</v>
      </c>
    </row>
    <row r="64" spans="1:11" x14ac:dyDescent="0.25">
      <c r="A64" s="11" t="s">
        <v>198</v>
      </c>
      <c r="B64" s="11" t="s">
        <v>199</v>
      </c>
      <c r="C64" s="11" t="s">
        <v>181</v>
      </c>
      <c r="D64" s="11" t="s">
        <v>430</v>
      </c>
      <c r="E64" s="11">
        <v>6</v>
      </c>
      <c r="F64" s="11">
        <f>191+164</f>
        <v>355</v>
      </c>
      <c r="G64" s="16">
        <v>1.34</v>
      </c>
      <c r="H64" s="13">
        <f t="shared" ref="H64:H77" si="4">(K64-J64)/3.92</f>
        <v>0.26701530612244895</v>
      </c>
      <c r="I64" s="13">
        <f t="shared" ref="I64:I77" si="5">1/((H64)^2)</f>
        <v>14.025801417547548</v>
      </c>
      <c r="J64" s="13">
        <v>0.92100000000000004</v>
      </c>
      <c r="K64" s="13">
        <v>1.9677</v>
      </c>
    </row>
    <row r="65" spans="1:11" x14ac:dyDescent="0.25">
      <c r="A65" s="11" t="s">
        <v>200</v>
      </c>
      <c r="B65" s="11" t="s">
        <v>199</v>
      </c>
      <c r="C65" s="11" t="s">
        <v>181</v>
      </c>
      <c r="D65" s="11" t="s">
        <v>317</v>
      </c>
      <c r="E65" s="11">
        <v>6</v>
      </c>
      <c r="F65" s="11">
        <f>191+164</f>
        <v>355</v>
      </c>
      <c r="G65" s="16">
        <v>1.413</v>
      </c>
      <c r="H65" s="13">
        <f t="shared" si="4"/>
        <v>0.28025510204081638</v>
      </c>
      <c r="I65" s="13">
        <f t="shared" si="5"/>
        <v>12.731891960935068</v>
      </c>
      <c r="J65" s="13">
        <v>0.9667</v>
      </c>
      <c r="K65" s="13">
        <v>2.0653000000000001</v>
      </c>
    </row>
    <row r="66" spans="1:11" x14ac:dyDescent="0.25">
      <c r="A66" s="11" t="s">
        <v>201</v>
      </c>
      <c r="B66" s="11" t="s">
        <v>199</v>
      </c>
      <c r="C66" s="11" t="s">
        <v>181</v>
      </c>
      <c r="D66" s="11" t="s">
        <v>319</v>
      </c>
      <c r="E66" s="11">
        <v>6</v>
      </c>
      <c r="F66" s="11">
        <f>191+164</f>
        <v>355</v>
      </c>
      <c r="G66" s="16">
        <v>1.62</v>
      </c>
      <c r="H66" s="13">
        <f t="shared" si="4"/>
        <v>0.32362244897959186</v>
      </c>
      <c r="I66" s="13">
        <f t="shared" si="5"/>
        <v>9.5482266597295204</v>
      </c>
      <c r="J66" s="13">
        <v>1.1093999999999999</v>
      </c>
      <c r="K66" s="13">
        <v>2.3780000000000001</v>
      </c>
    </row>
    <row r="67" spans="1:11" x14ac:dyDescent="0.25">
      <c r="A67" s="11" t="s">
        <v>326</v>
      </c>
      <c r="B67" s="11" t="s">
        <v>87</v>
      </c>
      <c r="C67" s="11" t="s">
        <v>76</v>
      </c>
      <c r="D67" s="11" t="s">
        <v>316</v>
      </c>
      <c r="E67" s="11" t="s">
        <v>81</v>
      </c>
      <c r="F67" s="11">
        <v>2892</v>
      </c>
      <c r="G67" s="16">
        <f>EXP(0.288)</f>
        <v>1.3337573041233846</v>
      </c>
      <c r="H67" s="13">
        <f t="shared" si="4"/>
        <v>8.8273697755337915E-2</v>
      </c>
      <c r="I67" s="13">
        <f t="shared" si="5"/>
        <v>128.33270876245342</v>
      </c>
      <c r="J67" s="13">
        <v>1.1719159809783</v>
      </c>
      <c r="K67" s="13">
        <v>1.5179488761792246</v>
      </c>
    </row>
    <row r="68" spans="1:11" x14ac:dyDescent="0.25">
      <c r="A68" s="11" t="s">
        <v>327</v>
      </c>
      <c r="B68" s="11" t="s">
        <v>88</v>
      </c>
      <c r="C68" s="11" t="s">
        <v>76</v>
      </c>
      <c r="D68" s="11" t="s">
        <v>24</v>
      </c>
      <c r="E68" s="11" t="s">
        <v>81</v>
      </c>
      <c r="F68" s="11">
        <v>2892</v>
      </c>
      <c r="G68" s="16">
        <f>EXP(0.097)</f>
        <v>1.1018603736210106</v>
      </c>
      <c r="H68" s="13">
        <f t="shared" si="4"/>
        <v>6.5154750648160953E-2</v>
      </c>
      <c r="I68" s="13">
        <f t="shared" si="5"/>
        <v>235.563406415619</v>
      </c>
      <c r="J68" s="13">
        <v>0.98153265040126647</v>
      </c>
      <c r="K68" s="13">
        <v>1.2369392729420574</v>
      </c>
    </row>
    <row r="69" spans="1:11" x14ac:dyDescent="0.25">
      <c r="A69" s="11" t="s">
        <v>328</v>
      </c>
      <c r="B69" s="11" t="s">
        <v>88</v>
      </c>
      <c r="C69" s="11" t="s">
        <v>76</v>
      </c>
      <c r="D69" s="11" t="s">
        <v>316</v>
      </c>
      <c r="E69" s="11" t="s">
        <v>81</v>
      </c>
      <c r="F69" s="11">
        <v>2892</v>
      </c>
      <c r="G69" s="16">
        <f>EXP(0.07)</f>
        <v>1.0725081812542165</v>
      </c>
      <c r="H69" s="13">
        <f t="shared" si="4"/>
        <v>8.3981889867576348E-2</v>
      </c>
      <c r="I69" s="13">
        <f t="shared" si="5"/>
        <v>141.78448598571291</v>
      </c>
      <c r="J69" s="13">
        <v>0.92046159598458444</v>
      </c>
      <c r="K69" s="13">
        <v>1.2496706042654837</v>
      </c>
    </row>
    <row r="70" spans="1:11" x14ac:dyDescent="0.25">
      <c r="A70" s="11" t="s">
        <v>329</v>
      </c>
      <c r="B70" s="11" t="s">
        <v>87</v>
      </c>
      <c r="C70" s="11" t="s">
        <v>76</v>
      </c>
      <c r="D70" s="11" t="s">
        <v>317</v>
      </c>
      <c r="E70" s="11" t="s">
        <v>81</v>
      </c>
      <c r="F70" s="11">
        <v>2892</v>
      </c>
      <c r="G70" s="16">
        <f>EXP(0.165)</f>
        <v>1.1793931187113906</v>
      </c>
      <c r="H70" s="13">
        <f t="shared" si="4"/>
        <v>8.1626417864484851E-2</v>
      </c>
      <c r="I70" s="13">
        <f t="shared" si="5"/>
        <v>150.0854265223613</v>
      </c>
      <c r="J70" s="13">
        <v>1.0302072545400847</v>
      </c>
      <c r="K70" s="13">
        <v>1.3501828125688653</v>
      </c>
    </row>
    <row r="71" spans="1:11" x14ac:dyDescent="0.25">
      <c r="A71" s="11" t="s">
        <v>330</v>
      </c>
      <c r="B71" s="11" t="s">
        <v>88</v>
      </c>
      <c r="C71" s="11" t="s">
        <v>76</v>
      </c>
      <c r="D71" s="11" t="s">
        <v>317</v>
      </c>
      <c r="E71" s="11" t="s">
        <v>81</v>
      </c>
      <c r="F71" s="11">
        <v>2892</v>
      </c>
      <c r="G71" s="16">
        <f>EXP(0.106)</f>
        <v>1.1118218765065309</v>
      </c>
      <c r="H71" s="13">
        <f t="shared" si="4"/>
        <v>9.494263915229581E-2</v>
      </c>
      <c r="I71" s="13">
        <f t="shared" si="5"/>
        <v>110.9372511238186</v>
      </c>
      <c r="J71" s="13">
        <v>0.94119964434781578</v>
      </c>
      <c r="K71" s="13">
        <v>1.3133747898248154</v>
      </c>
    </row>
    <row r="72" spans="1:11" x14ac:dyDescent="0.25">
      <c r="A72" s="11" t="s">
        <v>331</v>
      </c>
      <c r="B72" s="11" t="s">
        <v>87</v>
      </c>
      <c r="C72" s="11" t="s">
        <v>76</v>
      </c>
      <c r="D72" s="11" t="s">
        <v>24</v>
      </c>
      <c r="E72" s="11" t="s">
        <v>81</v>
      </c>
      <c r="F72" s="11">
        <v>2892</v>
      </c>
      <c r="G72" s="16">
        <f>EXP(0.14)</f>
        <v>1.1502737988572274</v>
      </c>
      <c r="H72" s="13">
        <f t="shared" si="4"/>
        <v>4.9520349622764984E-2</v>
      </c>
      <c r="I72" s="13">
        <f t="shared" si="5"/>
        <v>407.78626660955513</v>
      </c>
      <c r="J72" s="13">
        <v>1.0573015978391251</v>
      </c>
      <c r="K72" s="13">
        <v>1.2514213683603639</v>
      </c>
    </row>
    <row r="73" spans="1:11" x14ac:dyDescent="0.25">
      <c r="A73" s="11" t="s">
        <v>45</v>
      </c>
      <c r="B73" s="11" t="s">
        <v>34</v>
      </c>
      <c r="C73" s="11" t="s">
        <v>76</v>
      </c>
      <c r="D73" s="11" t="s">
        <v>317</v>
      </c>
      <c r="E73" s="11" t="s">
        <v>41</v>
      </c>
      <c r="F73" s="11">
        <v>1616</v>
      </c>
      <c r="G73" s="16">
        <f>EXP(0.32)</f>
        <v>1.3771277643359572</v>
      </c>
      <c r="H73" s="13">
        <f t="shared" si="4"/>
        <v>0.90248370853907323</v>
      </c>
      <c r="I73" s="13">
        <f t="shared" si="5"/>
        <v>1.2277819893194115</v>
      </c>
      <c r="J73" s="13">
        <f>EXP(-0.74)</f>
        <v>0.47711391552103438</v>
      </c>
      <c r="K73" s="13">
        <f>EXP(1.39)</f>
        <v>4.0148500529942011</v>
      </c>
    </row>
    <row r="74" spans="1:11" x14ac:dyDescent="0.25">
      <c r="A74" s="11" t="s">
        <v>46</v>
      </c>
      <c r="B74" s="11" t="s">
        <v>34</v>
      </c>
      <c r="C74" s="11" t="s">
        <v>76</v>
      </c>
      <c r="D74" s="11" t="s">
        <v>315</v>
      </c>
      <c r="E74" s="11" t="s">
        <v>41</v>
      </c>
      <c r="F74" s="11">
        <v>1616</v>
      </c>
      <c r="G74" s="16">
        <f>EXP(0.18)</f>
        <v>1.1972173631218102</v>
      </c>
      <c r="H74" s="13">
        <f t="shared" si="4"/>
        <v>0.36559658352048952</v>
      </c>
      <c r="I74" s="13">
        <f t="shared" si="5"/>
        <v>7.4816216648664255</v>
      </c>
      <c r="J74" s="13">
        <f>EXP(-0.38)</f>
        <v>0.68386140921235583</v>
      </c>
      <c r="K74" s="13">
        <f>EXP(0.75)</f>
        <v>2.1170000166126748</v>
      </c>
    </row>
    <row r="75" spans="1:11" x14ac:dyDescent="0.25">
      <c r="A75" s="11" t="s">
        <v>47</v>
      </c>
      <c r="B75" s="11" t="s">
        <v>34</v>
      </c>
      <c r="C75" s="11" t="s">
        <v>76</v>
      </c>
      <c r="D75" s="11" t="s">
        <v>24</v>
      </c>
      <c r="E75" s="11" t="s">
        <v>41</v>
      </c>
      <c r="F75" s="11">
        <v>1616</v>
      </c>
      <c r="G75" s="16">
        <f>EXP(0.43)</f>
        <v>1.5372575235482815</v>
      </c>
      <c r="H75" s="13">
        <f t="shared" si="4"/>
        <v>0.25811966799413955</v>
      </c>
      <c r="I75" s="13">
        <f t="shared" si="5"/>
        <v>15.009208973995209</v>
      </c>
      <c r="J75" s="13">
        <f>EXP(0.1)</f>
        <v>1.1051709180756477</v>
      </c>
      <c r="K75" s="13">
        <f>EXP(0.75)</f>
        <v>2.1170000166126748</v>
      </c>
    </row>
    <row r="76" spans="1:11" x14ac:dyDescent="0.25">
      <c r="A76" s="11" t="s">
        <v>5</v>
      </c>
      <c r="B76" s="11" t="s">
        <v>34</v>
      </c>
      <c r="C76" s="11" t="s">
        <v>91</v>
      </c>
      <c r="D76" s="11" t="s">
        <v>24</v>
      </c>
      <c r="E76" s="11" t="s">
        <v>22</v>
      </c>
      <c r="F76" s="11">
        <v>70</v>
      </c>
      <c r="G76" s="16">
        <v>1.57</v>
      </c>
      <c r="H76" s="13">
        <f t="shared" si="4"/>
        <v>0.44132653061224492</v>
      </c>
      <c r="I76" s="13">
        <f t="shared" si="5"/>
        <v>5.1342844732533655</v>
      </c>
      <c r="J76" s="13">
        <v>0.93</v>
      </c>
      <c r="K76" s="13">
        <v>2.66</v>
      </c>
    </row>
    <row r="77" spans="1:11" x14ac:dyDescent="0.25">
      <c r="A77" s="11" t="s">
        <v>6</v>
      </c>
      <c r="B77" s="11" t="s">
        <v>34</v>
      </c>
      <c r="C77" s="11" t="s">
        <v>91</v>
      </c>
      <c r="D77" s="11" t="s">
        <v>19</v>
      </c>
      <c r="E77" s="11" t="s">
        <v>22</v>
      </c>
      <c r="F77" s="11">
        <v>70</v>
      </c>
      <c r="G77" s="16">
        <v>1.67</v>
      </c>
      <c r="H77" s="13">
        <f t="shared" si="4"/>
        <v>0.5714285714285714</v>
      </c>
      <c r="I77" s="13">
        <f t="shared" si="5"/>
        <v>3.0625000000000004</v>
      </c>
      <c r="J77" s="13">
        <v>0.89</v>
      </c>
      <c r="K77" s="13">
        <v>3.13</v>
      </c>
    </row>
  </sheetData>
  <sortState xmlns:xlrd2="http://schemas.microsoft.com/office/spreadsheetml/2017/richdata2" ref="A3:K60">
    <sortCondition ref="D3:D60"/>
  </sortState>
  <mergeCells count="2">
    <mergeCell ref="A1:K1"/>
    <mergeCell ref="A62:K62"/>
  </mergeCells>
  <pageMargins left="0.7" right="0.7" top="0.75" bottom="0.75" header="0.3" footer="0.3"/>
  <pageSetup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8"/>
  <sheetViews>
    <sheetView topLeftCell="C1" zoomScaleNormal="100" workbookViewId="0">
      <selection activeCell="D13" sqref="D13"/>
    </sheetView>
  </sheetViews>
  <sheetFormatPr defaultRowHeight="11.25" x14ac:dyDescent="0.2"/>
  <cols>
    <col min="1" max="1" width="20.140625" style="15" bestFit="1" customWidth="1"/>
    <col min="2" max="2" width="66.7109375" style="15" bestFit="1" customWidth="1"/>
    <col min="3" max="3" width="24.85546875" style="15" bestFit="1" customWidth="1"/>
    <col min="4" max="4" width="18.7109375" style="15" customWidth="1"/>
    <col min="5" max="9" width="8.85546875" style="15"/>
    <col min="10" max="10" width="11.7109375" style="15" bestFit="1" customWidth="1"/>
    <col min="11" max="11" width="12.140625" style="15" bestFit="1" customWidth="1"/>
    <col min="12" max="16384" width="9.140625" style="14"/>
  </cols>
  <sheetData>
    <row r="3" spans="1:11" x14ac:dyDescent="0.2">
      <c r="A3" s="41" t="s">
        <v>64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x14ac:dyDescent="0.2">
      <c r="A4" s="34" t="s">
        <v>0</v>
      </c>
      <c r="B4" s="34" t="s">
        <v>20</v>
      </c>
      <c r="C4" s="34" t="s">
        <v>75</v>
      </c>
      <c r="D4" s="34" t="s">
        <v>18</v>
      </c>
      <c r="E4" s="34" t="s">
        <v>21</v>
      </c>
      <c r="F4" s="10" t="s">
        <v>31</v>
      </c>
      <c r="G4" s="34" t="s">
        <v>7</v>
      </c>
      <c r="H4" s="34" t="s">
        <v>77</v>
      </c>
      <c r="I4" s="34" t="s">
        <v>178</v>
      </c>
      <c r="J4" s="34" t="s">
        <v>8</v>
      </c>
      <c r="K4" s="34" t="s">
        <v>9</v>
      </c>
    </row>
    <row r="5" spans="1:11" x14ac:dyDescent="0.2">
      <c r="A5" s="11" t="s">
        <v>66</v>
      </c>
      <c r="B5" s="11" t="s">
        <v>72</v>
      </c>
      <c r="C5" s="11" t="s">
        <v>181</v>
      </c>
      <c r="D5" s="11" t="s">
        <v>361</v>
      </c>
      <c r="E5" s="11" t="s">
        <v>50</v>
      </c>
      <c r="F5" s="11">
        <f>407+400</f>
        <v>807</v>
      </c>
      <c r="G5" s="11">
        <v>1.0698000000000001</v>
      </c>
      <c r="H5" s="16">
        <f>(K5-J5)/3.92</f>
        <v>0.13864795918367348</v>
      </c>
      <c r="I5" s="11">
        <v>0.14769612499999996</v>
      </c>
      <c r="J5" s="11">
        <v>0.83199999999999996</v>
      </c>
      <c r="K5" s="11">
        <v>1.3754999999999999</v>
      </c>
    </row>
    <row r="6" spans="1:11" x14ac:dyDescent="0.2">
      <c r="A6" s="11" t="s">
        <v>67</v>
      </c>
      <c r="B6" s="11" t="s">
        <v>73</v>
      </c>
      <c r="C6" s="11" t="s">
        <v>181</v>
      </c>
      <c r="D6" s="11" t="s">
        <v>361</v>
      </c>
      <c r="E6" s="11" t="s">
        <v>50</v>
      </c>
      <c r="F6" s="11">
        <f>407+110</f>
        <v>517</v>
      </c>
      <c r="G6" s="11">
        <v>1.7751999999999999</v>
      </c>
      <c r="H6" s="16">
        <f t="shared" ref="H6:H10" si="0">(K6-J6)/3.92</f>
        <v>0.3569132653061225</v>
      </c>
      <c r="I6" s="11">
        <v>0.97874040499999992</v>
      </c>
      <c r="J6" s="11">
        <v>1.2084999999999999</v>
      </c>
      <c r="K6" s="11">
        <v>2.6076000000000001</v>
      </c>
    </row>
    <row r="7" spans="1:11" x14ac:dyDescent="0.2">
      <c r="A7" s="11" t="s">
        <v>68</v>
      </c>
      <c r="B7" s="11" t="s">
        <v>72</v>
      </c>
      <c r="C7" s="11" t="s">
        <v>181</v>
      </c>
      <c r="D7" s="11" t="s">
        <v>361</v>
      </c>
      <c r="E7" s="11" t="s">
        <v>57</v>
      </c>
      <c r="F7" s="11">
        <f>407+235</f>
        <v>642</v>
      </c>
      <c r="G7" s="11">
        <v>1.5389999999999999</v>
      </c>
      <c r="H7" s="16">
        <f t="shared" si="0"/>
        <v>0.20267346938775513</v>
      </c>
      <c r="I7" s="11">
        <v>0.31559923519999966</v>
      </c>
      <c r="J7" s="11">
        <v>1.1939</v>
      </c>
      <c r="K7" s="11">
        <v>1.98838</v>
      </c>
    </row>
    <row r="8" spans="1:11" x14ac:dyDescent="0.2">
      <c r="A8" s="11" t="s">
        <v>69</v>
      </c>
      <c r="B8" s="11" t="s">
        <v>73</v>
      </c>
      <c r="C8" s="11" t="s">
        <v>181</v>
      </c>
      <c r="D8" s="11" t="s">
        <v>361</v>
      </c>
      <c r="E8" s="11" t="s">
        <v>57</v>
      </c>
      <c r="F8" s="11">
        <f>110+235</f>
        <v>345</v>
      </c>
      <c r="G8" s="11">
        <v>1.9112</v>
      </c>
      <c r="H8" s="16">
        <f t="shared" si="0"/>
        <v>0.4143112244897959</v>
      </c>
      <c r="I8" s="11">
        <v>1.3188504049999974</v>
      </c>
      <c r="J8" s="11">
        <v>1.2645</v>
      </c>
      <c r="K8" s="11">
        <v>2.8885999999999998</v>
      </c>
    </row>
    <row r="9" spans="1:11" x14ac:dyDescent="0.2">
      <c r="A9" s="11" t="s">
        <v>70</v>
      </c>
      <c r="B9" s="11" t="s">
        <v>72</v>
      </c>
      <c r="C9" s="11" t="s">
        <v>181</v>
      </c>
      <c r="D9" s="11" t="s">
        <v>361</v>
      </c>
      <c r="E9" s="11" t="s">
        <v>74</v>
      </c>
      <c r="F9" s="11">
        <f>407+312</f>
        <v>719</v>
      </c>
      <c r="G9" s="11">
        <v>1.3795999999999999</v>
      </c>
      <c r="H9" s="16">
        <f t="shared" si="0"/>
        <v>0.1806377551020408</v>
      </c>
      <c r="I9" s="11">
        <v>0.25070280499999953</v>
      </c>
      <c r="J9" s="11">
        <v>1.0702</v>
      </c>
      <c r="K9" s="11">
        <v>1.7783</v>
      </c>
    </row>
    <row r="10" spans="1:11" x14ac:dyDescent="0.2">
      <c r="A10" s="11" t="s">
        <v>71</v>
      </c>
      <c r="B10" s="11" t="s">
        <v>73</v>
      </c>
      <c r="C10" s="11" t="s">
        <v>181</v>
      </c>
      <c r="D10" s="11" t="s">
        <v>361</v>
      </c>
      <c r="E10" s="11" t="s">
        <v>74</v>
      </c>
      <c r="F10" s="11">
        <f>110+312</f>
        <v>422</v>
      </c>
      <c r="G10" s="11">
        <v>2.1394000000000002</v>
      </c>
      <c r="H10" s="16">
        <f t="shared" si="0"/>
        <v>0.43397959183673468</v>
      </c>
      <c r="I10" s="11">
        <v>1.4470407200000004</v>
      </c>
      <c r="J10" s="11">
        <v>1.4517</v>
      </c>
      <c r="K10" s="11">
        <v>3.1528999999999998</v>
      </c>
    </row>
    <row r="11" spans="1:11" x14ac:dyDescent="0.2">
      <c r="A11" s="11" t="s">
        <v>211</v>
      </c>
      <c r="B11" s="11" t="s">
        <v>208</v>
      </c>
      <c r="C11" s="11" t="s">
        <v>181</v>
      </c>
      <c r="D11" s="11" t="s">
        <v>362</v>
      </c>
      <c r="E11" s="11">
        <v>10</v>
      </c>
      <c r="F11" s="11">
        <v>140</v>
      </c>
      <c r="G11" s="16">
        <f>EXP(1.87)</f>
        <v>6.4882963992867122</v>
      </c>
      <c r="H11" s="16">
        <f>EXP(1.87)</f>
        <v>6.4882963992867122</v>
      </c>
      <c r="I11" s="16">
        <f t="shared" ref="I11:I18" si="1">1/((H11)^2)</f>
        <v>2.3754103131304993E-2</v>
      </c>
      <c r="J11" s="16">
        <f>G11-(1.96*H11)</f>
        <v>-6.2287645433152434</v>
      </c>
      <c r="K11" s="16">
        <f>G11+(1.96*H11)</f>
        <v>19.205357341888668</v>
      </c>
    </row>
    <row r="12" spans="1:11" x14ac:dyDescent="0.2">
      <c r="A12" s="11" t="s">
        <v>214</v>
      </c>
      <c r="B12" s="11" t="s">
        <v>209</v>
      </c>
      <c r="C12" s="11" t="s">
        <v>181</v>
      </c>
      <c r="D12" s="11" t="s">
        <v>362</v>
      </c>
      <c r="E12" s="11">
        <v>10</v>
      </c>
      <c r="F12" s="11">
        <v>140</v>
      </c>
      <c r="G12" s="16">
        <f>EXP(1.41)</f>
        <v>4.0959554040711756</v>
      </c>
      <c r="H12" s="16">
        <f>EXP(1.34)</f>
        <v>3.8190435053663361</v>
      </c>
      <c r="I12" s="16">
        <f t="shared" si="1"/>
        <v>6.8563154154277911E-2</v>
      </c>
      <c r="J12" s="16">
        <f>G12-1.96*H12</f>
        <v>-3.3893698664468426</v>
      </c>
      <c r="K12" s="16">
        <f>G12+1.96*H12</f>
        <v>11.581280674589195</v>
      </c>
    </row>
    <row r="13" spans="1:11" x14ac:dyDescent="0.2">
      <c r="A13" s="11" t="s">
        <v>334</v>
      </c>
      <c r="B13" s="11" t="s">
        <v>65</v>
      </c>
      <c r="C13" s="11" t="s">
        <v>181</v>
      </c>
      <c r="D13" s="11" t="s">
        <v>363</v>
      </c>
      <c r="E13" s="11" t="s">
        <v>36</v>
      </c>
      <c r="F13" s="11">
        <v>329</v>
      </c>
      <c r="G13" s="16">
        <v>2.0327000000000002</v>
      </c>
      <c r="H13" s="16">
        <f t="shared" ref="H13:H18" si="2">(K13-J13)/3.92</f>
        <v>0.4249234693877551</v>
      </c>
      <c r="I13" s="16">
        <f t="shared" si="1"/>
        <v>5.5383265957580123</v>
      </c>
      <c r="J13" s="16">
        <v>1.3638999999999999</v>
      </c>
      <c r="K13" s="16">
        <v>3.0295999999999998</v>
      </c>
    </row>
    <row r="14" spans="1:11" x14ac:dyDescent="0.2">
      <c r="A14" s="11" t="s">
        <v>62</v>
      </c>
      <c r="B14" s="11" t="s">
        <v>65</v>
      </c>
      <c r="C14" s="11" t="s">
        <v>181</v>
      </c>
      <c r="D14" s="11" t="s">
        <v>362</v>
      </c>
      <c r="E14" s="11" t="s">
        <v>36</v>
      </c>
      <c r="F14" s="11">
        <v>329</v>
      </c>
      <c r="G14" s="16">
        <v>2.09</v>
      </c>
      <c r="H14" s="16">
        <f t="shared" si="2"/>
        <v>0.43877551020408168</v>
      </c>
      <c r="I14" s="16">
        <f t="shared" si="1"/>
        <v>5.1941590048674948</v>
      </c>
      <c r="J14" s="16">
        <v>1.4</v>
      </c>
      <c r="K14" s="16">
        <v>3.12</v>
      </c>
    </row>
    <row r="15" spans="1:11" x14ac:dyDescent="0.2">
      <c r="A15" s="11" t="s">
        <v>335</v>
      </c>
      <c r="B15" s="11" t="s">
        <v>65</v>
      </c>
      <c r="C15" s="11" t="s">
        <v>181</v>
      </c>
      <c r="D15" s="11" t="s">
        <v>361</v>
      </c>
      <c r="E15" s="11" t="s">
        <v>36</v>
      </c>
      <c r="F15" s="11">
        <v>329</v>
      </c>
      <c r="G15" s="16">
        <v>1.7652000000000001</v>
      </c>
      <c r="H15" s="16">
        <f t="shared" si="2"/>
        <v>0.36744897959183676</v>
      </c>
      <c r="I15" s="16">
        <f t="shared" si="1"/>
        <v>7.4063786009023831</v>
      </c>
      <c r="J15" s="16">
        <v>1.1862999999999999</v>
      </c>
      <c r="K15" s="16">
        <v>2.6267</v>
      </c>
    </row>
    <row r="16" spans="1:11" x14ac:dyDescent="0.2">
      <c r="A16" s="11" t="s">
        <v>336</v>
      </c>
      <c r="B16" s="11" t="s">
        <v>65</v>
      </c>
      <c r="C16" s="11" t="s">
        <v>181</v>
      </c>
      <c r="D16" s="11" t="s">
        <v>26</v>
      </c>
      <c r="E16" s="11" t="s">
        <v>36</v>
      </c>
      <c r="F16" s="11">
        <v>325</v>
      </c>
      <c r="G16" s="16">
        <v>1.3942000000000001</v>
      </c>
      <c r="H16" s="16">
        <f t="shared" si="2"/>
        <v>0.28900510204081625</v>
      </c>
      <c r="I16" s="16">
        <f t="shared" si="1"/>
        <v>11.972613985632822</v>
      </c>
      <c r="J16" s="16">
        <v>0.93840000000000001</v>
      </c>
      <c r="K16" s="16">
        <v>2.0712999999999999</v>
      </c>
    </row>
    <row r="17" spans="1:11" x14ac:dyDescent="0.2">
      <c r="A17" s="11" t="s">
        <v>63</v>
      </c>
      <c r="B17" s="11" t="s">
        <v>65</v>
      </c>
      <c r="C17" s="11" t="s">
        <v>181</v>
      </c>
      <c r="D17" s="11" t="s">
        <v>24</v>
      </c>
      <c r="E17" s="11" t="s">
        <v>36</v>
      </c>
      <c r="F17" s="11">
        <v>325</v>
      </c>
      <c r="G17" s="16">
        <v>1.069</v>
      </c>
      <c r="H17" s="16">
        <f t="shared" si="2"/>
        <v>0.22066326530612249</v>
      </c>
      <c r="I17" s="16">
        <f t="shared" si="1"/>
        <v>20.537137893013458</v>
      </c>
      <c r="J17" s="16">
        <v>0.72070000000000001</v>
      </c>
      <c r="K17" s="16">
        <v>1.5857000000000001</v>
      </c>
    </row>
    <row r="18" spans="1:11" x14ac:dyDescent="0.2">
      <c r="A18" s="11" t="s">
        <v>337</v>
      </c>
      <c r="B18" s="11" t="s">
        <v>65</v>
      </c>
      <c r="C18" s="11" t="s">
        <v>181</v>
      </c>
      <c r="D18" s="11" t="s">
        <v>19</v>
      </c>
      <c r="E18" s="11" t="s">
        <v>36</v>
      </c>
      <c r="F18" s="11">
        <v>325</v>
      </c>
      <c r="G18" s="16">
        <v>1.1721999999999999</v>
      </c>
      <c r="H18" s="16">
        <f t="shared" si="2"/>
        <v>0.24193877551020407</v>
      </c>
      <c r="I18" s="16">
        <f t="shared" si="1"/>
        <v>17.083979571089653</v>
      </c>
      <c r="J18" s="16">
        <v>0.7903</v>
      </c>
      <c r="K18" s="16">
        <v>1.7386999999999999</v>
      </c>
    </row>
  </sheetData>
  <sortState xmlns:xlrd2="http://schemas.microsoft.com/office/spreadsheetml/2017/richdata2" ref="A5:K10">
    <sortCondition ref="A6:A10"/>
    <sortCondition ref="B6:B10"/>
  </sortState>
  <mergeCells count="1">
    <mergeCell ref="A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34"/>
  <sheetViews>
    <sheetView topLeftCell="C1" zoomScaleNormal="100" workbookViewId="0">
      <selection activeCell="F36" sqref="F36"/>
    </sheetView>
  </sheetViews>
  <sheetFormatPr defaultRowHeight="15" x14ac:dyDescent="0.25"/>
  <cols>
    <col min="1" max="1" width="15" style="1" bestFit="1" customWidth="1"/>
    <col min="2" max="2" width="42.7109375" style="1" bestFit="1" customWidth="1"/>
    <col min="3" max="3" width="21.42578125" style="4" bestFit="1" customWidth="1"/>
    <col min="4" max="4" width="15.140625" style="1" bestFit="1" customWidth="1"/>
    <col min="5" max="5" width="9" style="1" bestFit="1" customWidth="1"/>
    <col min="6" max="6" width="7" style="1" bestFit="1" customWidth="1"/>
    <col min="7" max="7" width="6.42578125" style="1" customWidth="1"/>
    <col min="8" max="8" width="5.85546875" style="7" customWidth="1"/>
    <col min="9" max="9" width="4" style="7" bestFit="1" customWidth="1"/>
    <col min="10" max="10" width="11" style="1" bestFit="1" customWidth="1"/>
    <col min="11" max="11" width="8.85546875" style="1"/>
  </cols>
  <sheetData>
    <row r="3" spans="1:11" x14ac:dyDescent="0.25">
      <c r="A3" s="41" t="s">
        <v>159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x14ac:dyDescent="0.25">
      <c r="A4" s="34" t="s">
        <v>0</v>
      </c>
      <c r="B4" s="34" t="s">
        <v>20</v>
      </c>
      <c r="C4" s="34" t="s">
        <v>75</v>
      </c>
      <c r="D4" s="34" t="s">
        <v>18</v>
      </c>
      <c r="E4" s="34" t="s">
        <v>21</v>
      </c>
      <c r="F4" s="10" t="s">
        <v>31</v>
      </c>
      <c r="G4" s="34" t="s">
        <v>7</v>
      </c>
      <c r="H4" s="34" t="s">
        <v>77</v>
      </c>
      <c r="I4" s="34" t="s">
        <v>178</v>
      </c>
      <c r="J4" s="34" t="s">
        <v>8</v>
      </c>
      <c r="K4" s="34" t="s">
        <v>9</v>
      </c>
    </row>
    <row r="5" spans="1:11" x14ac:dyDescent="0.25">
      <c r="A5" s="11" t="s">
        <v>215</v>
      </c>
      <c r="B5" s="11" t="s">
        <v>216</v>
      </c>
      <c r="C5" s="11" t="s">
        <v>181</v>
      </c>
      <c r="D5" s="11" t="s">
        <v>319</v>
      </c>
      <c r="E5" s="11">
        <v>10</v>
      </c>
      <c r="F5" s="11">
        <v>140</v>
      </c>
      <c r="G5" s="16">
        <f>EXP(1.59)</f>
        <v>4.9037489283266229</v>
      </c>
      <c r="H5" s="16">
        <f>EXP(2.37)</f>
        <v>10.697392284111054</v>
      </c>
      <c r="I5" s="16">
        <f t="shared" ref="I5:I34" si="0">1/((H5)^2)</f>
        <v>8.7386461854732905E-3</v>
      </c>
      <c r="J5" s="16">
        <f>G5-(1.96*H5)</f>
        <v>-16.063139948531038</v>
      </c>
      <c r="K5" s="16">
        <f>H5+(1.96*I5)</f>
        <v>10.714520030634581</v>
      </c>
    </row>
    <row r="6" spans="1:11" x14ac:dyDescent="0.25">
      <c r="A6" s="11" t="s">
        <v>217</v>
      </c>
      <c r="B6" s="11" t="s">
        <v>218</v>
      </c>
      <c r="C6" s="11" t="s">
        <v>181</v>
      </c>
      <c r="D6" s="11" t="s">
        <v>319</v>
      </c>
      <c r="E6" s="11">
        <v>10</v>
      </c>
      <c r="F6" s="11">
        <v>140</v>
      </c>
      <c r="G6" s="16">
        <f>EXP(0.55)</f>
        <v>1.7332530178673953</v>
      </c>
      <c r="H6" s="16">
        <f>EXP(1.61)</f>
        <v>5.0028112278335879</v>
      </c>
      <c r="I6" s="16">
        <f t="shared" si="0"/>
        <v>3.9955058260653903E-2</v>
      </c>
      <c r="J6" s="16">
        <f>G6-(1.96*H6)</f>
        <v>-8.0722569886864353</v>
      </c>
      <c r="K6" s="16">
        <f>H6+(1.96*I6)</f>
        <v>5.0811231420244694</v>
      </c>
    </row>
    <row r="7" spans="1:11" x14ac:dyDescent="0.25">
      <c r="A7" s="11" t="s">
        <v>78</v>
      </c>
      <c r="B7" s="11" t="s">
        <v>82</v>
      </c>
      <c r="C7" s="11" t="s">
        <v>76</v>
      </c>
      <c r="D7" s="11" t="s">
        <v>364</v>
      </c>
      <c r="E7" s="11" t="s">
        <v>81</v>
      </c>
      <c r="F7" s="11">
        <v>2892</v>
      </c>
      <c r="G7" s="16">
        <f>EXP(-0.56)</f>
        <v>0.57120906384881487</v>
      </c>
      <c r="H7" s="16">
        <f>EXP(0.037)</f>
        <v>1.0376930208381572</v>
      </c>
      <c r="I7" s="16">
        <f t="shared" si="0"/>
        <v>0.928671693841287</v>
      </c>
      <c r="J7" s="16">
        <v>0.87939597432304906</v>
      </c>
      <c r="K7" s="16">
        <v>1.01665720972692</v>
      </c>
    </row>
    <row r="8" spans="1:11" x14ac:dyDescent="0.25">
      <c r="A8" s="11" t="s">
        <v>79</v>
      </c>
      <c r="B8" s="11" t="s">
        <v>83</v>
      </c>
      <c r="C8" s="11" t="s">
        <v>76</v>
      </c>
      <c r="D8" s="11" t="s">
        <v>364</v>
      </c>
      <c r="E8" s="11" t="s">
        <v>81</v>
      </c>
      <c r="F8" s="11">
        <v>2892</v>
      </c>
      <c r="G8" s="16">
        <f>EXP(-0.82)</f>
        <v>0.4404316545059993</v>
      </c>
      <c r="H8" s="16">
        <f>EXP(0.107)</f>
        <v>1.1129342544793257</v>
      </c>
      <c r="I8" s="16">
        <f t="shared" si="0"/>
        <v>0.80734838502268136</v>
      </c>
      <c r="J8" s="16">
        <v>0.74697766043948866</v>
      </c>
      <c r="K8" s="16">
        <v>1.1362348124050248</v>
      </c>
    </row>
    <row r="9" spans="1:11" x14ac:dyDescent="0.25">
      <c r="A9" s="11" t="s">
        <v>80</v>
      </c>
      <c r="B9" s="11" t="s">
        <v>84</v>
      </c>
      <c r="C9" s="11" t="s">
        <v>76</v>
      </c>
      <c r="D9" s="11" t="s">
        <v>364</v>
      </c>
      <c r="E9" s="11" t="s">
        <v>81</v>
      </c>
      <c r="F9" s="11">
        <v>2892</v>
      </c>
      <c r="G9" s="16">
        <f>EXP(0.096)</f>
        <v>1.1007590639939788</v>
      </c>
      <c r="H9" s="16">
        <f>EXP(0.149)</f>
        <v>1.1606729892090855</v>
      </c>
      <c r="I9" s="16">
        <f t="shared" si="0"/>
        <v>0.74230133974777446</v>
      </c>
      <c r="J9" s="16">
        <v>0.8219793548464005</v>
      </c>
      <c r="K9" s="16">
        <v>1.4740887466587527</v>
      </c>
    </row>
    <row r="10" spans="1:11" x14ac:dyDescent="0.25">
      <c r="A10" s="11" t="s">
        <v>339</v>
      </c>
      <c r="B10" s="11" t="s">
        <v>85</v>
      </c>
      <c r="C10" s="11" t="s">
        <v>76</v>
      </c>
      <c r="D10" s="11" t="s">
        <v>364</v>
      </c>
      <c r="E10" s="11" t="s">
        <v>81</v>
      </c>
      <c r="F10" s="11">
        <v>2892</v>
      </c>
      <c r="G10" s="16">
        <f>EXP(0.027)</f>
        <v>1.0273678027634894</v>
      </c>
      <c r="H10" s="16">
        <f>EXP(0.115)</f>
        <v>1.1218734375719384</v>
      </c>
      <c r="I10" s="16">
        <f t="shared" si="0"/>
        <v>0.79453360250333405</v>
      </c>
      <c r="J10" s="16">
        <v>0.82004177081741436</v>
      </c>
      <c r="K10" s="16">
        <v>1.2871107786411626</v>
      </c>
    </row>
    <row r="11" spans="1:11" x14ac:dyDescent="0.25">
      <c r="A11" s="11" t="s">
        <v>340</v>
      </c>
      <c r="B11" s="11" t="s">
        <v>86</v>
      </c>
      <c r="C11" s="11" t="s">
        <v>76</v>
      </c>
      <c r="D11" s="11" t="s">
        <v>364</v>
      </c>
      <c r="E11" s="11" t="s">
        <v>81</v>
      </c>
      <c r="F11" s="11">
        <v>2892</v>
      </c>
      <c r="G11" s="16">
        <f>EXP(0.031)</f>
        <v>1.0314855038865227</v>
      </c>
      <c r="H11" s="16">
        <f>EXP(0.173)</f>
        <v>1.1888661050840321</v>
      </c>
      <c r="I11" s="16">
        <f t="shared" si="0"/>
        <v>0.70751248710650172</v>
      </c>
      <c r="J11" s="16">
        <v>0.73485652713529426</v>
      </c>
      <c r="K11" s="16">
        <v>1.4478504380653718</v>
      </c>
    </row>
    <row r="12" spans="1:11" x14ac:dyDescent="0.25">
      <c r="A12" s="11" t="s">
        <v>341</v>
      </c>
      <c r="B12" s="11" t="s">
        <v>82</v>
      </c>
      <c r="C12" s="11" t="s">
        <v>76</v>
      </c>
      <c r="D12" s="11" t="s">
        <v>317</v>
      </c>
      <c r="E12" s="11" t="s">
        <v>81</v>
      </c>
      <c r="F12" s="11">
        <v>2892</v>
      </c>
      <c r="G12" s="16">
        <f>EXP(-0.63)</f>
        <v>0.53259180100689718</v>
      </c>
      <c r="H12" s="16">
        <f>EXP(0.042)</f>
        <v>1.0428944787507632</v>
      </c>
      <c r="I12" s="16">
        <f t="shared" si="0"/>
        <v>0.91943125609512477</v>
      </c>
      <c r="J12" s="16">
        <v>0.86474553026136347</v>
      </c>
      <c r="K12" s="16">
        <v>1.0195078389326326</v>
      </c>
    </row>
    <row r="13" spans="1:11" x14ac:dyDescent="0.25">
      <c r="A13" s="11" t="s">
        <v>342</v>
      </c>
      <c r="B13" s="11" t="s">
        <v>83</v>
      </c>
      <c r="C13" s="11" t="s">
        <v>76</v>
      </c>
      <c r="D13" s="11" t="s">
        <v>317</v>
      </c>
      <c r="E13" s="11" t="s">
        <v>81</v>
      </c>
      <c r="F13" s="11">
        <v>2892</v>
      </c>
      <c r="G13" s="16">
        <f>EXP(-0.033)</f>
        <v>0.96753855958903201</v>
      </c>
      <c r="H13" s="16">
        <f>EXP(0.12)</f>
        <v>1.1274968515793757</v>
      </c>
      <c r="I13" s="16">
        <f t="shared" si="0"/>
        <v>0.78662786106655336</v>
      </c>
      <c r="J13" s="16">
        <v>0.76475481484377927</v>
      </c>
      <c r="K13" s="16">
        <v>1.2240928021915725</v>
      </c>
    </row>
    <row r="14" spans="1:11" x14ac:dyDescent="0.25">
      <c r="A14" s="11" t="s">
        <v>343</v>
      </c>
      <c r="B14" s="11" t="s">
        <v>84</v>
      </c>
      <c r="C14" s="11" t="s">
        <v>76</v>
      </c>
      <c r="D14" s="11" t="s">
        <v>317</v>
      </c>
      <c r="E14" s="11" t="s">
        <v>81</v>
      </c>
      <c r="F14" s="11">
        <v>2892</v>
      </c>
      <c r="G14" s="16">
        <f>EXP(0.216)</f>
        <v>1.2411023790006717</v>
      </c>
      <c r="H14" s="16">
        <f>EXP(0.201)</f>
        <v>1.2226247718233272</v>
      </c>
      <c r="I14" s="16">
        <f t="shared" si="0"/>
        <v>0.66898074569034671</v>
      </c>
      <c r="J14" s="16">
        <v>0.83697590185527049</v>
      </c>
      <c r="K14" s="16">
        <v>1.8403577829980118</v>
      </c>
    </row>
    <row r="15" spans="1:11" x14ac:dyDescent="0.25">
      <c r="A15" s="11" t="s">
        <v>344</v>
      </c>
      <c r="B15" s="11" t="s">
        <v>85</v>
      </c>
      <c r="C15" s="11" t="s">
        <v>76</v>
      </c>
      <c r="D15" s="11" t="s">
        <v>317</v>
      </c>
      <c r="E15" s="11" t="s">
        <v>81</v>
      </c>
      <c r="F15" s="11">
        <v>2892</v>
      </c>
      <c r="G15" s="16">
        <f>EXP(-0.132)</f>
        <v>0.87634099507937324</v>
      </c>
      <c r="H15" s="16">
        <f>EXP(0.12)</f>
        <v>1.1274968515793757</v>
      </c>
      <c r="I15" s="16">
        <f t="shared" si="0"/>
        <v>0.78662786106655336</v>
      </c>
      <c r="J15" s="16">
        <v>0.6926710969706521</v>
      </c>
      <c r="K15" s="16">
        <v>1.1087131295291286</v>
      </c>
    </row>
    <row r="16" spans="1:11" x14ac:dyDescent="0.25">
      <c r="A16" s="11" t="s">
        <v>345</v>
      </c>
      <c r="B16" s="11" t="s">
        <v>86</v>
      </c>
      <c r="C16" s="11" t="s">
        <v>76</v>
      </c>
      <c r="D16" s="11" t="s">
        <v>317</v>
      </c>
      <c r="E16" s="11" t="s">
        <v>81</v>
      </c>
      <c r="F16" s="11">
        <v>2892</v>
      </c>
      <c r="G16" s="16">
        <f>EXP(0.533)</f>
        <v>1.7040367583907279</v>
      </c>
      <c r="H16" s="16">
        <f>EXP(0.258)</f>
        <v>1.2943388186242377</v>
      </c>
      <c r="I16" s="16">
        <f t="shared" si="0"/>
        <v>0.59690339267435799</v>
      </c>
      <c r="J16" s="16">
        <v>1.0276966130672165</v>
      </c>
      <c r="K16" s="16">
        <v>2.8254849116223184</v>
      </c>
    </row>
    <row r="17" spans="1:11" x14ac:dyDescent="0.25">
      <c r="A17" s="11" t="s">
        <v>346</v>
      </c>
      <c r="B17" s="11" t="s">
        <v>82</v>
      </c>
      <c r="C17" s="11" t="s">
        <v>76</v>
      </c>
      <c r="D17" s="11" t="s">
        <v>24</v>
      </c>
      <c r="E17" s="11" t="s">
        <v>81</v>
      </c>
      <c r="F17" s="11">
        <v>2892</v>
      </c>
      <c r="G17" s="16">
        <f>EXP(-0.001)</f>
        <v>0.99900049983337502</v>
      </c>
      <c r="H17" s="16">
        <f>EXP(0.024)</f>
        <v>1.0242903178906215</v>
      </c>
      <c r="I17" s="16">
        <f t="shared" si="0"/>
        <v>0.95313378707750485</v>
      </c>
      <c r="J17" s="16">
        <v>0.95309566248851851</v>
      </c>
      <c r="K17" s="16">
        <v>1.0471162947710462</v>
      </c>
    </row>
    <row r="18" spans="1:11" x14ac:dyDescent="0.25">
      <c r="A18" s="11" t="s">
        <v>347</v>
      </c>
      <c r="B18" s="11" t="s">
        <v>83</v>
      </c>
      <c r="C18" s="11" t="s">
        <v>76</v>
      </c>
      <c r="D18" s="11" t="s">
        <v>24</v>
      </c>
      <c r="E18" s="11" t="s">
        <v>81</v>
      </c>
      <c r="F18" s="11">
        <v>2892</v>
      </c>
      <c r="G18" s="16">
        <f>EXP(-0.077)</f>
        <v>0.92588985360649534</v>
      </c>
      <c r="H18" s="16">
        <f>EXP(0.058)</f>
        <v>1.0597149957102876</v>
      </c>
      <c r="I18" s="16">
        <f t="shared" si="0"/>
        <v>0.89047522329747242</v>
      </c>
      <c r="J18" s="16">
        <v>0.82639699288190294</v>
      </c>
      <c r="K18" s="16">
        <v>1.0373610121957049</v>
      </c>
    </row>
    <row r="19" spans="1:11" x14ac:dyDescent="0.25">
      <c r="A19" s="11" t="s">
        <v>348</v>
      </c>
      <c r="B19" s="11" t="s">
        <v>84</v>
      </c>
      <c r="C19" s="11" t="s">
        <v>76</v>
      </c>
      <c r="D19" s="11" t="s">
        <v>24</v>
      </c>
      <c r="E19" s="11" t="s">
        <v>81</v>
      </c>
      <c r="F19" s="11">
        <v>2892</v>
      </c>
      <c r="G19" s="16">
        <f>EXP(0.095)</f>
        <v>1.0996588551261028</v>
      </c>
      <c r="H19" s="16">
        <f>EXP(0.132)</f>
        <v>1.1411083192672351</v>
      </c>
      <c r="I19" s="16">
        <f t="shared" si="0"/>
        <v>0.76797353965670612</v>
      </c>
      <c r="J19" s="16">
        <v>0.84897970292012592</v>
      </c>
      <c r="K19" s="16">
        <v>1.424356310872865</v>
      </c>
    </row>
    <row r="20" spans="1:11" x14ac:dyDescent="0.25">
      <c r="A20" s="11" t="s">
        <v>349</v>
      </c>
      <c r="B20" s="11" t="s">
        <v>85</v>
      </c>
      <c r="C20" s="11" t="s">
        <v>76</v>
      </c>
      <c r="D20" s="11" t="s">
        <v>24</v>
      </c>
      <c r="E20" s="11" t="s">
        <v>81</v>
      </c>
      <c r="F20" s="11">
        <v>2892</v>
      </c>
      <c r="G20" s="16">
        <f>EXP(-0.053)</f>
        <v>0.9483800124822982</v>
      </c>
      <c r="H20" s="16">
        <f>EXP(0.093)</f>
        <v>1.097461735268082</v>
      </c>
      <c r="I20" s="16">
        <f t="shared" si="0"/>
        <v>0.83027359498193265</v>
      </c>
      <c r="J20" s="16">
        <v>0.79034952077832454</v>
      </c>
      <c r="K20" s="16">
        <v>1.1380087220021136</v>
      </c>
    </row>
    <row r="21" spans="1:11" x14ac:dyDescent="0.25">
      <c r="A21" s="11" t="s">
        <v>350</v>
      </c>
      <c r="B21" s="11" t="s">
        <v>86</v>
      </c>
      <c r="C21" s="11" t="s">
        <v>76</v>
      </c>
      <c r="D21" s="11" t="s">
        <v>24</v>
      </c>
      <c r="E21" s="11" t="s">
        <v>81</v>
      </c>
      <c r="F21" s="11">
        <v>2892</v>
      </c>
      <c r="G21" s="16">
        <f>EXP(0.388)</f>
        <v>1.4740297842881416</v>
      </c>
      <c r="H21" s="16">
        <f>EXP(0.158)</f>
        <v>1.1711661947076695</v>
      </c>
      <c r="I21" s="16">
        <f t="shared" si="0"/>
        <v>0.72905945016762386</v>
      </c>
      <c r="J21" s="16">
        <v>1.0814686732802425</v>
      </c>
      <c r="K21" s="16">
        <v>2.0090862164118497</v>
      </c>
    </row>
    <row r="22" spans="1:11" x14ac:dyDescent="0.25">
      <c r="A22" s="11" t="s">
        <v>397</v>
      </c>
      <c r="B22" s="11" t="s">
        <v>101</v>
      </c>
      <c r="C22" s="11" t="s">
        <v>181</v>
      </c>
      <c r="D22" s="11" t="s">
        <v>361</v>
      </c>
      <c r="E22" s="11" t="s">
        <v>100</v>
      </c>
      <c r="F22" s="11">
        <v>56682</v>
      </c>
      <c r="G22" s="11">
        <v>1.48</v>
      </c>
      <c r="H22" s="16">
        <f t="shared" ref="H22:H34" si="1">(J22+1.96)/G22</f>
        <v>2.1891891891891895</v>
      </c>
      <c r="I22" s="16">
        <f t="shared" si="0"/>
        <v>0.20865721688766953</v>
      </c>
      <c r="J22" s="11">
        <v>1.28</v>
      </c>
      <c r="K22" s="11">
        <v>1.71</v>
      </c>
    </row>
    <row r="23" spans="1:11" x14ac:dyDescent="0.25">
      <c r="A23" s="11" t="s">
        <v>398</v>
      </c>
      <c r="B23" s="11" t="s">
        <v>102</v>
      </c>
      <c r="C23" s="11" t="s">
        <v>181</v>
      </c>
      <c r="D23" s="11" t="s">
        <v>361</v>
      </c>
      <c r="E23" s="11" t="s">
        <v>100</v>
      </c>
      <c r="F23" s="11">
        <v>56682</v>
      </c>
      <c r="G23" s="11">
        <v>1.56</v>
      </c>
      <c r="H23" s="16">
        <f t="shared" si="1"/>
        <v>2.1217948717948718</v>
      </c>
      <c r="I23" s="16">
        <f t="shared" si="0"/>
        <v>0.22212283568057975</v>
      </c>
      <c r="J23" s="11">
        <v>1.35</v>
      </c>
      <c r="K23" s="11">
        <v>1.79</v>
      </c>
    </row>
    <row r="24" spans="1:11" x14ac:dyDescent="0.25">
      <c r="A24" s="11" t="s">
        <v>351</v>
      </c>
      <c r="B24" s="11" t="s">
        <v>103</v>
      </c>
      <c r="C24" s="11" t="s">
        <v>181</v>
      </c>
      <c r="D24" s="11" t="s">
        <v>361</v>
      </c>
      <c r="E24" s="11" t="s">
        <v>100</v>
      </c>
      <c r="F24" s="11">
        <v>56682</v>
      </c>
      <c r="G24" s="11">
        <v>1.56</v>
      </c>
      <c r="H24" s="16">
        <f t="shared" si="1"/>
        <v>2.1217948717948718</v>
      </c>
      <c r="I24" s="16">
        <f t="shared" si="0"/>
        <v>0.22212283568057975</v>
      </c>
      <c r="J24" s="11">
        <v>1.35</v>
      </c>
      <c r="K24" s="11">
        <v>1.79</v>
      </c>
    </row>
    <row r="25" spans="1:11" x14ac:dyDescent="0.25">
      <c r="A25" s="11" t="s">
        <v>352</v>
      </c>
      <c r="B25" s="11" t="s">
        <v>101</v>
      </c>
      <c r="C25" s="11" t="s">
        <v>181</v>
      </c>
      <c r="D25" s="11" t="s">
        <v>361</v>
      </c>
      <c r="E25" s="11" t="s">
        <v>50</v>
      </c>
      <c r="F25" s="11">
        <v>46759</v>
      </c>
      <c r="G25" s="11">
        <v>1.53</v>
      </c>
      <c r="H25" s="16">
        <f t="shared" si="1"/>
        <v>2.1437908496732025</v>
      </c>
      <c r="I25" s="16">
        <f t="shared" si="0"/>
        <v>0.21758811719214755</v>
      </c>
      <c r="J25" s="11">
        <v>1.32</v>
      </c>
      <c r="K25" s="11">
        <v>1.77</v>
      </c>
    </row>
    <row r="26" spans="1:11" x14ac:dyDescent="0.25">
      <c r="A26" s="11" t="s">
        <v>353</v>
      </c>
      <c r="B26" s="11" t="s">
        <v>102</v>
      </c>
      <c r="C26" s="11" t="s">
        <v>181</v>
      </c>
      <c r="D26" s="11" t="s">
        <v>361</v>
      </c>
      <c r="E26" s="11" t="s">
        <v>50</v>
      </c>
      <c r="F26" s="11">
        <v>46759</v>
      </c>
      <c r="G26" s="11">
        <v>1.59</v>
      </c>
      <c r="H26" s="16">
        <f t="shared" si="1"/>
        <v>2.0943396226415092</v>
      </c>
      <c r="I26" s="16">
        <f t="shared" si="0"/>
        <v>0.22798474149825507</v>
      </c>
      <c r="J26" s="11">
        <v>1.37</v>
      </c>
      <c r="K26" s="11">
        <v>1.83</v>
      </c>
    </row>
    <row r="27" spans="1:11" x14ac:dyDescent="0.25">
      <c r="A27" s="11" t="s">
        <v>354</v>
      </c>
      <c r="B27" s="11" t="s">
        <v>103</v>
      </c>
      <c r="C27" s="11" t="s">
        <v>181</v>
      </c>
      <c r="D27" s="11" t="s">
        <v>361</v>
      </c>
      <c r="E27" s="11" t="s">
        <v>50</v>
      </c>
      <c r="F27" s="11">
        <v>46759</v>
      </c>
      <c r="G27" s="11">
        <v>1.6</v>
      </c>
      <c r="H27" s="16">
        <f t="shared" si="1"/>
        <v>2.0874999999999999</v>
      </c>
      <c r="I27" s="16">
        <f t="shared" si="0"/>
        <v>0.22948115744558789</v>
      </c>
      <c r="J27" s="11">
        <v>1.38</v>
      </c>
      <c r="K27" s="11">
        <v>1.85</v>
      </c>
    </row>
    <row r="28" spans="1:11" x14ac:dyDescent="0.25">
      <c r="A28" s="11" t="s">
        <v>386</v>
      </c>
      <c r="B28" s="11" t="s">
        <v>25</v>
      </c>
      <c r="C28" s="11" t="s">
        <v>91</v>
      </c>
      <c r="D28" s="11" t="s">
        <v>387</v>
      </c>
      <c r="E28" s="11" t="s">
        <v>81</v>
      </c>
      <c r="F28" s="11">
        <v>837</v>
      </c>
      <c r="G28" s="11">
        <v>2.5579999999999998</v>
      </c>
      <c r="H28" s="16">
        <f t="shared" si="1"/>
        <v>1.41164972634871</v>
      </c>
      <c r="I28" s="16">
        <f t="shared" si="0"/>
        <v>0.50181784772381932</v>
      </c>
      <c r="J28" s="11">
        <v>1.651</v>
      </c>
      <c r="K28" s="11">
        <v>3.9620000000000002</v>
      </c>
    </row>
    <row r="29" spans="1:11" x14ac:dyDescent="0.25">
      <c r="A29" s="11" t="s">
        <v>388</v>
      </c>
      <c r="B29" s="11" t="s">
        <v>25</v>
      </c>
      <c r="C29" s="11" t="s">
        <v>91</v>
      </c>
      <c r="D29" s="11" t="s">
        <v>387</v>
      </c>
      <c r="E29" s="11" t="s">
        <v>81</v>
      </c>
      <c r="F29" s="11">
        <f>398+162</f>
        <v>560</v>
      </c>
      <c r="G29" s="11">
        <v>5.26</v>
      </c>
      <c r="H29" s="16">
        <f t="shared" si="1"/>
        <v>0.98231939163498094</v>
      </c>
      <c r="I29" s="16">
        <f t="shared" si="0"/>
        <v>1.036321635766783</v>
      </c>
      <c r="J29" s="11">
        <v>3.2069999999999999</v>
      </c>
      <c r="K29" s="11">
        <v>8.6289999999999996</v>
      </c>
    </row>
    <row r="30" spans="1:11" x14ac:dyDescent="0.25">
      <c r="A30" s="11" t="s">
        <v>389</v>
      </c>
      <c r="B30" s="11" t="s">
        <v>25</v>
      </c>
      <c r="C30" s="11" t="s">
        <v>91</v>
      </c>
      <c r="D30" s="11" t="s">
        <v>387</v>
      </c>
      <c r="E30" s="11" t="s">
        <v>81</v>
      </c>
      <c r="F30" s="11">
        <v>837</v>
      </c>
      <c r="G30" s="11">
        <v>2.11</v>
      </c>
      <c r="H30" s="16">
        <f t="shared" si="1"/>
        <v>1.5312796208530806</v>
      </c>
      <c r="I30" s="16">
        <f t="shared" si="0"/>
        <v>0.42647246320919452</v>
      </c>
      <c r="J30" s="11">
        <v>1.2709999999999999</v>
      </c>
      <c r="K30" s="11">
        <v>3.5049999999999999</v>
      </c>
    </row>
    <row r="31" spans="1:11" x14ac:dyDescent="0.25">
      <c r="A31" s="11" t="s">
        <v>390</v>
      </c>
      <c r="B31" s="11" t="s">
        <v>25</v>
      </c>
      <c r="C31" s="11" t="s">
        <v>91</v>
      </c>
      <c r="D31" s="11" t="s">
        <v>387</v>
      </c>
      <c r="E31" s="11" t="s">
        <v>81</v>
      </c>
      <c r="F31" s="11">
        <f>398+162</f>
        <v>560</v>
      </c>
      <c r="G31" s="11">
        <v>3.0920000000000001</v>
      </c>
      <c r="H31" s="16">
        <f t="shared" si="1"/>
        <v>1.166235446313066</v>
      </c>
      <c r="I31" s="16">
        <f t="shared" si="0"/>
        <v>0.7352372901637716</v>
      </c>
      <c r="J31" s="11">
        <v>1.6459999999999999</v>
      </c>
      <c r="K31" s="11">
        <v>5.8090000000000002</v>
      </c>
    </row>
    <row r="32" spans="1:11" x14ac:dyDescent="0.25">
      <c r="A32" s="11" t="s">
        <v>391</v>
      </c>
      <c r="B32" s="11" t="s">
        <v>25</v>
      </c>
      <c r="C32" s="11" t="s">
        <v>260</v>
      </c>
      <c r="D32" s="11" t="s">
        <v>19</v>
      </c>
      <c r="E32" s="11">
        <v>8</v>
      </c>
      <c r="F32" s="11">
        <v>486</v>
      </c>
      <c r="G32" s="11">
        <v>14.1</v>
      </c>
      <c r="H32" s="11">
        <f t="shared" si="1"/>
        <v>0.25957446808510642</v>
      </c>
      <c r="I32" s="11">
        <f t="shared" si="0"/>
        <v>14.841440472991128</v>
      </c>
      <c r="J32" s="11">
        <v>1.7</v>
      </c>
      <c r="K32" s="11">
        <v>114</v>
      </c>
    </row>
    <row r="33" spans="1:11" x14ac:dyDescent="0.25">
      <c r="A33" s="11" t="s">
        <v>93</v>
      </c>
      <c r="B33" s="11" t="s">
        <v>92</v>
      </c>
      <c r="C33" s="11" t="s">
        <v>91</v>
      </c>
      <c r="D33" s="11" t="s">
        <v>24</v>
      </c>
      <c r="E33" s="11" t="s">
        <v>57</v>
      </c>
      <c r="F33" s="11">
        <v>4183</v>
      </c>
      <c r="G33" s="16">
        <f>EXP(0.05)</f>
        <v>1.0512710963760241</v>
      </c>
      <c r="H33" s="16">
        <f t="shared" si="1"/>
        <v>2.7602438073179276</v>
      </c>
      <c r="I33" s="16">
        <f t="shared" si="0"/>
        <v>0.13125175270918255</v>
      </c>
      <c r="J33" s="16">
        <f>EXP(-0.06)</f>
        <v>0.94176453358424872</v>
      </c>
      <c r="K33" s="16">
        <f>EXP(0.15)</f>
        <v>1.1618342427282831</v>
      </c>
    </row>
    <row r="34" spans="1:11" x14ac:dyDescent="0.25">
      <c r="A34" s="11" t="s">
        <v>94</v>
      </c>
      <c r="B34" s="11" t="s">
        <v>92</v>
      </c>
      <c r="C34" s="11" t="s">
        <v>91</v>
      </c>
      <c r="D34" s="11" t="s">
        <v>364</v>
      </c>
      <c r="E34" s="11" t="s">
        <v>57</v>
      </c>
      <c r="F34" s="11">
        <v>4183</v>
      </c>
      <c r="G34" s="16">
        <f>EXP(0.11)</f>
        <v>1.1162780704588713</v>
      </c>
      <c r="H34" s="16">
        <f t="shared" si="1"/>
        <v>2.6079786941474068</v>
      </c>
      <c r="I34" s="16">
        <f t="shared" si="0"/>
        <v>0.1470252483868997</v>
      </c>
      <c r="J34" s="16">
        <f>EXP(-0.05)</f>
        <v>0.95122942450071402</v>
      </c>
      <c r="K34" s="16">
        <f>EXP(0.27)</f>
        <v>1.3099644507332473</v>
      </c>
    </row>
  </sheetData>
  <sortState xmlns:xlrd2="http://schemas.microsoft.com/office/spreadsheetml/2017/richdata2" ref="A5:K34">
    <sortCondition ref="A5:A34"/>
  </sortState>
  <mergeCells count="1">
    <mergeCell ref="A3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89"/>
  <sheetViews>
    <sheetView zoomScale="90" zoomScaleNormal="90" workbookViewId="0">
      <selection activeCell="C11" activeCellId="1" sqref="C13 C11"/>
    </sheetView>
  </sheetViews>
  <sheetFormatPr defaultRowHeight="15" x14ac:dyDescent="0.25"/>
  <cols>
    <col min="1" max="1" width="14" bestFit="1" customWidth="1"/>
    <col min="2" max="2" width="25.85546875" bestFit="1" customWidth="1"/>
    <col min="3" max="3" width="24.85546875" bestFit="1" customWidth="1"/>
    <col min="4" max="4" width="4.42578125" bestFit="1" customWidth="1"/>
    <col min="5" max="5" width="13" bestFit="1" customWidth="1"/>
    <col min="6" max="6" width="9.85546875" bestFit="1" customWidth="1"/>
    <col min="7" max="7" width="4.140625" bestFit="1" customWidth="1"/>
    <col min="8" max="8" width="4.85546875" style="6" bestFit="1" customWidth="1"/>
    <col min="9" max="9" width="3.85546875" style="8" bestFit="1" customWidth="1"/>
    <col min="10" max="10" width="5.42578125" style="8" bestFit="1" customWidth="1"/>
    <col min="11" max="11" width="8.85546875" style="6"/>
    <col min="12" max="12" width="9.28515625" style="6" bestFit="1" customWidth="1"/>
  </cols>
  <sheetData>
    <row r="2" spans="1:12" x14ac:dyDescent="0.25">
      <c r="A2" s="41" t="s">
        <v>407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9" t="s">
        <v>0</v>
      </c>
      <c r="B3" s="35" t="s">
        <v>402</v>
      </c>
      <c r="C3" s="9" t="s">
        <v>75</v>
      </c>
      <c r="D3" s="9" t="s">
        <v>160</v>
      </c>
      <c r="E3" s="9" t="s">
        <v>18</v>
      </c>
      <c r="F3" s="9" t="s">
        <v>21</v>
      </c>
      <c r="G3" s="10" t="s">
        <v>31</v>
      </c>
      <c r="H3" s="9" t="s">
        <v>7</v>
      </c>
      <c r="I3" s="9" t="s">
        <v>77</v>
      </c>
      <c r="J3" s="9" t="s">
        <v>178</v>
      </c>
      <c r="K3" s="9" t="s">
        <v>8</v>
      </c>
      <c r="L3" s="9" t="s">
        <v>9</v>
      </c>
    </row>
    <row r="4" spans="1:12" x14ac:dyDescent="0.25">
      <c r="A4" s="17" t="s">
        <v>239</v>
      </c>
      <c r="B4" s="11" t="s">
        <v>365</v>
      </c>
      <c r="C4" s="11" t="s">
        <v>244</v>
      </c>
      <c r="D4" s="11" t="s">
        <v>403</v>
      </c>
      <c r="E4" s="11" t="s">
        <v>406</v>
      </c>
      <c r="F4" s="11" t="s">
        <v>245</v>
      </c>
      <c r="G4" s="11">
        <v>161</v>
      </c>
      <c r="H4" s="13">
        <f>EXP(0.86)</f>
        <v>2.3631606937057947</v>
      </c>
      <c r="I4" s="13">
        <f t="shared" ref="I4:I35" si="0">(K4+1.96)/H4</f>
        <v>1.0195366614443082</v>
      </c>
      <c r="J4" s="13">
        <f t="shared" ref="J4:J35" si="1">1/((I4)^2)</f>
        <v>0.96204260513819695</v>
      </c>
      <c r="K4" s="13">
        <f>EXP(-0.8)</f>
        <v>0.44932896411722156</v>
      </c>
      <c r="L4" s="13">
        <f>EXP(2.52)</f>
        <v>12.428596663577544</v>
      </c>
    </row>
    <row r="5" spans="1:12" x14ac:dyDescent="0.25">
      <c r="A5" s="17" t="s">
        <v>240</v>
      </c>
      <c r="B5" s="11" t="s">
        <v>365</v>
      </c>
      <c r="C5" s="11" t="s">
        <v>244</v>
      </c>
      <c r="D5" s="11" t="s">
        <v>403</v>
      </c>
      <c r="E5" s="11" t="s">
        <v>317</v>
      </c>
      <c r="F5" s="11" t="s">
        <v>245</v>
      </c>
      <c r="G5" s="11">
        <v>161</v>
      </c>
      <c r="H5" s="13">
        <f>EXP(0.83)</f>
        <v>2.2933187402641826</v>
      </c>
      <c r="I5" s="13">
        <f t="shared" si="0"/>
        <v>1.0373401252429446</v>
      </c>
      <c r="J5" s="13">
        <f t="shared" si="1"/>
        <v>0.92930365608177046</v>
      </c>
      <c r="K5" s="13">
        <f>EXP(-0.87)</f>
        <v>0.418951549247639</v>
      </c>
      <c r="L5" s="13">
        <f>EXP(2.54)</f>
        <v>12.679670970833877</v>
      </c>
    </row>
    <row r="6" spans="1:12" x14ac:dyDescent="0.25">
      <c r="A6" s="17" t="s">
        <v>241</v>
      </c>
      <c r="B6" s="11" t="s">
        <v>365</v>
      </c>
      <c r="C6" s="11" t="s">
        <v>244</v>
      </c>
      <c r="D6" s="11" t="s">
        <v>403</v>
      </c>
      <c r="E6" s="11" t="s">
        <v>24</v>
      </c>
      <c r="F6" s="11" t="s">
        <v>245</v>
      </c>
      <c r="G6" s="11">
        <v>149</v>
      </c>
      <c r="H6" s="13">
        <f>EXP(1.7)</f>
        <v>5.4739473917271999</v>
      </c>
      <c r="I6" s="13">
        <f t="shared" si="0"/>
        <v>0.55794732121850432</v>
      </c>
      <c r="J6" s="13">
        <f t="shared" si="1"/>
        <v>3.2122815726223442</v>
      </c>
      <c r="K6" s="13">
        <f>EXP(0.09)</f>
        <v>1.0941742837052104</v>
      </c>
      <c r="L6" s="13">
        <f>EXP(3.31)</f>
        <v>27.385125471903219</v>
      </c>
    </row>
    <row r="7" spans="1:12" x14ac:dyDescent="0.25">
      <c r="A7" s="17" t="s">
        <v>242</v>
      </c>
      <c r="B7" s="11" t="s">
        <v>365</v>
      </c>
      <c r="C7" s="11" t="s">
        <v>244</v>
      </c>
      <c r="D7" s="11" t="s">
        <v>403</v>
      </c>
      <c r="E7" s="11" t="s">
        <v>374</v>
      </c>
      <c r="F7" s="11" t="s">
        <v>245</v>
      </c>
      <c r="G7" s="11">
        <v>161</v>
      </c>
      <c r="H7" s="13">
        <f>EXP(0.42)</f>
        <v>1.5219615556186337</v>
      </c>
      <c r="I7" s="13">
        <f t="shared" si="0"/>
        <v>1.4404018725943952</v>
      </c>
      <c r="J7" s="13">
        <f t="shared" si="1"/>
        <v>0.48198402642066529</v>
      </c>
      <c r="K7" s="13">
        <f>EXP(-1.46)</f>
        <v>0.23223627472975883</v>
      </c>
      <c r="L7" s="13">
        <f>EXP(2.3)</f>
        <v>9.9741824548147182</v>
      </c>
    </row>
    <row r="8" spans="1:12" x14ac:dyDescent="0.25">
      <c r="A8" s="17" t="s">
        <v>243</v>
      </c>
      <c r="B8" s="11" t="s">
        <v>365</v>
      </c>
      <c r="C8" s="11" t="s">
        <v>244</v>
      </c>
      <c r="D8" s="11" t="s">
        <v>403</v>
      </c>
      <c r="E8" s="11" t="s">
        <v>406</v>
      </c>
      <c r="F8" s="11" t="s">
        <v>245</v>
      </c>
      <c r="G8" s="11">
        <v>161</v>
      </c>
      <c r="H8" s="13">
        <f>EXP(1.17)</f>
        <v>3.2219926385284996</v>
      </c>
      <c r="I8" s="13">
        <f t="shared" si="0"/>
        <v>0.78738535279184385</v>
      </c>
      <c r="J8" s="13">
        <f t="shared" si="1"/>
        <v>1.6129664598381659</v>
      </c>
      <c r="K8" s="13">
        <f>EXP(-0.55)</f>
        <v>0.57694981038048665</v>
      </c>
      <c r="L8" s="13">
        <f>EXP(2.89)</f>
        <v>17.993309601550319</v>
      </c>
    </row>
    <row r="9" spans="1:12" x14ac:dyDescent="0.25">
      <c r="A9" s="17" t="s">
        <v>225</v>
      </c>
      <c r="B9" s="11" t="s">
        <v>366</v>
      </c>
      <c r="C9" s="11" t="s">
        <v>228</v>
      </c>
      <c r="D9" s="11" t="s">
        <v>403</v>
      </c>
      <c r="E9" s="11" t="s">
        <v>19</v>
      </c>
      <c r="F9" s="11" t="s">
        <v>61</v>
      </c>
      <c r="G9" s="11">
        <v>59</v>
      </c>
      <c r="H9" s="13">
        <v>0.96440000000000003</v>
      </c>
      <c r="I9" s="13">
        <f t="shared" si="0"/>
        <v>2.4048112816258813</v>
      </c>
      <c r="J9" s="13">
        <f t="shared" si="1"/>
        <v>0.17291712204408249</v>
      </c>
      <c r="K9" s="13">
        <v>0.35920000000000002</v>
      </c>
      <c r="L9" s="13">
        <v>2.5893000000000002</v>
      </c>
    </row>
    <row r="10" spans="1:12" x14ac:dyDescent="0.25">
      <c r="A10" s="17" t="s">
        <v>226</v>
      </c>
      <c r="B10" s="11" t="s">
        <v>366</v>
      </c>
      <c r="C10" s="11" t="s">
        <v>228</v>
      </c>
      <c r="D10" s="11" t="s">
        <v>403</v>
      </c>
      <c r="E10" s="11" t="s">
        <v>26</v>
      </c>
      <c r="F10" s="11" t="s">
        <v>61</v>
      </c>
      <c r="G10" s="11">
        <v>59</v>
      </c>
      <c r="H10" s="13">
        <v>0.83409999999999995</v>
      </c>
      <c r="I10" s="13">
        <f t="shared" si="0"/>
        <v>2.7346840906366148</v>
      </c>
      <c r="J10" s="13">
        <f t="shared" si="1"/>
        <v>0.13371670669835883</v>
      </c>
      <c r="K10" s="13">
        <v>0.32100000000000001</v>
      </c>
      <c r="L10" s="13">
        <v>2.1671999999999998</v>
      </c>
    </row>
    <row r="11" spans="1:12" x14ac:dyDescent="0.25">
      <c r="A11" s="17" t="s">
        <v>227</v>
      </c>
      <c r="B11" s="11" t="s">
        <v>366</v>
      </c>
      <c r="C11" s="11" t="s">
        <v>228</v>
      </c>
      <c r="D11" s="11" t="s">
        <v>403</v>
      </c>
      <c r="E11" s="11" t="s">
        <v>24</v>
      </c>
      <c r="F11" s="11" t="s">
        <v>61</v>
      </c>
      <c r="G11" s="11">
        <v>59</v>
      </c>
      <c r="H11" s="13">
        <v>0.47689999999999999</v>
      </c>
      <c r="I11" s="13">
        <f t="shared" si="0"/>
        <v>4.473684210526315</v>
      </c>
      <c r="J11" s="13">
        <f t="shared" si="1"/>
        <v>4.996539792387545E-2</v>
      </c>
      <c r="K11" s="13">
        <v>0.17349999999999999</v>
      </c>
      <c r="L11" s="13">
        <v>1.3110999999999999</v>
      </c>
    </row>
    <row r="12" spans="1:12" x14ac:dyDescent="0.25">
      <c r="A12" s="11" t="s">
        <v>104</v>
      </c>
      <c r="B12" s="11" t="s">
        <v>367</v>
      </c>
      <c r="C12" s="11" t="s">
        <v>244</v>
      </c>
      <c r="D12" s="11" t="s">
        <v>403</v>
      </c>
      <c r="E12" s="11" t="s">
        <v>406</v>
      </c>
      <c r="F12" s="11" t="s">
        <v>37</v>
      </c>
      <c r="G12" s="11">
        <v>155</v>
      </c>
      <c r="H12" s="13">
        <f>EXP(-0.3)</f>
        <v>0.74081822068171788</v>
      </c>
      <c r="I12" s="13">
        <f t="shared" si="0"/>
        <v>3.0136027040204083</v>
      </c>
      <c r="J12" s="13">
        <f t="shared" si="1"/>
        <v>0.11011031530275452</v>
      </c>
      <c r="K12" s="13">
        <f>EXP(-1.3)</f>
        <v>0.27253179303401259</v>
      </c>
      <c r="L12" s="13">
        <f>EXP(0.7)</f>
        <v>2.0137527074704766</v>
      </c>
    </row>
    <row r="13" spans="1:12" x14ac:dyDescent="0.25">
      <c r="A13" s="11" t="s">
        <v>105</v>
      </c>
      <c r="B13" s="11" t="s">
        <v>367</v>
      </c>
      <c r="C13" s="11" t="s">
        <v>244</v>
      </c>
      <c r="D13" s="11" t="s">
        <v>403</v>
      </c>
      <c r="E13" s="11" t="s">
        <v>406</v>
      </c>
      <c r="F13" s="11" t="s">
        <v>37</v>
      </c>
      <c r="G13" s="11">
        <v>155</v>
      </c>
      <c r="H13" s="13">
        <f>EXP(0.2)</f>
        <v>1.2214027581601699</v>
      </c>
      <c r="I13" s="13">
        <f t="shared" si="0"/>
        <v>1.9725917172042866</v>
      </c>
      <c r="J13" s="13">
        <f t="shared" si="1"/>
        <v>0.2569955418276057</v>
      </c>
      <c r="K13" s="13">
        <f>EXP(-0.8)</f>
        <v>0.44932896411722156</v>
      </c>
      <c r="L13" s="13">
        <f>EXP(1.1)</f>
        <v>3.0041660239464334</v>
      </c>
    </row>
    <row r="14" spans="1:12" x14ac:dyDescent="0.25">
      <c r="A14" s="11" t="s">
        <v>106</v>
      </c>
      <c r="B14" s="11" t="s">
        <v>367</v>
      </c>
      <c r="C14" s="11" t="s">
        <v>244</v>
      </c>
      <c r="D14" s="11" t="s">
        <v>403</v>
      </c>
      <c r="E14" s="11" t="s">
        <v>24</v>
      </c>
      <c r="F14" s="11" t="s">
        <v>37</v>
      </c>
      <c r="G14" s="11">
        <v>156</v>
      </c>
      <c r="H14" s="13">
        <f>EXP(-0.9)</f>
        <v>0.40656965974059911</v>
      </c>
      <c r="I14" s="13">
        <f t="shared" si="0"/>
        <v>5.1220163097798235</v>
      </c>
      <c r="J14" s="13">
        <f t="shared" si="1"/>
        <v>3.8116945038155228E-2</v>
      </c>
      <c r="K14" s="13">
        <f>EXP(-2.1)</f>
        <v>0.12245642825298191</v>
      </c>
      <c r="L14" s="13">
        <f>EXP(0.4)</f>
        <v>1.4918246976412703</v>
      </c>
    </row>
    <row r="15" spans="1:12" x14ac:dyDescent="0.25">
      <c r="A15" s="11" t="s">
        <v>107</v>
      </c>
      <c r="B15" s="11" t="s">
        <v>367</v>
      </c>
      <c r="C15" s="11" t="s">
        <v>244</v>
      </c>
      <c r="D15" s="11" t="s">
        <v>403</v>
      </c>
      <c r="E15" s="11" t="s">
        <v>374</v>
      </c>
      <c r="F15" s="11" t="s">
        <v>37</v>
      </c>
      <c r="G15" s="11">
        <v>155</v>
      </c>
      <c r="H15" s="13">
        <f>EXP(-0.03)</f>
        <v>0.97044553354850815</v>
      </c>
      <c r="I15" s="13">
        <f t="shared" si="0"/>
        <v>2.330057827814378</v>
      </c>
      <c r="J15" s="13">
        <f t="shared" si="1"/>
        <v>0.18419023452982186</v>
      </c>
      <c r="K15" s="13">
        <f>EXP(-1.2)</f>
        <v>0.30119421191220214</v>
      </c>
      <c r="L15" s="13">
        <f>EXP(0.7)</f>
        <v>2.0137527074704766</v>
      </c>
    </row>
    <row r="16" spans="1:12" x14ac:dyDescent="0.25">
      <c r="A16" s="11" t="s">
        <v>108</v>
      </c>
      <c r="B16" s="11" t="s">
        <v>367</v>
      </c>
      <c r="C16" s="11" t="s">
        <v>244</v>
      </c>
      <c r="D16" s="11" t="s">
        <v>403</v>
      </c>
      <c r="E16" s="11" t="s">
        <v>317</v>
      </c>
      <c r="F16" s="11" t="s">
        <v>37</v>
      </c>
      <c r="G16" s="11">
        <v>155</v>
      </c>
      <c r="H16" s="13">
        <f>EXP(-0.3)</f>
        <v>0.74081822068171788</v>
      </c>
      <c r="I16" s="13">
        <f t="shared" si="0"/>
        <v>3.0950522269661875</v>
      </c>
      <c r="J16" s="13">
        <f t="shared" si="1"/>
        <v>0.1043912351834418</v>
      </c>
      <c r="K16" s="13">
        <f>EXP(-1.1)</f>
        <v>0.33287108369807955</v>
      </c>
      <c r="L16" s="13">
        <f>EXP(0.4)</f>
        <v>1.4918246976412703</v>
      </c>
    </row>
    <row r="17" spans="1:12" x14ac:dyDescent="0.25">
      <c r="A17" s="11" t="s">
        <v>125</v>
      </c>
      <c r="B17" s="11" t="s">
        <v>372</v>
      </c>
      <c r="C17" s="11" t="s">
        <v>181</v>
      </c>
      <c r="D17" s="11" t="s">
        <v>403</v>
      </c>
      <c r="E17" s="11" t="s">
        <v>24</v>
      </c>
      <c r="F17" s="11" t="s">
        <v>61</v>
      </c>
      <c r="G17" s="11">
        <v>76</v>
      </c>
      <c r="H17" s="18">
        <f>EXP(-0.004)</f>
        <v>0.99600798934399148</v>
      </c>
      <c r="I17" s="13">
        <f t="shared" si="0"/>
        <v>2.7816887772105106</v>
      </c>
      <c r="J17" s="13">
        <f t="shared" si="1"/>
        <v>0.12923582611457002</v>
      </c>
      <c r="K17" s="18">
        <f>EXP(-0.21)</f>
        <v>0.81058424597018708</v>
      </c>
      <c r="L17" s="18">
        <f>EXP(0.2)</f>
        <v>1.2214027581601699</v>
      </c>
    </row>
    <row r="18" spans="1:12" x14ac:dyDescent="0.25">
      <c r="A18" s="11" t="s">
        <v>128</v>
      </c>
      <c r="B18" s="11" t="s">
        <v>369</v>
      </c>
      <c r="C18" s="11" t="s">
        <v>181</v>
      </c>
      <c r="D18" s="11" t="s">
        <v>403</v>
      </c>
      <c r="E18" s="11" t="s">
        <v>19</v>
      </c>
      <c r="F18" s="11" t="s">
        <v>61</v>
      </c>
      <c r="G18" s="11">
        <v>76</v>
      </c>
      <c r="H18" s="18">
        <f>EXP(-0.02)</f>
        <v>0.98019867330675525</v>
      </c>
      <c r="I18" s="13">
        <f t="shared" si="0"/>
        <v>2.7941282289557758</v>
      </c>
      <c r="J18" s="13">
        <f t="shared" si="1"/>
        <v>0.12808767246883776</v>
      </c>
      <c r="K18" s="18">
        <f>EXP(-0.25)</f>
        <v>0.77880078307140488</v>
      </c>
      <c r="L18" s="18">
        <f>EXP(0.21)</f>
        <v>1.2336780599567432</v>
      </c>
    </row>
    <row r="19" spans="1:12" x14ac:dyDescent="0.25">
      <c r="A19" s="11" t="s">
        <v>131</v>
      </c>
      <c r="B19" s="11" t="s">
        <v>369</v>
      </c>
      <c r="C19" s="11" t="s">
        <v>181</v>
      </c>
      <c r="D19" s="11" t="s">
        <v>403</v>
      </c>
      <c r="E19" s="11" t="s">
        <v>26</v>
      </c>
      <c r="F19" s="11" t="s">
        <v>61</v>
      </c>
      <c r="G19" s="11">
        <v>76</v>
      </c>
      <c r="H19" s="18">
        <f>EXP(-0.06)</f>
        <v>0.94176453358424872</v>
      </c>
      <c r="I19" s="13">
        <f t="shared" si="0"/>
        <v>2.8837184291913833</v>
      </c>
      <c r="J19" s="13">
        <f t="shared" si="1"/>
        <v>0.12025254990028382</v>
      </c>
      <c r="K19" s="18">
        <f>EXP(-0.28)</f>
        <v>0.75578374145572547</v>
      </c>
      <c r="L19" s="18">
        <f>EXP(0.15)</f>
        <v>1.1618342427282831</v>
      </c>
    </row>
    <row r="20" spans="1:12" x14ac:dyDescent="0.25">
      <c r="A20" s="11" t="s">
        <v>134</v>
      </c>
      <c r="B20" s="11" t="s">
        <v>369</v>
      </c>
      <c r="C20" s="11" t="s">
        <v>181</v>
      </c>
      <c r="D20" s="11" t="s">
        <v>403</v>
      </c>
      <c r="E20" s="11" t="s">
        <v>24</v>
      </c>
      <c r="F20" s="11" t="s">
        <v>61</v>
      </c>
      <c r="G20" s="11">
        <v>76</v>
      </c>
      <c r="H20" s="18">
        <f>EXP(0.02)</f>
        <v>1.0202013400267558</v>
      </c>
      <c r="I20" s="13">
        <f t="shared" si="0"/>
        <v>2.7317736456514274</v>
      </c>
      <c r="J20" s="13">
        <f t="shared" si="1"/>
        <v>0.13400178334341825</v>
      </c>
      <c r="K20" s="18">
        <f>EXP(-0.19)</f>
        <v>0.82695913394336229</v>
      </c>
      <c r="L20" s="18">
        <f>EXP(0.23)</f>
        <v>1.2586000099294778</v>
      </c>
    </row>
    <row r="21" spans="1:12" x14ac:dyDescent="0.25">
      <c r="A21" s="11" t="s">
        <v>138</v>
      </c>
      <c r="B21" s="11" t="s">
        <v>370</v>
      </c>
      <c r="C21" s="11" t="s">
        <v>181</v>
      </c>
      <c r="D21" s="11" t="s">
        <v>403</v>
      </c>
      <c r="E21" s="11" t="s">
        <v>19</v>
      </c>
      <c r="F21" s="11" t="s">
        <v>61</v>
      </c>
      <c r="G21" s="11">
        <v>76</v>
      </c>
      <c r="H21" s="18">
        <f>EXP(-0.02)</f>
        <v>0.98019867330675525</v>
      </c>
      <c r="I21" s="13">
        <f t="shared" si="0"/>
        <v>2.8432594430488249</v>
      </c>
      <c r="J21" s="13">
        <f t="shared" si="1"/>
        <v>0.12369923664926982</v>
      </c>
      <c r="K21" s="18">
        <f>EXP(-0.19)</f>
        <v>0.82695913394336229</v>
      </c>
      <c r="L21" s="18">
        <f>EXP(0.15)</f>
        <v>1.1618342427282831</v>
      </c>
    </row>
    <row r="22" spans="1:12" x14ac:dyDescent="0.25">
      <c r="A22" s="11" t="s">
        <v>141</v>
      </c>
      <c r="B22" s="11" t="s">
        <v>370</v>
      </c>
      <c r="C22" s="11" t="s">
        <v>181</v>
      </c>
      <c r="D22" s="11" t="s">
        <v>403</v>
      </c>
      <c r="E22" s="11" t="s">
        <v>26</v>
      </c>
      <c r="F22" s="11" t="s">
        <v>61</v>
      </c>
      <c r="G22" s="11">
        <v>76</v>
      </c>
      <c r="H22" s="18">
        <f>EXP(0.0002)</f>
        <v>1.0002000200013335</v>
      </c>
      <c r="I22" s="13">
        <f t="shared" si="0"/>
        <v>2.8115814164475443</v>
      </c>
      <c r="J22" s="13">
        <f t="shared" si="1"/>
        <v>0.12650237283585902</v>
      </c>
      <c r="K22" s="18">
        <f>EXP(-0.16)</f>
        <v>0.85214378896621135</v>
      </c>
      <c r="L22" s="18">
        <f>EXP(0.16)</f>
        <v>1.1735108709918103</v>
      </c>
    </row>
    <row r="23" spans="1:12" x14ac:dyDescent="0.25">
      <c r="A23" s="11" t="s">
        <v>116</v>
      </c>
      <c r="B23" s="11" t="s">
        <v>368</v>
      </c>
      <c r="C23" s="11" t="s">
        <v>181</v>
      </c>
      <c r="D23" s="11" t="s">
        <v>403</v>
      </c>
      <c r="E23" s="11" t="s">
        <v>24</v>
      </c>
      <c r="F23" s="11" t="s">
        <v>61</v>
      </c>
      <c r="G23" s="11">
        <v>76</v>
      </c>
      <c r="H23" s="18">
        <f>EXP(-0.07)</f>
        <v>0.93239381990594827</v>
      </c>
      <c r="I23" s="13">
        <f t="shared" si="0"/>
        <v>2.9714742706570698</v>
      </c>
      <c r="J23" s="13">
        <f t="shared" si="1"/>
        <v>0.11325465245714714</v>
      </c>
      <c r="K23" s="18">
        <f>EXP(-0.21)</f>
        <v>0.81058424597018708</v>
      </c>
      <c r="L23" s="18">
        <f>EXP(0.08)</f>
        <v>1.0832870676749586</v>
      </c>
    </row>
    <row r="24" spans="1:12" x14ac:dyDescent="0.25">
      <c r="A24" s="11" t="s">
        <v>144</v>
      </c>
      <c r="B24" s="11" t="s">
        <v>370</v>
      </c>
      <c r="C24" s="11" t="s">
        <v>181</v>
      </c>
      <c r="D24" s="11" t="s">
        <v>403</v>
      </c>
      <c r="E24" s="11" t="s">
        <v>24</v>
      </c>
      <c r="F24" s="11" t="s">
        <v>61</v>
      </c>
      <c r="G24" s="11">
        <v>76</v>
      </c>
      <c r="H24" s="18">
        <f>EXP(-0.07)</f>
        <v>0.93239381990594827</v>
      </c>
      <c r="I24" s="13">
        <f t="shared" si="0"/>
        <v>2.9542598242244753</v>
      </c>
      <c r="J24" s="13">
        <f t="shared" si="1"/>
        <v>0.11457836564590911</v>
      </c>
      <c r="K24" s="18">
        <f>EXP(-0.23)</f>
        <v>0.79453360250333405</v>
      </c>
      <c r="L24" s="18">
        <f>EXP(0.09)</f>
        <v>1.0941742837052104</v>
      </c>
    </row>
    <row r="25" spans="1:12" x14ac:dyDescent="0.25">
      <c r="A25" s="11" t="s">
        <v>148</v>
      </c>
      <c r="B25" s="11" t="s">
        <v>371</v>
      </c>
      <c r="C25" s="11" t="s">
        <v>181</v>
      </c>
      <c r="D25" s="11" t="s">
        <v>403</v>
      </c>
      <c r="E25" s="11" t="s">
        <v>19</v>
      </c>
      <c r="F25" s="11" t="s">
        <v>61</v>
      </c>
      <c r="G25" s="11">
        <v>76</v>
      </c>
      <c r="H25" s="13">
        <f>EXP(0.07)</f>
        <v>1.0725081812542165</v>
      </c>
      <c r="I25" s="13">
        <f t="shared" si="0"/>
        <v>2.7144123237328159</v>
      </c>
      <c r="J25" s="13">
        <f t="shared" si="1"/>
        <v>0.13572141011750249</v>
      </c>
      <c r="K25" s="13">
        <f>EXP(-0.05)</f>
        <v>0.95122942450071402</v>
      </c>
      <c r="L25" s="13">
        <f>EXP(0.2)</f>
        <v>1.2214027581601699</v>
      </c>
    </row>
    <row r="26" spans="1:12" x14ac:dyDescent="0.25">
      <c r="A26" s="11" t="s">
        <v>151</v>
      </c>
      <c r="B26" s="11" t="s">
        <v>371</v>
      </c>
      <c r="C26" s="11" t="s">
        <v>181</v>
      </c>
      <c r="D26" s="11" t="s">
        <v>403</v>
      </c>
      <c r="E26" s="11" t="s">
        <v>26</v>
      </c>
      <c r="F26" s="11" t="s">
        <v>61</v>
      </c>
      <c r="G26" s="11">
        <v>76</v>
      </c>
      <c r="H26" s="13">
        <f>EXP(-0.06)</f>
        <v>0.94176453358424872</v>
      </c>
      <c r="I26" s="13">
        <f t="shared" si="0"/>
        <v>2.9681200679460624</v>
      </c>
      <c r="J26" s="13">
        <f t="shared" si="1"/>
        <v>0.11351076993204959</v>
      </c>
      <c r="K26" s="13">
        <f>EXP(-0.18)</f>
        <v>0.835270211411272</v>
      </c>
      <c r="L26" s="13">
        <f>EXP(0.06)</f>
        <v>1.0618365465453596</v>
      </c>
    </row>
    <row r="27" spans="1:12" x14ac:dyDescent="0.25">
      <c r="A27" s="11" t="s">
        <v>154</v>
      </c>
      <c r="B27" s="11" t="s">
        <v>368</v>
      </c>
      <c r="C27" s="11" t="s">
        <v>181</v>
      </c>
      <c r="D27" s="11" t="s">
        <v>403</v>
      </c>
      <c r="E27" s="11" t="s">
        <v>19</v>
      </c>
      <c r="F27" s="11" t="s">
        <v>61</v>
      </c>
      <c r="G27" s="11">
        <v>76</v>
      </c>
      <c r="H27" s="18">
        <f>EXP(0.05)</f>
        <v>1.0512710963760241</v>
      </c>
      <c r="I27" s="13">
        <f t="shared" si="0"/>
        <v>2.725117648446457</v>
      </c>
      <c r="J27" s="13">
        <f t="shared" si="1"/>
        <v>0.13465717136375133</v>
      </c>
      <c r="K27" s="18">
        <f>EXP(-0.1)</f>
        <v>0.90483741803595952</v>
      </c>
      <c r="L27" s="18">
        <f>EXP(0.21)</f>
        <v>1.2336780599567432</v>
      </c>
    </row>
    <row r="28" spans="1:12" x14ac:dyDescent="0.25">
      <c r="A28" s="11" t="s">
        <v>155</v>
      </c>
      <c r="B28" s="11" t="s">
        <v>371</v>
      </c>
      <c r="C28" s="11" t="s">
        <v>181</v>
      </c>
      <c r="D28" s="11" t="s">
        <v>403</v>
      </c>
      <c r="E28" s="11" t="s">
        <v>24</v>
      </c>
      <c r="F28" s="11" t="s">
        <v>61</v>
      </c>
      <c r="G28" s="11">
        <v>76</v>
      </c>
      <c r="H28" s="13">
        <f>EXP(-0.08)</f>
        <v>0.92311634638663576</v>
      </c>
      <c r="I28" s="13">
        <f t="shared" si="0"/>
        <v>3.0101630893600761</v>
      </c>
      <c r="J28" s="13">
        <f t="shared" si="1"/>
        <v>0.11036209796616936</v>
      </c>
      <c r="K28" s="13">
        <f>EXP(-0.2)</f>
        <v>0.81873075307798182</v>
      </c>
      <c r="L28" s="13">
        <f>EXP(0.04)</f>
        <v>1.0408107741923882</v>
      </c>
    </row>
    <row r="29" spans="1:12" x14ac:dyDescent="0.25">
      <c r="A29" s="11" t="s">
        <v>158</v>
      </c>
      <c r="B29" s="11" t="s">
        <v>368</v>
      </c>
      <c r="C29" s="11" t="s">
        <v>181</v>
      </c>
      <c r="D29" s="11" t="s">
        <v>403</v>
      </c>
      <c r="E29" s="11" t="s">
        <v>26</v>
      </c>
      <c r="F29" s="11" t="s">
        <v>61</v>
      </c>
      <c r="G29" s="11">
        <v>76</v>
      </c>
      <c r="H29" s="18">
        <f>EXP(-0.05)</f>
        <v>0.95122942450071402</v>
      </c>
      <c r="I29" s="13">
        <f t="shared" si="0"/>
        <v>2.9298495842958125</v>
      </c>
      <c r="J29" s="13">
        <f t="shared" si="1"/>
        <v>0.11649555390772723</v>
      </c>
      <c r="K29" s="18">
        <f>EXP(-0.19)</f>
        <v>0.82695913394336229</v>
      </c>
      <c r="L29" s="18">
        <f>EXP(0.1)</f>
        <v>1.1051709180756477</v>
      </c>
    </row>
    <row r="30" spans="1:12" x14ac:dyDescent="0.25">
      <c r="A30" s="11" t="s">
        <v>119</v>
      </c>
      <c r="B30" s="11" t="s">
        <v>372</v>
      </c>
      <c r="C30" s="11" t="s">
        <v>181</v>
      </c>
      <c r="D30" s="11" t="s">
        <v>403</v>
      </c>
      <c r="E30" s="11" t="s">
        <v>19</v>
      </c>
      <c r="F30" s="11" t="s">
        <v>61</v>
      </c>
      <c r="G30" s="11">
        <v>76</v>
      </c>
      <c r="H30" s="18">
        <f>EXP(0.06)</f>
        <v>1.0618365465453596</v>
      </c>
      <c r="I30" s="13">
        <f t="shared" si="0"/>
        <v>2.6483772837876058</v>
      </c>
      <c r="J30" s="13">
        <f t="shared" si="1"/>
        <v>0.14257398608787641</v>
      </c>
      <c r="K30" s="18">
        <f>EXP(-0.16)</f>
        <v>0.85214378896621135</v>
      </c>
      <c r="L30" s="18">
        <f>EXP(0.28)</f>
        <v>1.3231298123374369</v>
      </c>
    </row>
    <row r="31" spans="1:12" x14ac:dyDescent="0.25">
      <c r="A31" s="11" t="s">
        <v>122</v>
      </c>
      <c r="B31" s="11" t="s">
        <v>372</v>
      </c>
      <c r="C31" s="11" t="s">
        <v>181</v>
      </c>
      <c r="D31" s="11" t="s">
        <v>403</v>
      </c>
      <c r="E31" s="11" t="s">
        <v>26</v>
      </c>
      <c r="F31" s="11" t="s">
        <v>61</v>
      </c>
      <c r="G31" s="11">
        <v>76</v>
      </c>
      <c r="H31" s="18">
        <f>EXP(0.09)</f>
        <v>1.0941742837052104</v>
      </c>
      <c r="I31" s="13">
        <f t="shared" si="0"/>
        <v>2.6018893691017944</v>
      </c>
      <c r="J31" s="13">
        <f t="shared" si="1"/>
        <v>0.14771423399589312</v>
      </c>
      <c r="K31" s="18">
        <f>EXP(-0.12)</f>
        <v>0.88692043671715748</v>
      </c>
      <c r="L31" s="18">
        <f>EXP(0.3)</f>
        <v>1.3498588075760032</v>
      </c>
    </row>
    <row r="32" spans="1:12" x14ac:dyDescent="0.25">
      <c r="A32" s="17" t="s">
        <v>238</v>
      </c>
      <c r="B32" s="11" t="s">
        <v>365</v>
      </c>
      <c r="C32" s="11" t="s">
        <v>244</v>
      </c>
      <c r="D32" s="11" t="s">
        <v>404</v>
      </c>
      <c r="E32" s="11" t="s">
        <v>406</v>
      </c>
      <c r="F32" s="11" t="s">
        <v>245</v>
      </c>
      <c r="G32" s="11">
        <v>161</v>
      </c>
      <c r="H32" s="13">
        <f>EXP(2.08)</f>
        <v>8.0044689142963534</v>
      </c>
      <c r="I32" s="13">
        <f t="shared" si="0"/>
        <v>0.50670888448954743</v>
      </c>
      <c r="J32" s="13">
        <f t="shared" si="1"/>
        <v>3.8947802734299253</v>
      </c>
      <c r="K32" s="13">
        <f>EXP(0.74)</f>
        <v>2.0959355144943643</v>
      </c>
      <c r="L32" s="13">
        <f>EXP(3.42)</f>
        <v>30.569415021050208</v>
      </c>
    </row>
    <row r="33" spans="1:12" x14ac:dyDescent="0.25">
      <c r="A33" s="17" t="s">
        <v>234</v>
      </c>
      <c r="B33" s="11" t="s">
        <v>365</v>
      </c>
      <c r="C33" s="11" t="s">
        <v>244</v>
      </c>
      <c r="D33" s="11" t="s">
        <v>404</v>
      </c>
      <c r="E33" s="11" t="s">
        <v>406</v>
      </c>
      <c r="F33" s="11" t="s">
        <v>245</v>
      </c>
      <c r="G33" s="11">
        <v>161</v>
      </c>
      <c r="H33" s="13">
        <f>EXP(1.46)</f>
        <v>4.3059595283452063</v>
      </c>
      <c r="I33" s="13">
        <f t="shared" si="0"/>
        <v>0.73045388156007962</v>
      </c>
      <c r="J33" s="13">
        <f t="shared" si="1"/>
        <v>1.8741933714688377</v>
      </c>
      <c r="K33" s="13">
        <f>EXP(0.17)</f>
        <v>1.1853048513203654</v>
      </c>
      <c r="L33" s="13">
        <f>EXP(2.76)</f>
        <v>15.799842948260395</v>
      </c>
    </row>
    <row r="34" spans="1:12" x14ac:dyDescent="0.25">
      <c r="A34" s="17" t="s">
        <v>235</v>
      </c>
      <c r="B34" s="11" t="s">
        <v>365</v>
      </c>
      <c r="C34" s="11" t="s">
        <v>244</v>
      </c>
      <c r="D34" s="11" t="s">
        <v>404</v>
      </c>
      <c r="E34" s="11" t="s">
        <v>317</v>
      </c>
      <c r="F34" s="11" t="s">
        <v>245</v>
      </c>
      <c r="G34" s="11">
        <v>161</v>
      </c>
      <c r="H34" s="13">
        <f>EXP(1.55)</f>
        <v>4.7114701825907419</v>
      </c>
      <c r="I34" s="13">
        <f t="shared" si="0"/>
        <v>0.68048329000024022</v>
      </c>
      <c r="J34" s="13">
        <f t="shared" si="1"/>
        <v>2.1595589808809588</v>
      </c>
      <c r="K34" s="13">
        <f>EXP(0.22)</f>
        <v>1.2460767305873808</v>
      </c>
      <c r="L34" s="13">
        <f>EXP(2.88)</f>
        <v>17.814273179612197</v>
      </c>
    </row>
    <row r="35" spans="1:12" x14ac:dyDescent="0.25">
      <c r="A35" s="17" t="s">
        <v>236</v>
      </c>
      <c r="B35" s="11" t="s">
        <v>365</v>
      </c>
      <c r="C35" s="11" t="s">
        <v>244</v>
      </c>
      <c r="D35" s="11" t="s">
        <v>404</v>
      </c>
      <c r="E35" s="11" t="s">
        <v>24</v>
      </c>
      <c r="F35" s="11" t="s">
        <v>245</v>
      </c>
      <c r="G35" s="11">
        <v>149</v>
      </c>
      <c r="H35" s="13">
        <f>EXP(2.79)</f>
        <v>16.281019801788428</v>
      </c>
      <c r="I35" s="13">
        <f t="shared" si="0"/>
        <v>0.40976979721245088</v>
      </c>
      <c r="J35" s="13">
        <f t="shared" si="1"/>
        <v>5.9555257994168915</v>
      </c>
      <c r="K35" s="13">
        <f>EXP(1.55)</f>
        <v>4.7114701825907419</v>
      </c>
      <c r="L35" s="13">
        <f>EXP(4.03)</f>
        <v>56.260911247127851</v>
      </c>
    </row>
    <row r="36" spans="1:12" x14ac:dyDescent="0.25">
      <c r="A36" s="17" t="s">
        <v>237</v>
      </c>
      <c r="B36" s="11" t="s">
        <v>365</v>
      </c>
      <c r="C36" s="11" t="s">
        <v>244</v>
      </c>
      <c r="D36" s="11" t="s">
        <v>404</v>
      </c>
      <c r="E36" s="11" t="s">
        <v>374</v>
      </c>
      <c r="F36" s="11" t="s">
        <v>245</v>
      </c>
      <c r="G36" s="11">
        <v>161</v>
      </c>
      <c r="H36" s="13">
        <f>EXP(1.39)</f>
        <v>4.0148500529942011</v>
      </c>
      <c r="I36" s="13">
        <f t="shared" ref="I36:I67" si="2">(K36+1.96)/H36</f>
        <v>0.71811308226479365</v>
      </c>
      <c r="J36" s="13">
        <f t="shared" ref="J36:J67" si="3">1/((I36)^2)</f>
        <v>1.9391630302730536</v>
      </c>
      <c r="K36" s="13">
        <f>EXP(-0.08)</f>
        <v>0.92311634638663576</v>
      </c>
      <c r="L36" s="13">
        <f>EXP(2.85)</f>
        <v>17.287781840567639</v>
      </c>
    </row>
    <row r="37" spans="1:12" x14ac:dyDescent="0.25">
      <c r="A37" s="17" t="s">
        <v>222</v>
      </c>
      <c r="B37" s="11" t="s">
        <v>366</v>
      </c>
      <c r="C37" s="11" t="s">
        <v>228</v>
      </c>
      <c r="D37" s="11" t="s">
        <v>404</v>
      </c>
      <c r="E37" s="11" t="s">
        <v>19</v>
      </c>
      <c r="F37" s="11" t="s">
        <v>61</v>
      </c>
      <c r="G37" s="11">
        <v>66</v>
      </c>
      <c r="H37" s="13">
        <v>0.83389999999999997</v>
      </c>
      <c r="I37" s="13">
        <f t="shared" si="2"/>
        <v>2.7570452092577051</v>
      </c>
      <c r="J37" s="13">
        <f t="shared" si="3"/>
        <v>0.13155647395868522</v>
      </c>
      <c r="K37" s="13">
        <v>0.33910000000000001</v>
      </c>
      <c r="L37" s="13">
        <v>2.0508999999999999</v>
      </c>
    </row>
    <row r="38" spans="1:12" x14ac:dyDescent="0.25">
      <c r="A38" s="17" t="s">
        <v>223</v>
      </c>
      <c r="B38" s="11" t="s">
        <v>366</v>
      </c>
      <c r="C38" s="11" t="s">
        <v>228</v>
      </c>
      <c r="D38" s="11" t="s">
        <v>404</v>
      </c>
      <c r="E38" s="11" t="s">
        <v>26</v>
      </c>
      <c r="F38" s="11" t="s">
        <v>61</v>
      </c>
      <c r="G38" s="11">
        <v>66</v>
      </c>
      <c r="H38" s="13">
        <v>2.8807</v>
      </c>
      <c r="I38" s="13">
        <f t="shared" si="2"/>
        <v>1.0433922310549519</v>
      </c>
      <c r="J38" s="13">
        <f t="shared" si="3"/>
        <v>0.91855423238061917</v>
      </c>
      <c r="K38" s="13">
        <v>1.0457000000000001</v>
      </c>
      <c r="L38" s="13">
        <v>7.9358000000000004</v>
      </c>
    </row>
    <row r="39" spans="1:12" x14ac:dyDescent="0.25">
      <c r="A39" s="17" t="s">
        <v>224</v>
      </c>
      <c r="B39" s="11" t="s">
        <v>366</v>
      </c>
      <c r="C39" s="11" t="s">
        <v>228</v>
      </c>
      <c r="D39" s="11" t="s">
        <v>404</v>
      </c>
      <c r="E39" s="11" t="s">
        <v>24</v>
      </c>
      <c r="F39" s="11" t="s">
        <v>61</v>
      </c>
      <c r="G39" s="11">
        <v>66</v>
      </c>
      <c r="H39" s="13">
        <v>2.5514000000000001</v>
      </c>
      <c r="I39" s="13">
        <f t="shared" si="2"/>
        <v>1.1406678686211491</v>
      </c>
      <c r="J39" s="13">
        <f t="shared" si="3"/>
        <v>0.76856673554973665</v>
      </c>
      <c r="K39" s="13">
        <v>0.95030000000000003</v>
      </c>
      <c r="L39" s="13">
        <v>6.8503999999999996</v>
      </c>
    </row>
    <row r="40" spans="1:12" x14ac:dyDescent="0.25">
      <c r="A40" s="11" t="s">
        <v>109</v>
      </c>
      <c r="B40" s="11" t="s">
        <v>367</v>
      </c>
      <c r="C40" s="11" t="s">
        <v>244</v>
      </c>
      <c r="D40" s="11" t="s">
        <v>404</v>
      </c>
      <c r="E40" s="11" t="s">
        <v>406</v>
      </c>
      <c r="F40" s="11" t="s">
        <v>37</v>
      </c>
      <c r="G40" s="11">
        <v>133</v>
      </c>
      <c r="H40" s="13">
        <f>EXP(0.7)</f>
        <v>2.0137527074704766</v>
      </c>
      <c r="I40" s="13">
        <f t="shared" si="2"/>
        <v>1.1386060836527492</v>
      </c>
      <c r="J40" s="13">
        <f t="shared" si="3"/>
        <v>0.77135269300711429</v>
      </c>
      <c r="K40" s="13">
        <f>EXP(-1.1)</f>
        <v>0.33287108369807955</v>
      </c>
      <c r="L40" s="13">
        <f>EXP(2.5)</f>
        <v>12.182493960703473</v>
      </c>
    </row>
    <row r="41" spans="1:12" x14ac:dyDescent="0.25">
      <c r="A41" s="11" t="s">
        <v>110</v>
      </c>
      <c r="B41" s="11" t="s">
        <v>367</v>
      </c>
      <c r="C41" s="11" t="s">
        <v>244</v>
      </c>
      <c r="D41" s="11" t="s">
        <v>404</v>
      </c>
      <c r="E41" s="11" t="s">
        <v>406</v>
      </c>
      <c r="F41" s="11" t="s">
        <v>37</v>
      </c>
      <c r="G41" s="11">
        <v>135</v>
      </c>
      <c r="H41" s="13">
        <f>EXP(0.5)</f>
        <v>1.6487212707001282</v>
      </c>
      <c r="I41" s="13">
        <f t="shared" si="2"/>
        <v>1.3714836170894962</v>
      </c>
      <c r="J41" s="13">
        <f t="shared" si="3"/>
        <v>0.53164134945333907</v>
      </c>
      <c r="K41" s="13">
        <f>EXP(-1.2)</f>
        <v>0.30119421191220214</v>
      </c>
      <c r="L41" s="13">
        <f>EXP(2.1)</f>
        <v>8.1661699125676517</v>
      </c>
    </row>
    <row r="42" spans="1:12" x14ac:dyDescent="0.25">
      <c r="A42" s="11" t="s">
        <v>111</v>
      </c>
      <c r="B42" s="11" t="s">
        <v>367</v>
      </c>
      <c r="C42" s="11" t="s">
        <v>244</v>
      </c>
      <c r="D42" s="11" t="s">
        <v>404</v>
      </c>
      <c r="E42" s="11" t="s">
        <v>24</v>
      </c>
      <c r="F42" s="11" t="s">
        <v>37</v>
      </c>
      <c r="G42" s="11">
        <v>133</v>
      </c>
      <c r="H42" s="13">
        <f>EXP(1.1)</f>
        <v>3.0041660239464334</v>
      </c>
      <c r="I42" s="13">
        <f t="shared" si="2"/>
        <v>0.81772621226982234</v>
      </c>
      <c r="J42" s="13">
        <f t="shared" si="3"/>
        <v>1.4954922314597094</v>
      </c>
      <c r="K42" s="13">
        <f>EXP(-0.7)</f>
        <v>0.49658530379140953</v>
      </c>
      <c r="L42" s="13">
        <f>EXP(3)</f>
        <v>20.085536923187668</v>
      </c>
    </row>
    <row r="43" spans="1:12" x14ac:dyDescent="0.25">
      <c r="A43" s="11" t="s">
        <v>112</v>
      </c>
      <c r="B43" s="11" t="s">
        <v>367</v>
      </c>
      <c r="C43" s="11" t="s">
        <v>244</v>
      </c>
      <c r="D43" s="11" t="s">
        <v>404</v>
      </c>
      <c r="E43" s="11" t="s">
        <v>374</v>
      </c>
      <c r="F43" s="11" t="s">
        <v>37</v>
      </c>
      <c r="G43" s="11">
        <v>133</v>
      </c>
      <c r="H43" s="13">
        <f>EXP(0.1)</f>
        <v>1.1051709180756477</v>
      </c>
      <c r="I43" s="13">
        <f t="shared" si="2"/>
        <v>1.9753778573451362</v>
      </c>
      <c r="J43" s="13">
        <f t="shared" si="3"/>
        <v>0.25627110256246566</v>
      </c>
      <c r="K43" s="13">
        <f>EXP(-1.5)</f>
        <v>0.22313016014842982</v>
      </c>
      <c r="L43" s="13">
        <f>EXP(1.8)</f>
        <v>6.0496474644129465</v>
      </c>
    </row>
    <row r="44" spans="1:12" x14ac:dyDescent="0.25">
      <c r="A44" s="11" t="s">
        <v>113</v>
      </c>
      <c r="B44" s="11" t="s">
        <v>367</v>
      </c>
      <c r="C44" s="11" t="s">
        <v>244</v>
      </c>
      <c r="D44" s="11" t="s">
        <v>404</v>
      </c>
      <c r="E44" s="11" t="s">
        <v>317</v>
      </c>
      <c r="F44" s="11" t="s">
        <v>37</v>
      </c>
      <c r="G44" s="11">
        <v>133</v>
      </c>
      <c r="H44" s="13">
        <f>EXP(-0.2)</f>
        <v>0.81873075307798182</v>
      </c>
      <c r="I44" s="13">
        <f t="shared" si="2"/>
        <v>2.7618288471653756</v>
      </c>
      <c r="J44" s="13">
        <f t="shared" si="3"/>
        <v>0.13110114268101203</v>
      </c>
      <c r="K44" s="13">
        <f>EXP(-1.2)</f>
        <v>0.30119421191220214</v>
      </c>
      <c r="L44" s="13">
        <f>EXP(0.8)</f>
        <v>2.2255409284924679</v>
      </c>
    </row>
    <row r="45" spans="1:12" x14ac:dyDescent="0.25">
      <c r="A45" s="11" t="s">
        <v>124</v>
      </c>
      <c r="B45" s="11" t="s">
        <v>372</v>
      </c>
      <c r="C45" s="11" t="s">
        <v>181</v>
      </c>
      <c r="D45" s="11" t="s">
        <v>404</v>
      </c>
      <c r="E45" s="11" t="s">
        <v>24</v>
      </c>
      <c r="F45" s="11" t="s">
        <v>61</v>
      </c>
      <c r="G45" s="11">
        <v>77</v>
      </c>
      <c r="H45" s="18">
        <f>EXP(0.39)</f>
        <v>1.4769807938826427</v>
      </c>
      <c r="I45" s="13">
        <f t="shared" si="2"/>
        <v>2.1539906079597646</v>
      </c>
      <c r="J45" s="13">
        <f t="shared" si="3"/>
        <v>0.2155323128860383</v>
      </c>
      <c r="K45" s="18">
        <f>EXP(0.2)</f>
        <v>1.2214027581601699</v>
      </c>
      <c r="L45" s="18">
        <f>EXP(0.58)</f>
        <v>1.7860384307500734</v>
      </c>
    </row>
    <row r="46" spans="1:12" x14ac:dyDescent="0.25">
      <c r="A46" s="11" t="s">
        <v>127</v>
      </c>
      <c r="B46" s="11" t="s">
        <v>369</v>
      </c>
      <c r="C46" s="11" t="s">
        <v>181</v>
      </c>
      <c r="D46" s="11" t="s">
        <v>404</v>
      </c>
      <c r="E46" s="11" t="s">
        <v>19</v>
      </c>
      <c r="F46" s="11" t="s">
        <v>61</v>
      </c>
      <c r="G46" s="11">
        <v>77</v>
      </c>
      <c r="H46" s="18">
        <f>EXP(0.07)</f>
        <v>1.0725081812542165</v>
      </c>
      <c r="I46" s="13">
        <f t="shared" si="2"/>
        <v>2.6220254895189923</v>
      </c>
      <c r="J46" s="13">
        <f t="shared" si="3"/>
        <v>0.14545417165980756</v>
      </c>
      <c r="K46" s="18">
        <f>EXP(-0.16)</f>
        <v>0.85214378896621135</v>
      </c>
      <c r="L46" s="18">
        <f>EXP(0.29)</f>
        <v>1.3364274880254721</v>
      </c>
    </row>
    <row r="47" spans="1:12" x14ac:dyDescent="0.25">
      <c r="A47" s="11" t="s">
        <v>130</v>
      </c>
      <c r="B47" s="11" t="s">
        <v>369</v>
      </c>
      <c r="C47" s="11" t="s">
        <v>181</v>
      </c>
      <c r="D47" s="11" t="s">
        <v>404</v>
      </c>
      <c r="E47" s="11" t="s">
        <v>26</v>
      </c>
      <c r="F47" s="11" t="s">
        <v>61</v>
      </c>
      <c r="G47" s="11">
        <v>77</v>
      </c>
      <c r="H47" s="18">
        <f>EXP(0.14)</f>
        <v>1.1502737988572274</v>
      </c>
      <c r="I47" s="13">
        <f t="shared" si="2"/>
        <v>2.5145263873518462</v>
      </c>
      <c r="J47" s="13">
        <f t="shared" si="3"/>
        <v>0.15815670379330865</v>
      </c>
      <c r="K47" s="18">
        <f>EXP(-0.07)</f>
        <v>0.93239381990594827</v>
      </c>
      <c r="L47" s="18">
        <f>EXP(0.36)</f>
        <v>1.4333294145603401</v>
      </c>
    </row>
    <row r="48" spans="1:12" x14ac:dyDescent="0.25">
      <c r="A48" s="11" t="s">
        <v>115</v>
      </c>
      <c r="B48" s="11" t="s">
        <v>368</v>
      </c>
      <c r="C48" s="11" t="s">
        <v>181</v>
      </c>
      <c r="D48" s="11" t="s">
        <v>404</v>
      </c>
      <c r="E48" s="11" t="s">
        <v>24</v>
      </c>
      <c r="F48" s="11" t="s">
        <v>61</v>
      </c>
      <c r="G48" s="11">
        <v>77</v>
      </c>
      <c r="H48" s="18">
        <f>EXP(0.07)</f>
        <v>1.0725081812542165</v>
      </c>
      <c r="I48" s="13">
        <f t="shared" si="2"/>
        <v>2.6968501224144643</v>
      </c>
      <c r="J48" s="13">
        <f t="shared" si="3"/>
        <v>0.1374948329262424</v>
      </c>
      <c r="K48" s="18">
        <f>EXP(-0.07)</f>
        <v>0.93239381990594827</v>
      </c>
      <c r="L48" s="18">
        <f>EXP(0.21)</f>
        <v>1.2336780599567432</v>
      </c>
    </row>
    <row r="49" spans="1:12" x14ac:dyDescent="0.25">
      <c r="A49" s="11" t="s">
        <v>133</v>
      </c>
      <c r="B49" s="11" t="s">
        <v>369</v>
      </c>
      <c r="C49" s="11" t="s">
        <v>181</v>
      </c>
      <c r="D49" s="11" t="s">
        <v>404</v>
      </c>
      <c r="E49" s="11" t="s">
        <v>24</v>
      </c>
      <c r="F49" s="11" t="s">
        <v>61</v>
      </c>
      <c r="G49" s="11">
        <v>77</v>
      </c>
      <c r="H49" s="18">
        <f>EXP(0.36)</f>
        <v>1.4333294145603401</v>
      </c>
      <c r="I49" s="13">
        <f t="shared" si="2"/>
        <v>2.1780298450694082</v>
      </c>
      <c r="J49" s="13">
        <f t="shared" si="3"/>
        <v>0.21080084479122488</v>
      </c>
      <c r="K49" s="18">
        <f>EXP(0.15)</f>
        <v>1.1618342427282831</v>
      </c>
      <c r="L49" s="18">
        <f>EXP(0.56)</f>
        <v>1.7506725002961012</v>
      </c>
    </row>
    <row r="50" spans="1:12" x14ac:dyDescent="0.25">
      <c r="A50" s="11" t="s">
        <v>137</v>
      </c>
      <c r="B50" s="11" t="s">
        <v>370</v>
      </c>
      <c r="C50" s="11" t="s">
        <v>181</v>
      </c>
      <c r="D50" s="11" t="s">
        <v>404</v>
      </c>
      <c r="E50" s="11" t="s">
        <v>19</v>
      </c>
      <c r="F50" s="11" t="s">
        <v>61</v>
      </c>
      <c r="G50" s="11">
        <v>77</v>
      </c>
      <c r="H50" s="18">
        <f>EXP(0.06)</f>
        <v>1.0618365465453596</v>
      </c>
      <c r="I50" s="13">
        <f t="shared" si="2"/>
        <v>2.6895233024215113</v>
      </c>
      <c r="J50" s="13">
        <f t="shared" si="3"/>
        <v>0.13824498227289808</v>
      </c>
      <c r="K50" s="18">
        <f>EXP(-0.11)</f>
        <v>0.89583413529652822</v>
      </c>
      <c r="L50" s="18">
        <f>EXP(0.23)</f>
        <v>1.2586000099294778</v>
      </c>
    </row>
    <row r="51" spans="1:12" x14ac:dyDescent="0.25">
      <c r="A51" s="11" t="s">
        <v>140</v>
      </c>
      <c r="B51" s="11" t="s">
        <v>370</v>
      </c>
      <c r="C51" s="11" t="s">
        <v>181</v>
      </c>
      <c r="D51" s="11" t="s">
        <v>404</v>
      </c>
      <c r="E51" s="11" t="s">
        <v>26</v>
      </c>
      <c r="F51" s="11" t="s">
        <v>61</v>
      </c>
      <c r="G51" s="11">
        <v>77</v>
      </c>
      <c r="H51" s="18">
        <f>EXP(0.16)</f>
        <v>1.1735108709918103</v>
      </c>
      <c r="I51" s="13">
        <f t="shared" si="2"/>
        <v>2.5309098027988317</v>
      </c>
      <c r="J51" s="13">
        <f t="shared" si="3"/>
        <v>0.15611572998554757</v>
      </c>
      <c r="K51" s="18">
        <f>EXP(0.01)</f>
        <v>1.0100501670841679</v>
      </c>
      <c r="L51" s="18">
        <f>EXP(0.32)</f>
        <v>1.3771277643359572</v>
      </c>
    </row>
    <row r="52" spans="1:12" x14ac:dyDescent="0.25">
      <c r="A52" s="11" t="s">
        <v>143</v>
      </c>
      <c r="B52" s="11" t="s">
        <v>370</v>
      </c>
      <c r="C52" s="11" t="s">
        <v>181</v>
      </c>
      <c r="D52" s="11" t="s">
        <v>404</v>
      </c>
      <c r="E52" s="11" t="s">
        <v>24</v>
      </c>
      <c r="F52" s="11" t="s">
        <v>61</v>
      </c>
      <c r="G52" s="11">
        <v>77</v>
      </c>
      <c r="H52" s="13">
        <f>EXP(0.21)</f>
        <v>1.2336780599567432</v>
      </c>
      <c r="I52" s="13">
        <f t="shared" si="2"/>
        <v>2.4494530985266247</v>
      </c>
      <c r="J52" s="13">
        <f t="shared" si="3"/>
        <v>0.16667165343026677</v>
      </c>
      <c r="K52" s="13">
        <f>EXP(0.06)</f>
        <v>1.0618365465453596</v>
      </c>
      <c r="L52" s="13">
        <f>EXP(0.37)</f>
        <v>1.4477346146633245</v>
      </c>
    </row>
    <row r="53" spans="1:12" x14ac:dyDescent="0.25">
      <c r="A53" s="11" t="s">
        <v>145</v>
      </c>
      <c r="B53" s="11" t="s">
        <v>368</v>
      </c>
      <c r="C53" s="11" t="s">
        <v>181</v>
      </c>
      <c r="D53" s="11" t="s">
        <v>404</v>
      </c>
      <c r="E53" s="11" t="s">
        <v>19</v>
      </c>
      <c r="F53" s="11" t="s">
        <v>61</v>
      </c>
      <c r="G53" s="11">
        <v>77</v>
      </c>
      <c r="H53" s="18">
        <f>EXP(0.01)</f>
        <v>1.0100501670841679</v>
      </c>
      <c r="I53" s="13">
        <f t="shared" si="2"/>
        <v>2.8098559095471756</v>
      </c>
      <c r="J53" s="13">
        <f t="shared" si="3"/>
        <v>0.12665778844887943</v>
      </c>
      <c r="K53" s="18">
        <f>EXP(-0.13)</f>
        <v>0.8780954309205613</v>
      </c>
      <c r="L53" s="18">
        <f>EXP(0.16)</f>
        <v>1.1735108709918103</v>
      </c>
    </row>
    <row r="54" spans="1:12" x14ac:dyDescent="0.25">
      <c r="A54" s="11" t="s">
        <v>147</v>
      </c>
      <c r="B54" s="11" t="s">
        <v>371</v>
      </c>
      <c r="C54" s="11" t="s">
        <v>181</v>
      </c>
      <c r="D54" s="11" t="s">
        <v>404</v>
      </c>
      <c r="E54" s="11" t="s">
        <v>19</v>
      </c>
      <c r="F54" s="11" t="s">
        <v>61</v>
      </c>
      <c r="G54" s="11">
        <v>77</v>
      </c>
      <c r="H54" s="13">
        <f>EXP(-0.03)</f>
        <v>0.97044553354850815</v>
      </c>
      <c r="I54" s="13">
        <f t="shared" si="2"/>
        <v>2.8977863174694543</v>
      </c>
      <c r="J54" s="13">
        <f t="shared" si="3"/>
        <v>0.11908780350136829</v>
      </c>
      <c r="K54" s="13">
        <f>EXP(-0.16)</f>
        <v>0.85214378896621135</v>
      </c>
      <c r="L54" s="13">
        <f>EXP(0.09)</f>
        <v>1.0941742837052104</v>
      </c>
    </row>
    <row r="55" spans="1:12" x14ac:dyDescent="0.25">
      <c r="A55" s="11" t="s">
        <v>150</v>
      </c>
      <c r="B55" s="11" t="s">
        <v>371</v>
      </c>
      <c r="C55" s="11" t="s">
        <v>181</v>
      </c>
      <c r="D55" s="11" t="s">
        <v>404</v>
      </c>
      <c r="E55" s="11" t="s">
        <v>26</v>
      </c>
      <c r="F55" s="11" t="s">
        <v>61</v>
      </c>
      <c r="G55" s="11">
        <v>77</v>
      </c>
      <c r="H55" s="13">
        <f>EXP(-0.02)</f>
        <v>0.98019867330675525</v>
      </c>
      <c r="I55" s="13">
        <f t="shared" si="2"/>
        <v>2.89542876174897</v>
      </c>
      <c r="J55" s="13">
        <f t="shared" si="3"/>
        <v>0.11928181306337139</v>
      </c>
      <c r="K55" s="13">
        <f>EXP(-0.13)</f>
        <v>0.8780954309205613</v>
      </c>
      <c r="L55" s="13">
        <f>EXP(0.1)</f>
        <v>1.1051709180756477</v>
      </c>
    </row>
    <row r="56" spans="1:12" x14ac:dyDescent="0.25">
      <c r="A56" s="11" t="s">
        <v>153</v>
      </c>
      <c r="B56" s="11" t="s">
        <v>371</v>
      </c>
      <c r="C56" s="11" t="s">
        <v>181</v>
      </c>
      <c r="D56" s="11" t="s">
        <v>404</v>
      </c>
      <c r="E56" s="11" t="s">
        <v>24</v>
      </c>
      <c r="F56" s="11" t="s">
        <v>61</v>
      </c>
      <c r="G56" s="11">
        <v>77</v>
      </c>
      <c r="H56" s="13">
        <f>EXP(0.06)</f>
        <v>1.0618365465453596</v>
      </c>
      <c r="I56" s="13">
        <f t="shared" si="2"/>
        <v>2.7327789225422849</v>
      </c>
      <c r="J56" s="13">
        <f t="shared" si="3"/>
        <v>0.1339032139947684</v>
      </c>
      <c r="K56" s="13">
        <f>EXP(-0.06)</f>
        <v>0.94176453358424872</v>
      </c>
      <c r="L56" s="13">
        <f>EXP(0.18)</f>
        <v>1.1972173631218102</v>
      </c>
    </row>
    <row r="57" spans="1:12" x14ac:dyDescent="0.25">
      <c r="A57" s="11" t="s">
        <v>157</v>
      </c>
      <c r="B57" s="11" t="s">
        <v>368</v>
      </c>
      <c r="C57" s="11" t="s">
        <v>181</v>
      </c>
      <c r="D57" s="11" t="s">
        <v>404</v>
      </c>
      <c r="E57" s="11" t="s">
        <v>26</v>
      </c>
      <c r="F57" s="11" t="s">
        <v>61</v>
      </c>
      <c r="G57" s="11">
        <v>77</v>
      </c>
      <c r="H57" s="18">
        <f>EXP(0.003)</f>
        <v>1.0030045045033771</v>
      </c>
      <c r="I57" s="13">
        <f t="shared" si="2"/>
        <v>2.8208828800820998</v>
      </c>
      <c r="J57" s="13">
        <f t="shared" si="3"/>
        <v>0.12566950076005823</v>
      </c>
      <c r="K57" s="18">
        <f>EXP(-0.14)</f>
        <v>0.86935823539880586</v>
      </c>
      <c r="L57" s="18">
        <f>EXP(0.15)</f>
        <v>1.1618342427282831</v>
      </c>
    </row>
    <row r="58" spans="1:12" x14ac:dyDescent="0.25">
      <c r="A58" s="11" t="s">
        <v>118</v>
      </c>
      <c r="B58" s="11" t="s">
        <v>372</v>
      </c>
      <c r="C58" s="11" t="s">
        <v>181</v>
      </c>
      <c r="D58" s="11" t="s">
        <v>404</v>
      </c>
      <c r="E58" s="11" t="s">
        <v>19</v>
      </c>
      <c r="F58" s="11" t="s">
        <v>61</v>
      </c>
      <c r="G58" s="11">
        <v>77</v>
      </c>
      <c r="H58" s="18">
        <f>EXP(0.13)</f>
        <v>1.1388283833246218</v>
      </c>
      <c r="I58" s="13">
        <f t="shared" si="2"/>
        <v>2.5316512905744872</v>
      </c>
      <c r="J58" s="13">
        <f t="shared" si="3"/>
        <v>0.1560242948390016</v>
      </c>
      <c r="K58" s="18">
        <f>EXP(-0.08)</f>
        <v>0.92311634638663576</v>
      </c>
      <c r="L58" s="18">
        <f>EXP(0.34)</f>
        <v>1.4049475905635938</v>
      </c>
    </row>
    <row r="59" spans="1:12" x14ac:dyDescent="0.25">
      <c r="A59" s="11" t="s">
        <v>121</v>
      </c>
      <c r="B59" s="11" t="s">
        <v>372</v>
      </c>
      <c r="C59" s="11" t="s">
        <v>181</v>
      </c>
      <c r="D59" s="11" t="s">
        <v>404</v>
      </c>
      <c r="E59" s="11" t="s">
        <v>26</v>
      </c>
      <c r="F59" s="11" t="s">
        <v>61</v>
      </c>
      <c r="G59" s="11">
        <v>77</v>
      </c>
      <c r="H59" s="18">
        <f>EXP(0.27)</f>
        <v>1.3099644507332473</v>
      </c>
      <c r="I59" s="13">
        <f t="shared" si="2"/>
        <v>2.3149545619782144</v>
      </c>
      <c r="J59" s="13">
        <f t="shared" si="3"/>
        <v>0.18660146876948863</v>
      </c>
      <c r="K59" s="18">
        <f>EXP(0.07)</f>
        <v>1.0725081812542165</v>
      </c>
      <c r="L59" s="18">
        <f>EXP(0.46)</f>
        <v>1.5840739849944818</v>
      </c>
    </row>
    <row r="60" spans="1:12" x14ac:dyDescent="0.25">
      <c r="A60" s="17" t="s">
        <v>229</v>
      </c>
      <c r="B60" s="11" t="s">
        <v>365</v>
      </c>
      <c r="C60" s="11" t="s">
        <v>244</v>
      </c>
      <c r="D60" s="11" t="s">
        <v>405</v>
      </c>
      <c r="E60" s="11" t="s">
        <v>406</v>
      </c>
      <c r="F60" s="11" t="s">
        <v>245</v>
      </c>
      <c r="G60" s="11">
        <v>171</v>
      </c>
      <c r="H60" s="13">
        <f>EXP(1.24)</f>
        <v>3.4556134647626755</v>
      </c>
      <c r="I60" s="13">
        <f t="shared" si="2"/>
        <v>0.90340956086727264</v>
      </c>
      <c r="J60" s="13">
        <f t="shared" si="3"/>
        <v>1.2252667130361719</v>
      </c>
      <c r="K60" s="13">
        <f>EXP(0.15)</f>
        <v>1.1618342427282831</v>
      </c>
      <c r="L60" s="13">
        <f>EXP(2.34)</f>
        <v>10.381236562731843</v>
      </c>
    </row>
    <row r="61" spans="1:12" x14ac:dyDescent="0.25">
      <c r="A61" s="17" t="s">
        <v>230</v>
      </c>
      <c r="B61" s="11" t="s">
        <v>365</v>
      </c>
      <c r="C61" s="11" t="s">
        <v>244</v>
      </c>
      <c r="D61" s="11" t="s">
        <v>405</v>
      </c>
      <c r="E61" s="11" t="s">
        <v>317</v>
      </c>
      <c r="F61" s="11" t="s">
        <v>245</v>
      </c>
      <c r="G61" s="11">
        <v>171</v>
      </c>
      <c r="H61" s="13">
        <f>EXP(1.29)</f>
        <v>3.6327865557528094</v>
      </c>
      <c r="I61" s="13">
        <f t="shared" si="2"/>
        <v>0.86256399127816752</v>
      </c>
      <c r="J61" s="13">
        <f t="shared" si="3"/>
        <v>1.3440559626156021</v>
      </c>
      <c r="K61" s="13">
        <f>EXP(0.16)</f>
        <v>1.1735108709918103</v>
      </c>
      <c r="L61" s="13">
        <f>EXP(2.41)</f>
        <v>11.133961145065307</v>
      </c>
    </row>
    <row r="62" spans="1:12" x14ac:dyDescent="0.25">
      <c r="A62" s="17" t="s">
        <v>231</v>
      </c>
      <c r="B62" s="11" t="s">
        <v>365</v>
      </c>
      <c r="C62" s="11" t="s">
        <v>244</v>
      </c>
      <c r="D62" s="11" t="s">
        <v>405</v>
      </c>
      <c r="E62" s="11" t="s">
        <v>24</v>
      </c>
      <c r="F62" s="11" t="s">
        <v>245</v>
      </c>
      <c r="G62" s="11">
        <v>159</v>
      </c>
      <c r="H62" s="13">
        <f>EXP(2.4)</f>
        <v>11.023176380641601</v>
      </c>
      <c r="I62" s="13">
        <f t="shared" si="2"/>
        <v>0.52426299877730598</v>
      </c>
      <c r="J62" s="13">
        <f t="shared" si="3"/>
        <v>3.6383257935746207</v>
      </c>
      <c r="K62" s="13">
        <f>EXP(1.34)</f>
        <v>3.8190435053663361</v>
      </c>
      <c r="L62" s="13">
        <f>EXP(3.46)</f>
        <v>31.81697651466769</v>
      </c>
    </row>
    <row r="63" spans="1:12" x14ac:dyDescent="0.25">
      <c r="A63" s="17" t="s">
        <v>232</v>
      </c>
      <c r="B63" s="11" t="s">
        <v>365</v>
      </c>
      <c r="C63" s="11" t="s">
        <v>244</v>
      </c>
      <c r="D63" s="11" t="s">
        <v>405</v>
      </c>
      <c r="E63" s="11" t="s">
        <v>374</v>
      </c>
      <c r="F63" s="11" t="s">
        <v>245</v>
      </c>
      <c r="G63" s="11">
        <v>171</v>
      </c>
      <c r="H63" s="13">
        <f>EXP(1.03)</f>
        <v>2.8010658346990791</v>
      </c>
      <c r="I63" s="13">
        <f t="shared" si="2"/>
        <v>0.98911786065457941</v>
      </c>
      <c r="J63" s="13">
        <f t="shared" si="3"/>
        <v>1.0221247672994727</v>
      </c>
      <c r="K63" s="13">
        <f>EXP(-0.21)</f>
        <v>0.81058424597018708</v>
      </c>
      <c r="L63" s="13">
        <f>EXP(2.28)</f>
        <v>9.7766804095289039</v>
      </c>
    </row>
    <row r="64" spans="1:12" x14ac:dyDescent="0.25">
      <c r="A64" s="17" t="s">
        <v>233</v>
      </c>
      <c r="B64" s="11" t="s">
        <v>365</v>
      </c>
      <c r="C64" s="11" t="s">
        <v>244</v>
      </c>
      <c r="D64" s="11" t="s">
        <v>405</v>
      </c>
      <c r="E64" s="11" t="s">
        <v>406</v>
      </c>
      <c r="F64" s="11" t="s">
        <v>245</v>
      </c>
      <c r="G64" s="11">
        <v>171</v>
      </c>
      <c r="H64" s="13">
        <f>EXP(1.75)</f>
        <v>5.7546026760057307</v>
      </c>
      <c r="I64" s="13">
        <f t="shared" si="2"/>
        <v>0.66041595097917638</v>
      </c>
      <c r="J64" s="13">
        <f t="shared" si="3"/>
        <v>2.2927932347376272</v>
      </c>
      <c r="K64" s="13">
        <f>EXP(0.61)</f>
        <v>1.8404313987816374</v>
      </c>
      <c r="L64" s="13">
        <f>EXP(2.88)</f>
        <v>17.814273179612197</v>
      </c>
    </row>
    <row r="65" spans="1:12" x14ac:dyDescent="0.25">
      <c r="A65" s="17" t="s">
        <v>219</v>
      </c>
      <c r="B65" s="11" t="s">
        <v>366</v>
      </c>
      <c r="C65" s="11" t="s">
        <v>228</v>
      </c>
      <c r="D65" s="11" t="s">
        <v>405</v>
      </c>
      <c r="E65" s="11" t="s">
        <v>19</v>
      </c>
      <c r="F65" s="11" t="s">
        <v>61</v>
      </c>
      <c r="G65" s="11">
        <v>125</v>
      </c>
      <c r="H65" s="13">
        <v>0.93</v>
      </c>
      <c r="I65" s="13">
        <f t="shared" si="2"/>
        <v>2.6369892473118277</v>
      </c>
      <c r="J65" s="13">
        <f t="shared" si="3"/>
        <v>0.14380807807867807</v>
      </c>
      <c r="K65" s="13">
        <v>0.4924</v>
      </c>
      <c r="L65" s="13">
        <v>1.7565999999999999</v>
      </c>
    </row>
    <row r="66" spans="1:12" x14ac:dyDescent="0.25">
      <c r="A66" s="17" t="s">
        <v>220</v>
      </c>
      <c r="B66" s="11" t="s">
        <v>366</v>
      </c>
      <c r="C66" s="11" t="s">
        <v>228</v>
      </c>
      <c r="D66" s="11" t="s">
        <v>405</v>
      </c>
      <c r="E66" s="11" t="s">
        <v>26</v>
      </c>
      <c r="F66" s="11" t="s">
        <v>61</v>
      </c>
      <c r="G66" s="11">
        <v>125</v>
      </c>
      <c r="H66" s="13">
        <v>1.2899</v>
      </c>
      <c r="I66" s="13">
        <f t="shared" si="2"/>
        <v>2.0422513373129698</v>
      </c>
      <c r="J66" s="13">
        <f t="shared" si="3"/>
        <v>0.23976270063535618</v>
      </c>
      <c r="K66" s="13">
        <v>0.67430000000000001</v>
      </c>
      <c r="L66" s="13">
        <v>2.4674</v>
      </c>
    </row>
    <row r="67" spans="1:12" x14ac:dyDescent="0.25">
      <c r="A67" s="17" t="s">
        <v>221</v>
      </c>
      <c r="B67" s="11" t="s">
        <v>366</v>
      </c>
      <c r="C67" s="11" t="s">
        <v>228</v>
      </c>
      <c r="D67" s="11" t="s">
        <v>405</v>
      </c>
      <c r="E67" s="11" t="s">
        <v>24</v>
      </c>
      <c r="F67" s="11" t="s">
        <v>61</v>
      </c>
      <c r="G67" s="11">
        <v>125</v>
      </c>
      <c r="H67" s="13">
        <v>0.89680000000000004</v>
      </c>
      <c r="I67" s="13">
        <f t="shared" si="2"/>
        <v>2.7104148082069579</v>
      </c>
      <c r="J67" s="13">
        <f t="shared" si="3"/>
        <v>0.1361220488221821</v>
      </c>
      <c r="K67" s="13">
        <v>0.47070000000000001</v>
      </c>
      <c r="L67" s="13">
        <v>1.7089000000000001</v>
      </c>
    </row>
    <row r="68" spans="1:12" x14ac:dyDescent="0.25">
      <c r="A68" s="11" t="s">
        <v>114</v>
      </c>
      <c r="B68" s="11" t="s">
        <v>368</v>
      </c>
      <c r="C68" s="11" t="s">
        <v>181</v>
      </c>
      <c r="D68" s="11" t="s">
        <v>405</v>
      </c>
      <c r="E68" s="11" t="s">
        <v>24</v>
      </c>
      <c r="F68" s="11" t="s">
        <v>61</v>
      </c>
      <c r="G68" s="11">
        <v>153</v>
      </c>
      <c r="H68" s="18">
        <f>EXP(0.01)</f>
        <v>1.0100501670841679</v>
      </c>
      <c r="I68" s="13">
        <f t="shared" ref="I68:I82" si="4">(K68+1.96)/H68</f>
        <v>2.8363318094448977</v>
      </c>
      <c r="J68" s="13">
        <f t="shared" ref="J68:J82" si="5">1/((I68)^2)</f>
        <v>0.12430423604406519</v>
      </c>
      <c r="K68" s="18">
        <f>EXP(-0.1)</f>
        <v>0.90483741803595952</v>
      </c>
      <c r="L68" s="18">
        <f>EXP(0.11)</f>
        <v>1.1162780704588713</v>
      </c>
    </row>
    <row r="69" spans="1:12" x14ac:dyDescent="0.25">
      <c r="A69" s="11" t="s">
        <v>123</v>
      </c>
      <c r="B69" s="11" t="s">
        <v>372</v>
      </c>
      <c r="C69" s="11" t="s">
        <v>181</v>
      </c>
      <c r="D69" s="11" t="s">
        <v>405</v>
      </c>
      <c r="E69" s="11" t="s">
        <v>24</v>
      </c>
      <c r="F69" s="11" t="s">
        <v>61</v>
      </c>
      <c r="G69" s="11">
        <v>153</v>
      </c>
      <c r="H69" s="18">
        <f>EXP(0.22)</f>
        <v>1.2460767305873808</v>
      </c>
      <c r="I69" s="13">
        <f t="shared" si="4"/>
        <v>2.4166016606028418</v>
      </c>
      <c r="J69" s="13">
        <f t="shared" si="5"/>
        <v>0.17123394440205245</v>
      </c>
      <c r="K69" s="18">
        <f>EXP(0.05)</f>
        <v>1.0512710963760241</v>
      </c>
      <c r="L69" s="18">
        <f>EXP(0.38)</f>
        <v>1.4622845894342245</v>
      </c>
    </row>
    <row r="70" spans="1:12" x14ac:dyDescent="0.25">
      <c r="A70" s="11" t="s">
        <v>126</v>
      </c>
      <c r="B70" s="11" t="s">
        <v>369</v>
      </c>
      <c r="C70" s="11" t="s">
        <v>181</v>
      </c>
      <c r="D70" s="11" t="s">
        <v>405</v>
      </c>
      <c r="E70" s="11" t="s">
        <v>19</v>
      </c>
      <c r="F70" s="11" t="s">
        <v>61</v>
      </c>
      <c r="G70" s="11">
        <v>153</v>
      </c>
      <c r="H70" s="18">
        <f>EXP(0.02)</f>
        <v>1.0202013400267558</v>
      </c>
      <c r="I70" s="13">
        <f t="shared" si="4"/>
        <v>2.7564596110925126</v>
      </c>
      <c r="J70" s="13">
        <f t="shared" si="5"/>
        <v>0.13161237712721949</v>
      </c>
      <c r="K70" s="18">
        <f>EXP(-0.16)</f>
        <v>0.85214378896621135</v>
      </c>
      <c r="L70" s="18">
        <f>EXP(0.21)</f>
        <v>1.2336780599567432</v>
      </c>
    </row>
    <row r="71" spans="1:12" x14ac:dyDescent="0.25">
      <c r="A71" s="11" t="s">
        <v>129</v>
      </c>
      <c r="B71" s="11" t="s">
        <v>369</v>
      </c>
      <c r="C71" s="11" t="s">
        <v>181</v>
      </c>
      <c r="D71" s="11" t="s">
        <v>405</v>
      </c>
      <c r="E71" s="11" t="s">
        <v>26</v>
      </c>
      <c r="F71" s="11" t="s">
        <v>61</v>
      </c>
      <c r="G71" s="11">
        <v>153</v>
      </c>
      <c r="H71" s="18">
        <f>EXP(0.04)</f>
        <v>1.0408107741923882</v>
      </c>
      <c r="I71" s="13">
        <f t="shared" si="4"/>
        <v>2.7268121173349376</v>
      </c>
      <c r="J71" s="13">
        <f t="shared" si="5"/>
        <v>0.13448986867963089</v>
      </c>
      <c r="K71" s="18">
        <f>EXP(-0.13)</f>
        <v>0.8780954309205613</v>
      </c>
      <c r="L71" s="18">
        <f>EXP(0.22)</f>
        <v>1.2460767305873808</v>
      </c>
    </row>
    <row r="72" spans="1:12" x14ac:dyDescent="0.25">
      <c r="A72" s="11" t="s">
        <v>132</v>
      </c>
      <c r="B72" s="11" t="s">
        <v>369</v>
      </c>
      <c r="C72" s="11" t="s">
        <v>181</v>
      </c>
      <c r="D72" s="11" t="s">
        <v>405</v>
      </c>
      <c r="E72" s="11" t="s">
        <v>24</v>
      </c>
      <c r="F72" s="11" t="s">
        <v>61</v>
      </c>
      <c r="G72" s="11">
        <v>153</v>
      </c>
      <c r="H72" s="18">
        <f>EXP(0.19)</f>
        <v>1.2092495976572515</v>
      </c>
      <c r="I72" s="13">
        <f t="shared" si="4"/>
        <v>2.4645047191253737</v>
      </c>
      <c r="J72" s="13">
        <f t="shared" si="5"/>
        <v>0.16464202226770797</v>
      </c>
      <c r="K72" s="18">
        <f>EXP(0.02)</f>
        <v>1.0202013400267558</v>
      </c>
      <c r="L72" s="18">
        <f>EXP(0.37)</f>
        <v>1.4477346146633245</v>
      </c>
    </row>
    <row r="73" spans="1:12" x14ac:dyDescent="0.25">
      <c r="A73" s="11" t="s">
        <v>135</v>
      </c>
      <c r="B73" s="11" t="s">
        <v>368</v>
      </c>
      <c r="C73" s="11" t="s">
        <v>181</v>
      </c>
      <c r="D73" s="11" t="s">
        <v>405</v>
      </c>
      <c r="E73" s="11" t="s">
        <v>19</v>
      </c>
      <c r="F73" s="11" t="s">
        <v>61</v>
      </c>
      <c r="G73" s="11">
        <v>153</v>
      </c>
      <c r="H73" s="18">
        <f>EXP(0.03)</f>
        <v>1.0304545339535169</v>
      </c>
      <c r="I73" s="13">
        <f t="shared" si="4"/>
        <v>2.797907381051604</v>
      </c>
      <c r="J73" s="13">
        <f t="shared" si="5"/>
        <v>0.12774188841199688</v>
      </c>
      <c r="K73" s="18">
        <f>EXP(-0.08)</f>
        <v>0.92311634638663576</v>
      </c>
      <c r="L73" s="18">
        <f>EXP(0.15)</f>
        <v>1.1618342427282831</v>
      </c>
    </row>
    <row r="74" spans="1:12" x14ac:dyDescent="0.25">
      <c r="A74" s="11" t="s">
        <v>136</v>
      </c>
      <c r="B74" s="11" t="s">
        <v>370</v>
      </c>
      <c r="C74" s="11" t="s">
        <v>181</v>
      </c>
      <c r="D74" s="11" t="s">
        <v>405</v>
      </c>
      <c r="E74" s="11" t="s">
        <v>19</v>
      </c>
      <c r="F74" s="11" t="s">
        <v>61</v>
      </c>
      <c r="G74" s="11">
        <v>153</v>
      </c>
      <c r="H74" s="18">
        <f>EXP(0.02)</f>
        <v>1.0202013400267558</v>
      </c>
      <c r="I74" s="13">
        <f t="shared" si="4"/>
        <v>2.7905476350800464</v>
      </c>
      <c r="J74" s="13">
        <f t="shared" si="5"/>
        <v>0.12841658580995591</v>
      </c>
      <c r="K74" s="18">
        <f>EXP(-0.12)</f>
        <v>0.88692043671715748</v>
      </c>
      <c r="L74" s="18">
        <f>EXP(0.15)</f>
        <v>1.1618342427282831</v>
      </c>
    </row>
    <row r="75" spans="1:12" x14ac:dyDescent="0.25">
      <c r="A75" s="11" t="s">
        <v>139</v>
      </c>
      <c r="B75" s="11" t="s">
        <v>370</v>
      </c>
      <c r="C75" s="11" t="s">
        <v>181</v>
      </c>
      <c r="D75" s="11" t="s">
        <v>405</v>
      </c>
      <c r="E75" s="11" t="s">
        <v>26</v>
      </c>
      <c r="F75" s="11" t="s">
        <v>61</v>
      </c>
      <c r="G75" s="11">
        <v>153</v>
      </c>
      <c r="H75" s="18">
        <f>EXP(0.08)</f>
        <v>1.0832870676749586</v>
      </c>
      <c r="I75" s="13">
        <f t="shared" si="4"/>
        <v>2.6962284756349635</v>
      </c>
      <c r="J75" s="13">
        <f t="shared" si="5"/>
        <v>0.13755824229550076</v>
      </c>
      <c r="K75" s="18">
        <f>EXP(-0.04)</f>
        <v>0.96078943915232318</v>
      </c>
      <c r="L75" s="18">
        <f>EXP(0.21)</f>
        <v>1.2336780599567432</v>
      </c>
    </row>
    <row r="76" spans="1:12" x14ac:dyDescent="0.25">
      <c r="A76" s="11" t="s">
        <v>142</v>
      </c>
      <c r="B76" s="11" t="s">
        <v>370</v>
      </c>
      <c r="C76" s="11" t="s">
        <v>181</v>
      </c>
      <c r="D76" s="11" t="s">
        <v>405</v>
      </c>
      <c r="E76" s="11" t="s">
        <v>24</v>
      </c>
      <c r="F76" s="11" t="s">
        <v>61</v>
      </c>
      <c r="G76" s="11">
        <v>153</v>
      </c>
      <c r="H76" s="18">
        <f>EXP(0.07)</f>
        <v>1.0725081812542165</v>
      </c>
      <c r="I76" s="13">
        <f t="shared" si="4"/>
        <v>2.70558731793622</v>
      </c>
      <c r="J76" s="13">
        <f t="shared" si="5"/>
        <v>0.13660823835135213</v>
      </c>
      <c r="K76" s="18">
        <f>EXP(-0.06)</f>
        <v>0.94176453358424872</v>
      </c>
      <c r="L76" s="18">
        <f>EXP(0.2)</f>
        <v>1.2214027581601699</v>
      </c>
    </row>
    <row r="77" spans="1:12" x14ac:dyDescent="0.25">
      <c r="A77" s="11" t="s">
        <v>146</v>
      </c>
      <c r="B77" s="11" t="s">
        <v>371</v>
      </c>
      <c r="C77" s="11" t="s">
        <v>181</v>
      </c>
      <c r="D77" s="11" t="s">
        <v>405</v>
      </c>
      <c r="E77" s="11" t="s">
        <v>19</v>
      </c>
      <c r="F77" s="11" t="s">
        <v>61</v>
      </c>
      <c r="G77" s="11">
        <v>153</v>
      </c>
      <c r="H77" s="13">
        <f>EXP(0.02)</f>
        <v>1.0202013400267558</v>
      </c>
      <c r="I77" s="13">
        <f t="shared" si="4"/>
        <v>2.8260268177171999</v>
      </c>
      <c r="J77" s="13">
        <f t="shared" si="5"/>
        <v>0.1252124295471389</v>
      </c>
      <c r="K77" s="13">
        <f>EXP(-0.08)</f>
        <v>0.92311634638663576</v>
      </c>
      <c r="L77" s="13">
        <f>EXP(0.11)</f>
        <v>1.1162780704588713</v>
      </c>
    </row>
    <row r="78" spans="1:12" x14ac:dyDescent="0.25">
      <c r="A78" s="11" t="s">
        <v>149</v>
      </c>
      <c r="B78" s="11" t="s">
        <v>371</v>
      </c>
      <c r="C78" s="11" t="s">
        <v>181</v>
      </c>
      <c r="D78" s="11" t="s">
        <v>405</v>
      </c>
      <c r="E78" s="11" t="s">
        <v>26</v>
      </c>
      <c r="F78" s="11" t="s">
        <v>61</v>
      </c>
      <c r="G78" s="11">
        <v>153</v>
      </c>
      <c r="H78" s="13">
        <f>EXP(-0.04)</f>
        <v>0.96078943915232318</v>
      </c>
      <c r="I78" s="13">
        <f t="shared" si="4"/>
        <v>2.9539203026883092</v>
      </c>
      <c r="J78" s="13">
        <f t="shared" si="5"/>
        <v>0.11460470627422888</v>
      </c>
      <c r="K78" s="13">
        <f>EXP(-0.13)</f>
        <v>0.8780954309205613</v>
      </c>
      <c r="L78" s="13">
        <f>EXP(0.05)</f>
        <v>1.0512710963760241</v>
      </c>
    </row>
    <row r="79" spans="1:12" x14ac:dyDescent="0.25">
      <c r="A79" s="11" t="s">
        <v>152</v>
      </c>
      <c r="B79" s="11" t="s">
        <v>371</v>
      </c>
      <c r="C79" s="11" t="s">
        <v>181</v>
      </c>
      <c r="D79" s="11" t="s">
        <v>405</v>
      </c>
      <c r="E79" s="11" t="s">
        <v>24</v>
      </c>
      <c r="F79" s="11" t="s">
        <v>61</v>
      </c>
      <c r="G79" s="11">
        <v>153</v>
      </c>
      <c r="H79" s="13">
        <f>EXP(-0.01)</f>
        <v>0.99004983374916811</v>
      </c>
      <c r="I79" s="13">
        <f t="shared" si="4"/>
        <v>2.8936295127561973</v>
      </c>
      <c r="J79" s="13">
        <f t="shared" si="5"/>
        <v>0.11943019723303543</v>
      </c>
      <c r="K79" s="13">
        <f>EXP(-0.1)</f>
        <v>0.90483741803595952</v>
      </c>
      <c r="L79" s="13">
        <f>EXP(0.08)</f>
        <v>1.0832870676749586</v>
      </c>
    </row>
    <row r="80" spans="1:12" x14ac:dyDescent="0.25">
      <c r="A80" s="11" t="s">
        <v>117</v>
      </c>
      <c r="B80" s="11" t="s">
        <v>372</v>
      </c>
      <c r="C80" s="11" t="s">
        <v>181</v>
      </c>
      <c r="D80" s="11" t="s">
        <v>405</v>
      </c>
      <c r="E80" s="11" t="s">
        <v>19</v>
      </c>
      <c r="F80" s="11" t="s">
        <v>61</v>
      </c>
      <c r="G80" s="11">
        <v>153</v>
      </c>
      <c r="H80" s="18">
        <f>EXP(0.1)</f>
        <v>1.1051709180756477</v>
      </c>
      <c r="I80" s="13">
        <f t="shared" si="4"/>
        <v>2.6087515507617525</v>
      </c>
      <c r="J80" s="13">
        <f t="shared" si="5"/>
        <v>0.14693814725686366</v>
      </c>
      <c r="K80" s="18">
        <f>EXP(-0.08)</f>
        <v>0.92311634638663576</v>
      </c>
      <c r="L80" s="18">
        <f>EXP(0.27)</f>
        <v>1.3099644507332473</v>
      </c>
    </row>
    <row r="81" spans="1:12" x14ac:dyDescent="0.25">
      <c r="A81" s="11" t="s">
        <v>156</v>
      </c>
      <c r="B81" s="11" t="s">
        <v>368</v>
      </c>
      <c r="C81" s="11" t="s">
        <v>181</v>
      </c>
      <c r="D81" s="11" t="s">
        <v>405</v>
      </c>
      <c r="E81" s="11" t="s">
        <v>26</v>
      </c>
      <c r="F81" s="11" t="s">
        <v>61</v>
      </c>
      <c r="G81" s="11">
        <v>153</v>
      </c>
      <c r="H81" s="18">
        <f>EXP(-0.02)</f>
        <v>0.98019867330675525</v>
      </c>
      <c r="I81" s="13">
        <f t="shared" si="4"/>
        <v>2.89542876174897</v>
      </c>
      <c r="J81" s="13">
        <f t="shared" si="5"/>
        <v>0.11928181306337139</v>
      </c>
      <c r="K81" s="18">
        <f>EXP(-0.13)</f>
        <v>0.8780954309205613</v>
      </c>
      <c r="L81" s="18">
        <f>EXP(0.09)</f>
        <v>1.0941742837052104</v>
      </c>
    </row>
    <row r="82" spans="1:12" x14ac:dyDescent="0.25">
      <c r="A82" s="11" t="s">
        <v>120</v>
      </c>
      <c r="B82" s="11" t="s">
        <v>372</v>
      </c>
      <c r="C82" s="11" t="s">
        <v>181</v>
      </c>
      <c r="D82" s="11" t="s">
        <v>405</v>
      </c>
      <c r="E82" s="11" t="s">
        <v>26</v>
      </c>
      <c r="F82" s="11" t="s">
        <v>61</v>
      </c>
      <c r="G82" s="11">
        <v>153</v>
      </c>
      <c r="H82" s="18">
        <f>EXP(0.19)</f>
        <v>1.2092495976572515</v>
      </c>
      <c r="I82" s="13">
        <f t="shared" si="4"/>
        <v>2.4645047191253737</v>
      </c>
      <c r="J82" s="13">
        <f t="shared" si="5"/>
        <v>0.16464202226770797</v>
      </c>
      <c r="K82" s="18">
        <f>EXP(0.02)</f>
        <v>1.0202013400267558</v>
      </c>
      <c r="L82" s="18">
        <f>EXP(0.35)</f>
        <v>1.4190675485932571</v>
      </c>
    </row>
    <row r="83" spans="1:12" x14ac:dyDescent="0.25">
      <c r="A83" s="3"/>
      <c r="B83" s="5"/>
      <c r="F83" s="5"/>
    </row>
    <row r="84" spans="1:12" x14ac:dyDescent="0.25">
      <c r="A84" s="3"/>
      <c r="B84" s="5"/>
      <c r="F84" s="5"/>
    </row>
    <row r="85" spans="1:12" x14ac:dyDescent="0.25">
      <c r="A85" s="3"/>
      <c r="B85" s="5"/>
      <c r="F85" s="5"/>
    </row>
    <row r="86" spans="1:12" x14ac:dyDescent="0.25">
      <c r="A86" s="3"/>
      <c r="B86" s="5"/>
      <c r="F86" s="5"/>
    </row>
    <row r="87" spans="1:12" x14ac:dyDescent="0.25">
      <c r="A87" s="3"/>
      <c r="B87" s="5"/>
      <c r="F87" s="5"/>
    </row>
    <row r="88" spans="1:12" x14ac:dyDescent="0.25">
      <c r="A88" s="3"/>
      <c r="B88" s="5"/>
      <c r="F88" s="5"/>
    </row>
    <row r="89" spans="1:12" x14ac:dyDescent="0.25">
      <c r="A89" s="3"/>
      <c r="B89" s="5"/>
    </row>
  </sheetData>
  <sortState xmlns:xlrd2="http://schemas.microsoft.com/office/spreadsheetml/2017/richdata2" ref="A4:L82">
    <sortCondition ref="D4:D82"/>
  </sortState>
  <mergeCells count="1">
    <mergeCell ref="A2: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0400-4C32-4EB7-9FCD-E0046D4DE006}">
  <dimension ref="A1:K56"/>
  <sheetViews>
    <sheetView zoomScale="80" zoomScaleNormal="80" workbookViewId="0">
      <selection activeCell="C10" sqref="C10"/>
    </sheetView>
  </sheetViews>
  <sheetFormatPr defaultRowHeight="15" x14ac:dyDescent="0.25"/>
  <cols>
    <col min="1" max="1" width="14.5703125" bestFit="1" customWidth="1"/>
    <col min="2" max="2" width="25" bestFit="1" customWidth="1"/>
    <col min="3" max="3" width="26.5703125" bestFit="1" customWidth="1"/>
    <col min="4" max="4" width="13.42578125" bestFit="1" customWidth="1"/>
    <col min="5" max="5" width="11.42578125" bestFit="1" customWidth="1"/>
    <col min="6" max="6" width="6.5703125" bestFit="1" customWidth="1"/>
    <col min="7" max="7" width="8" bestFit="1" customWidth="1"/>
    <col min="8" max="8" width="5.140625" customWidth="1"/>
    <col min="9" max="9" width="6" customWidth="1"/>
    <col min="10" max="10" width="7.85546875" customWidth="1"/>
  </cols>
  <sheetData>
    <row r="1" spans="1:11" x14ac:dyDescent="0.25">
      <c r="A1" s="41" t="s">
        <v>408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34" t="s">
        <v>0</v>
      </c>
      <c r="B2" s="34" t="s">
        <v>20</v>
      </c>
      <c r="C2" s="34" t="s">
        <v>75</v>
      </c>
      <c r="D2" s="34" t="s">
        <v>18</v>
      </c>
      <c r="E2" s="34" t="s">
        <v>21</v>
      </c>
      <c r="F2" s="10" t="s">
        <v>31</v>
      </c>
      <c r="G2" s="34" t="s">
        <v>7</v>
      </c>
      <c r="H2" s="34" t="s">
        <v>77</v>
      </c>
      <c r="I2" s="34" t="s">
        <v>178</v>
      </c>
      <c r="J2" s="34" t="s">
        <v>8</v>
      </c>
      <c r="K2" s="34" t="s">
        <v>9</v>
      </c>
    </row>
    <row r="3" spans="1:11" x14ac:dyDescent="0.25">
      <c r="A3" s="11" t="s">
        <v>161</v>
      </c>
      <c r="B3" s="11" t="s">
        <v>287</v>
      </c>
      <c r="C3" s="11" t="s">
        <v>260</v>
      </c>
      <c r="D3" s="11" t="s">
        <v>19</v>
      </c>
      <c r="E3" s="17" t="s">
        <v>291</v>
      </c>
      <c r="F3" s="11">
        <v>1024</v>
      </c>
      <c r="G3" s="13">
        <f>EXP(0.05)</f>
        <v>1.0512710963760241</v>
      </c>
      <c r="H3" s="13">
        <f t="shared" ref="H3:H39" si="0">(J3+1.96)/G3</f>
        <v>2.725117648446457</v>
      </c>
      <c r="I3" s="13">
        <f t="shared" ref="I3:I39" si="1">1/((H3)^2)</f>
        <v>0.13465717136375133</v>
      </c>
      <c r="J3" s="13">
        <f>EXP(-0.1)</f>
        <v>0.90483741803595952</v>
      </c>
      <c r="K3" s="13">
        <f>EXP(0.2)</f>
        <v>1.2214027581601699</v>
      </c>
    </row>
    <row r="4" spans="1:11" x14ac:dyDescent="0.25">
      <c r="A4" s="11" t="s">
        <v>165</v>
      </c>
      <c r="B4" s="11" t="s">
        <v>290</v>
      </c>
      <c r="C4" s="11" t="s">
        <v>260</v>
      </c>
      <c r="D4" s="11" t="s">
        <v>19</v>
      </c>
      <c r="E4" s="17" t="s">
        <v>291</v>
      </c>
      <c r="F4" s="11">
        <v>1024</v>
      </c>
      <c r="G4" s="13">
        <f>EXP(0.02)</f>
        <v>1.0202013400267558</v>
      </c>
      <c r="H4" s="13">
        <f t="shared" si="0"/>
        <v>2.7733331886474519</v>
      </c>
      <c r="I4" s="13">
        <f t="shared" si="1"/>
        <v>0.13001573102156372</v>
      </c>
      <c r="J4" s="13">
        <f>EXP(-0.14)</f>
        <v>0.86935823539880586</v>
      </c>
      <c r="K4" s="13">
        <f>EXP(0.18)</f>
        <v>1.1972173631218102</v>
      </c>
    </row>
    <row r="5" spans="1:11" x14ac:dyDescent="0.25">
      <c r="A5" s="17" t="s">
        <v>383</v>
      </c>
      <c r="B5" s="27" t="s">
        <v>382</v>
      </c>
      <c r="C5" s="27" t="s">
        <v>181</v>
      </c>
      <c r="D5" s="17" t="s">
        <v>19</v>
      </c>
      <c r="E5" s="27">
        <v>3.5</v>
      </c>
      <c r="F5" s="27">
        <v>288</v>
      </c>
      <c r="G5" s="28">
        <v>1.4</v>
      </c>
      <c r="H5" s="27">
        <f t="shared" si="0"/>
        <v>1.6857142857142857</v>
      </c>
      <c r="I5" s="27">
        <f t="shared" si="1"/>
        <v>0.35191037058316577</v>
      </c>
      <c r="J5" s="27">
        <v>0.4</v>
      </c>
      <c r="K5" s="27">
        <v>3.1</v>
      </c>
    </row>
    <row r="6" spans="1:11" x14ac:dyDescent="0.25">
      <c r="A6" s="17" t="s">
        <v>385</v>
      </c>
      <c r="B6" s="27" t="s">
        <v>382</v>
      </c>
      <c r="C6" s="27" t="s">
        <v>181</v>
      </c>
      <c r="D6" s="17" t="s">
        <v>19</v>
      </c>
      <c r="E6" s="27">
        <v>5</v>
      </c>
      <c r="F6" s="27">
        <v>319</v>
      </c>
      <c r="G6" s="28">
        <v>0.6</v>
      </c>
      <c r="H6" s="27">
        <f t="shared" si="0"/>
        <v>3.7666666666666666</v>
      </c>
      <c r="I6" s="27">
        <f t="shared" si="1"/>
        <v>7.0483201503641638E-2</v>
      </c>
      <c r="J6" s="27">
        <v>0.3</v>
      </c>
      <c r="K6" s="27">
        <v>1.2</v>
      </c>
    </row>
    <row r="7" spans="1:11" x14ac:dyDescent="0.25">
      <c r="A7" s="11" t="s">
        <v>294</v>
      </c>
      <c r="B7" s="11" t="s">
        <v>292</v>
      </c>
      <c r="C7" s="11" t="s">
        <v>297</v>
      </c>
      <c r="D7" s="11" t="s">
        <v>19</v>
      </c>
      <c r="E7" s="17" t="s">
        <v>296</v>
      </c>
      <c r="F7" s="11">
        <v>408</v>
      </c>
      <c r="G7" s="13">
        <v>0.98</v>
      </c>
      <c r="H7" s="13">
        <f t="shared" si="0"/>
        <v>2.9387755102040818</v>
      </c>
      <c r="I7" s="13">
        <f t="shared" si="1"/>
        <v>0.11578896604938271</v>
      </c>
      <c r="J7" s="13">
        <v>0.92</v>
      </c>
      <c r="K7" s="13">
        <v>1.04</v>
      </c>
    </row>
    <row r="8" spans="1:11" x14ac:dyDescent="0.25">
      <c r="A8" s="11" t="s">
        <v>295</v>
      </c>
      <c r="B8" s="11" t="s">
        <v>293</v>
      </c>
      <c r="C8" s="11" t="s">
        <v>297</v>
      </c>
      <c r="D8" s="11" t="s">
        <v>19</v>
      </c>
      <c r="E8" s="17" t="s">
        <v>296</v>
      </c>
      <c r="F8" s="11">
        <v>408</v>
      </c>
      <c r="G8" s="13">
        <v>0.98</v>
      </c>
      <c r="H8" s="13">
        <f t="shared" si="0"/>
        <v>2.9591836734693877</v>
      </c>
      <c r="I8" s="13">
        <f t="shared" si="1"/>
        <v>0.11419738406658742</v>
      </c>
      <c r="J8" s="13">
        <v>0.94</v>
      </c>
      <c r="K8" s="13">
        <v>1.02</v>
      </c>
    </row>
    <row r="9" spans="1:11" x14ac:dyDescent="0.25">
      <c r="A9" s="11" t="s">
        <v>281</v>
      </c>
      <c r="B9" s="11" t="s">
        <v>282</v>
      </c>
      <c r="C9" s="27" t="s">
        <v>181</v>
      </c>
      <c r="D9" s="11" t="s">
        <v>19</v>
      </c>
      <c r="E9" s="11" t="s">
        <v>36</v>
      </c>
      <c r="F9" s="11">
        <v>162</v>
      </c>
      <c r="G9" s="13">
        <v>1.17</v>
      </c>
      <c r="H9" s="13">
        <f t="shared" si="0"/>
        <v>1.8803418803418805</v>
      </c>
      <c r="I9" s="13">
        <f t="shared" si="1"/>
        <v>0.28283057851239662</v>
      </c>
      <c r="J9" s="13">
        <v>0.24</v>
      </c>
      <c r="K9" s="13">
        <v>5.66</v>
      </c>
    </row>
    <row r="10" spans="1:11" x14ac:dyDescent="0.25">
      <c r="A10" s="11" t="s">
        <v>283</v>
      </c>
      <c r="B10" s="11" t="s">
        <v>282</v>
      </c>
      <c r="C10" s="11" t="s">
        <v>286</v>
      </c>
      <c r="D10" s="11" t="s">
        <v>19</v>
      </c>
      <c r="E10" s="11" t="s">
        <v>36</v>
      </c>
      <c r="F10" s="11">
        <v>162</v>
      </c>
      <c r="G10" s="13">
        <v>1.7</v>
      </c>
      <c r="H10" s="13">
        <f t="shared" si="0"/>
        <v>1.4294117647058822</v>
      </c>
      <c r="I10" s="13">
        <f t="shared" si="1"/>
        <v>0.4894240376636354</v>
      </c>
      <c r="J10" s="13">
        <v>0.47</v>
      </c>
      <c r="K10" s="13">
        <v>6.17</v>
      </c>
    </row>
    <row r="11" spans="1:11" x14ac:dyDescent="0.25">
      <c r="A11" s="11" t="s">
        <v>273</v>
      </c>
      <c r="B11" s="11" t="s">
        <v>274</v>
      </c>
      <c r="C11" s="11" t="s">
        <v>260</v>
      </c>
      <c r="D11" s="11" t="s">
        <v>19</v>
      </c>
      <c r="E11" s="11" t="s">
        <v>57</v>
      </c>
      <c r="F11" s="11">
        <v>405</v>
      </c>
      <c r="G11" s="13">
        <f>(1.47-1.47*0.16)/(1-1.47*0.16)</f>
        <v>1.6145397489539748</v>
      </c>
      <c r="H11" s="13">
        <f t="shared" si="0"/>
        <v>1.5450772613339285</v>
      </c>
      <c r="I11" s="13">
        <f t="shared" si="1"/>
        <v>0.41888961901527993</v>
      </c>
      <c r="J11" s="13">
        <f>(0.63-0.63*0.16)/(1-0.63*0.016)</f>
        <v>0.53458865362857599</v>
      </c>
      <c r="K11" s="13">
        <f>(3.46-3.46*0.16)/(1-3.46*0.16)</f>
        <v>6.510752688172043</v>
      </c>
    </row>
    <row r="12" spans="1:11" x14ac:dyDescent="0.25">
      <c r="A12" s="11" t="s">
        <v>275</v>
      </c>
      <c r="B12" s="11" t="s">
        <v>278</v>
      </c>
      <c r="C12" s="11" t="s">
        <v>260</v>
      </c>
      <c r="D12" s="11" t="s">
        <v>19</v>
      </c>
      <c r="E12" s="11" t="s">
        <v>57</v>
      </c>
      <c r="F12" s="11">
        <v>405</v>
      </c>
      <c r="G12" s="13">
        <f>(2.74-2.74*0.16)/(1-2.74*0.16)</f>
        <v>4.0982905982905997</v>
      </c>
      <c r="H12" s="13">
        <f t="shared" si="0"/>
        <v>0.68866159472847621</v>
      </c>
      <c r="I12" s="13">
        <f t="shared" si="1"/>
        <v>2.1085712084617261</v>
      </c>
      <c r="J12" s="13">
        <f>(1.01-1.01*0.16)/(1-1.01*0.016)</f>
        <v>0.86233533907952509</v>
      </c>
      <c r="K12" s="13">
        <f>(7.45-(7.45*0.16))/(1-(7.45*0.16))</f>
        <v>-32.593750000000007</v>
      </c>
    </row>
    <row r="13" spans="1:11" x14ac:dyDescent="0.25">
      <c r="A13" s="11" t="s">
        <v>276</v>
      </c>
      <c r="B13" s="11" t="s">
        <v>279</v>
      </c>
      <c r="C13" s="11" t="s">
        <v>260</v>
      </c>
      <c r="D13" s="11" t="s">
        <v>19</v>
      </c>
      <c r="E13" s="11" t="s">
        <v>57</v>
      </c>
      <c r="F13" s="11">
        <v>405</v>
      </c>
      <c r="G13" s="13">
        <f>(3.43-3.43*0.16)/(1-3.43*0.16)</f>
        <v>6.3856382978723421</v>
      </c>
      <c r="H13" s="13">
        <f t="shared" si="0"/>
        <v>0.51042684310678921</v>
      </c>
      <c r="I13" s="13">
        <f t="shared" si="1"/>
        <v>3.8382476146218774</v>
      </c>
      <c r="J13" s="13">
        <f>(1.24-1.24*0.16)/(1-1.24*0.16)</f>
        <v>1.2994011976047906</v>
      </c>
      <c r="K13" s="13">
        <f>(9.51-9.51*0.16)/(1-9.51*0.16)</f>
        <v>-15.315184049079752</v>
      </c>
    </row>
    <row r="14" spans="1:11" x14ac:dyDescent="0.25">
      <c r="A14" s="11" t="s">
        <v>277</v>
      </c>
      <c r="B14" s="11" t="s">
        <v>280</v>
      </c>
      <c r="C14" s="11" t="s">
        <v>260</v>
      </c>
      <c r="D14" s="11" t="s">
        <v>19</v>
      </c>
      <c r="E14" s="11" t="s">
        <v>57</v>
      </c>
      <c r="F14" s="11">
        <v>405</v>
      </c>
      <c r="G14" s="13">
        <f>(1.88-1.88*0.16/(1-1.88*0.16))</f>
        <v>1.4497940503432494</v>
      </c>
      <c r="H14" s="13">
        <f t="shared" si="0"/>
        <v>2.1511271932117717</v>
      </c>
      <c r="I14" s="13">
        <f t="shared" si="1"/>
        <v>0.21610649479605187</v>
      </c>
      <c r="J14" s="13">
        <f>(1.13-1.13*0.16)/(1-1.13*0.16)</f>
        <v>1.1586914062499998</v>
      </c>
      <c r="K14" s="13">
        <f>(3.14-3.14*0.16)/(1-3.14*0.16)</f>
        <v>5.3006430868167209</v>
      </c>
    </row>
    <row r="15" spans="1:11" x14ac:dyDescent="0.25">
      <c r="A15" s="11" t="s">
        <v>175</v>
      </c>
      <c r="B15" s="11" t="s">
        <v>270</v>
      </c>
      <c r="C15" s="11" t="s">
        <v>260</v>
      </c>
      <c r="D15" s="11" t="s">
        <v>19</v>
      </c>
      <c r="E15" s="11" t="s">
        <v>38</v>
      </c>
      <c r="F15" s="11">
        <v>521</v>
      </c>
      <c r="G15" s="13">
        <f>EXP(0.02)</f>
        <v>1.0202013400267558</v>
      </c>
      <c r="H15" s="13">
        <f t="shared" si="0"/>
        <v>2.9112392334304085</v>
      </c>
      <c r="I15" s="13">
        <f t="shared" si="1"/>
        <v>0.1179897305085689</v>
      </c>
      <c r="J15" s="13">
        <f>EXP(0.01)</f>
        <v>1.0100501670841679</v>
      </c>
      <c r="K15" s="13">
        <f>EXP(0.04)</f>
        <v>1.0408107741923882</v>
      </c>
    </row>
    <row r="16" spans="1:11" x14ac:dyDescent="0.25">
      <c r="A16" s="11" t="s">
        <v>176</v>
      </c>
      <c r="B16" s="11" t="s">
        <v>271</v>
      </c>
      <c r="C16" s="11" t="s">
        <v>260</v>
      </c>
      <c r="D16" s="11" t="s">
        <v>19</v>
      </c>
      <c r="E16" s="11" t="s">
        <v>38</v>
      </c>
      <c r="F16" s="11">
        <v>521</v>
      </c>
      <c r="G16" s="13">
        <f>EXP(0.06)</f>
        <v>1.0618365465453596</v>
      </c>
      <c r="H16" s="13">
        <f t="shared" si="0"/>
        <v>2.7970879103258413</v>
      </c>
      <c r="I16" s="13">
        <f t="shared" si="1"/>
        <v>0.1278167491783862</v>
      </c>
      <c r="J16" s="13">
        <f>EXP(0.01)</f>
        <v>1.0100501670841679</v>
      </c>
      <c r="K16" s="13">
        <f>EXP(0.11)</f>
        <v>1.1162780704588713</v>
      </c>
    </row>
    <row r="17" spans="1:11" x14ac:dyDescent="0.25">
      <c r="A17" s="11" t="s">
        <v>177</v>
      </c>
      <c r="B17" s="11" t="s">
        <v>272</v>
      </c>
      <c r="C17" s="11" t="s">
        <v>260</v>
      </c>
      <c r="D17" s="11" t="s">
        <v>19</v>
      </c>
      <c r="E17" s="11" t="s">
        <v>38</v>
      </c>
      <c r="F17" s="11">
        <v>521</v>
      </c>
      <c r="G17" s="13">
        <f>EXP(0.01)</f>
        <v>1.0100501670841679</v>
      </c>
      <c r="H17" s="13">
        <f t="shared" si="0"/>
        <v>2.9305475078975376</v>
      </c>
      <c r="I17" s="13">
        <f t="shared" si="1"/>
        <v>0.11644007259253511</v>
      </c>
      <c r="J17" s="13">
        <f>EXP(0)</f>
        <v>1</v>
      </c>
      <c r="K17" s="13">
        <f>EXP(0.03)</f>
        <v>1.0304545339535169</v>
      </c>
    </row>
    <row r="18" spans="1:11" x14ac:dyDescent="0.25">
      <c r="A18" s="11" t="s">
        <v>164</v>
      </c>
      <c r="B18" s="11" t="s">
        <v>287</v>
      </c>
      <c r="C18" s="11" t="s">
        <v>260</v>
      </c>
      <c r="D18" s="11" t="s">
        <v>289</v>
      </c>
      <c r="E18" s="17" t="s">
        <v>291</v>
      </c>
      <c r="F18" s="11">
        <v>1024</v>
      </c>
      <c r="G18" s="13">
        <f>EXP(0.03)</f>
        <v>1.0304545339535169</v>
      </c>
      <c r="H18" s="13">
        <f t="shared" si="0"/>
        <v>2.7801686766756366</v>
      </c>
      <c r="I18" s="13">
        <f t="shared" si="1"/>
        <v>0.12937718815241694</v>
      </c>
      <c r="J18" s="13">
        <f>EXP(-0.1)</f>
        <v>0.90483741803595952</v>
      </c>
      <c r="K18" s="13">
        <f>EXP(0.16)</f>
        <v>1.1735108709918103</v>
      </c>
    </row>
    <row r="19" spans="1:11" x14ac:dyDescent="0.25">
      <c r="A19" s="11" t="s">
        <v>168</v>
      </c>
      <c r="B19" s="11" t="s">
        <v>290</v>
      </c>
      <c r="C19" s="11" t="s">
        <v>260</v>
      </c>
      <c r="D19" s="11" t="s">
        <v>289</v>
      </c>
      <c r="E19" s="17" t="s">
        <v>291</v>
      </c>
      <c r="F19" s="11">
        <v>1024</v>
      </c>
      <c r="G19" s="13">
        <f>EXP(0.03)</f>
        <v>1.0304545339535169</v>
      </c>
      <c r="H19" s="13">
        <f t="shared" si="0"/>
        <v>2.7627812221801333</v>
      </c>
      <c r="I19" s="13">
        <f t="shared" si="1"/>
        <v>0.13101077292497795</v>
      </c>
      <c r="J19" s="13">
        <f>EXP(-0.12)</f>
        <v>0.88692043671715748</v>
      </c>
      <c r="K19" s="13">
        <f>EXP(0.18)</f>
        <v>1.1972173631218102</v>
      </c>
    </row>
    <row r="20" spans="1:11" x14ac:dyDescent="0.25">
      <c r="A20" s="11" t="s">
        <v>302</v>
      </c>
      <c r="B20" s="11" t="s">
        <v>298</v>
      </c>
      <c r="C20" s="11" t="s">
        <v>244</v>
      </c>
      <c r="D20" s="11" t="s">
        <v>264</v>
      </c>
      <c r="E20" s="17" t="s">
        <v>303</v>
      </c>
      <c r="F20" s="11">
        <v>162</v>
      </c>
      <c r="G20" s="13">
        <f>EXP(-1.04)</f>
        <v>0.35345468195878016</v>
      </c>
      <c r="H20" s="13">
        <f t="shared" si="0"/>
        <v>5.569988874599396</v>
      </c>
      <c r="I20" s="13">
        <f t="shared" si="1"/>
        <v>3.2232303561649377E-2</v>
      </c>
      <c r="J20" s="13">
        <f>EXP(-4.74)</f>
        <v>8.7386461854732905E-3</v>
      </c>
      <c r="K20" s="13">
        <f>EXP(2.66)</f>
        <v>14.296289098677603</v>
      </c>
    </row>
    <row r="21" spans="1:11" x14ac:dyDescent="0.25">
      <c r="A21" s="11" t="s">
        <v>284</v>
      </c>
      <c r="B21" s="11" t="s">
        <v>282</v>
      </c>
      <c r="C21" s="11" t="s">
        <v>286</v>
      </c>
      <c r="D21" s="11" t="s">
        <v>264</v>
      </c>
      <c r="E21" s="11" t="s">
        <v>36</v>
      </c>
      <c r="F21" s="11">
        <v>162</v>
      </c>
      <c r="G21" s="13">
        <v>1.04</v>
      </c>
      <c r="H21" s="13">
        <f t="shared" si="0"/>
        <v>2.1730769230769229</v>
      </c>
      <c r="I21" s="13">
        <f t="shared" si="1"/>
        <v>0.21176286318427448</v>
      </c>
      <c r="J21" s="13">
        <v>0.3</v>
      </c>
      <c r="K21" s="13">
        <v>3.16</v>
      </c>
    </row>
    <row r="22" spans="1:11" x14ac:dyDescent="0.25">
      <c r="A22" s="11" t="s">
        <v>172</v>
      </c>
      <c r="B22" s="11" t="s">
        <v>270</v>
      </c>
      <c r="C22" s="11" t="s">
        <v>260</v>
      </c>
      <c r="D22" s="11" t="s">
        <v>264</v>
      </c>
      <c r="E22" s="11" t="s">
        <v>38</v>
      </c>
      <c r="F22" s="11">
        <v>521</v>
      </c>
      <c r="G22" s="13">
        <f>EXP(0.03)</f>
        <v>1.0304545339535169</v>
      </c>
      <c r="H22" s="13">
        <f t="shared" si="0"/>
        <v>2.8822719190618309</v>
      </c>
      <c r="I22" s="13">
        <f t="shared" si="1"/>
        <v>0.1203732811742378</v>
      </c>
      <c r="J22" s="13">
        <f>EXP(0.01)</f>
        <v>1.0100501670841679</v>
      </c>
      <c r="K22" s="13">
        <f>EXP(0.04)</f>
        <v>1.0408107741923882</v>
      </c>
    </row>
    <row r="23" spans="1:11" x14ac:dyDescent="0.25">
      <c r="A23" s="11" t="s">
        <v>173</v>
      </c>
      <c r="B23" s="11" t="s">
        <v>271</v>
      </c>
      <c r="C23" s="11" t="s">
        <v>260</v>
      </c>
      <c r="D23" s="11" t="s">
        <v>264</v>
      </c>
      <c r="E23" s="11" t="s">
        <v>38</v>
      </c>
      <c r="F23" s="11">
        <v>521</v>
      </c>
      <c r="G23" s="13">
        <f>EXP(0.08)</f>
        <v>1.0832870676749586</v>
      </c>
      <c r="H23" s="13">
        <f t="shared" si="0"/>
        <v>2.7605374634185198</v>
      </c>
      <c r="I23" s="13">
        <f t="shared" si="1"/>
        <v>0.13122383001051935</v>
      </c>
      <c r="J23" s="13">
        <f>EXP(0.03)</f>
        <v>1.0304545339535169</v>
      </c>
      <c r="K23" s="13">
        <f>EXP(0.12)</f>
        <v>1.1274968515793757</v>
      </c>
    </row>
    <row r="24" spans="1:11" x14ac:dyDescent="0.25">
      <c r="A24" s="11" t="s">
        <v>174</v>
      </c>
      <c r="B24" s="11" t="s">
        <v>272</v>
      </c>
      <c r="C24" s="11" t="s">
        <v>260</v>
      </c>
      <c r="D24" s="11" t="s">
        <v>264</v>
      </c>
      <c r="E24" s="11" t="s">
        <v>38</v>
      </c>
      <c r="F24" s="11">
        <v>521</v>
      </c>
      <c r="G24" s="13">
        <f>EXP(0.02)</f>
        <v>1.0202013400267558</v>
      </c>
      <c r="H24" s="13">
        <f t="shared" si="0"/>
        <v>2.9013880729879959</v>
      </c>
      <c r="I24" s="13">
        <f t="shared" si="1"/>
        <v>0.11879231809171703</v>
      </c>
      <c r="J24" s="13">
        <f>EXP(0)</f>
        <v>1</v>
      </c>
      <c r="K24" s="13">
        <f>EXP(0.03)</f>
        <v>1.0304545339535169</v>
      </c>
    </row>
    <row r="25" spans="1:11" x14ac:dyDescent="0.25">
      <c r="A25" s="11" t="s">
        <v>163</v>
      </c>
      <c r="B25" s="11" t="s">
        <v>287</v>
      </c>
      <c r="C25" s="11" t="s">
        <v>260</v>
      </c>
      <c r="D25" s="11" t="s">
        <v>288</v>
      </c>
      <c r="E25" s="17" t="s">
        <v>291</v>
      </c>
      <c r="F25" s="11">
        <v>1024</v>
      </c>
      <c r="G25" s="13">
        <f>EXP(0.07)</f>
        <v>1.0725081812542165</v>
      </c>
      <c r="H25" s="13">
        <f t="shared" si="0"/>
        <v>2.6881998634407158</v>
      </c>
      <c r="I25" s="13">
        <f t="shared" si="1"/>
        <v>0.1383811357170939</v>
      </c>
      <c r="J25" s="13">
        <f>EXP(-0.08)</f>
        <v>0.92311634638663576</v>
      </c>
      <c r="K25" s="13">
        <f>EXP(0.22)</f>
        <v>1.2460767305873808</v>
      </c>
    </row>
    <row r="26" spans="1:11" x14ac:dyDescent="0.25">
      <c r="A26" s="11" t="s">
        <v>167</v>
      </c>
      <c r="B26" s="11" t="s">
        <v>290</v>
      </c>
      <c r="C26" s="11" t="s">
        <v>260</v>
      </c>
      <c r="D26" s="11" t="s">
        <v>288</v>
      </c>
      <c r="E26" s="17" t="s">
        <v>291</v>
      </c>
      <c r="F26" s="11">
        <v>1024</v>
      </c>
      <c r="G26" s="13">
        <f>EXP(0.05)</f>
        <v>1.0512710963760241</v>
      </c>
      <c r="H26" s="13">
        <f t="shared" si="0"/>
        <v>2.708074488617783</v>
      </c>
      <c r="I26" s="13">
        <f t="shared" si="1"/>
        <v>0.13635742399558945</v>
      </c>
      <c r="J26" s="13">
        <f>EXP(-0.12)</f>
        <v>0.88692043671715748</v>
      </c>
      <c r="K26" s="13">
        <f>EXP(0.22)</f>
        <v>1.2460767305873808</v>
      </c>
    </row>
    <row r="27" spans="1:11" x14ac:dyDescent="0.25">
      <c r="A27" s="11" t="s">
        <v>256</v>
      </c>
      <c r="B27" s="11" t="s">
        <v>259</v>
      </c>
      <c r="C27" s="11" t="s">
        <v>260</v>
      </c>
      <c r="D27" s="11" t="s">
        <v>263</v>
      </c>
      <c r="E27" s="11" t="s">
        <v>257</v>
      </c>
      <c r="F27" s="11">
        <v>68</v>
      </c>
      <c r="G27" s="13">
        <f>EXP(0.02)</f>
        <v>1.0202013400267558</v>
      </c>
      <c r="H27" s="13">
        <f t="shared" si="0"/>
        <v>2.7992848306018021</v>
      </c>
      <c r="I27" s="13">
        <f t="shared" si="1"/>
        <v>0.12761620294204287</v>
      </c>
      <c r="J27" s="13">
        <f>EXP(-0.11)</f>
        <v>0.89583413529652822</v>
      </c>
      <c r="K27" s="13">
        <f>EXP(0.16)</f>
        <v>1.1735108709918103</v>
      </c>
    </row>
    <row r="28" spans="1:11" x14ac:dyDescent="0.25">
      <c r="A28" s="11" t="s">
        <v>162</v>
      </c>
      <c r="B28" s="11" t="s">
        <v>287</v>
      </c>
      <c r="C28" s="11" t="s">
        <v>260</v>
      </c>
      <c r="D28" s="11" t="s">
        <v>263</v>
      </c>
      <c r="E28" s="17" t="s">
        <v>291</v>
      </c>
      <c r="F28" s="11">
        <v>1024</v>
      </c>
      <c r="G28" s="13">
        <f>EXP(0.05)</f>
        <v>1.0512710963760241</v>
      </c>
      <c r="H28" s="13">
        <f t="shared" si="0"/>
        <v>2.6996798834326716</v>
      </c>
      <c r="I28" s="13">
        <f t="shared" si="1"/>
        <v>0.13720674424698187</v>
      </c>
      <c r="J28" s="13">
        <f>EXP(-0.13)</f>
        <v>0.8780954309205613</v>
      </c>
      <c r="K28" s="13">
        <f>EXP(0.23)</f>
        <v>1.2586000099294778</v>
      </c>
    </row>
    <row r="29" spans="1:11" x14ac:dyDescent="0.25">
      <c r="A29" s="11" t="s">
        <v>166</v>
      </c>
      <c r="B29" s="11" t="s">
        <v>290</v>
      </c>
      <c r="C29" s="11" t="s">
        <v>260</v>
      </c>
      <c r="D29" s="11" t="s">
        <v>263</v>
      </c>
      <c r="E29" s="17" t="s">
        <v>291</v>
      </c>
      <c r="F29" s="11">
        <v>1024</v>
      </c>
      <c r="G29" s="13">
        <f>EXP(-0.04)</f>
        <v>0.96078943915232318</v>
      </c>
      <c r="H29" s="13">
        <f t="shared" si="0"/>
        <v>2.8587198704950629</v>
      </c>
      <c r="I29" s="13">
        <f t="shared" si="1"/>
        <v>0.12236488298303994</v>
      </c>
      <c r="J29" s="13">
        <f>EXP(-0.24)</f>
        <v>0.78662786106655347</v>
      </c>
      <c r="K29" s="13">
        <f>EXP(0.15)</f>
        <v>1.1618342427282831</v>
      </c>
    </row>
    <row r="30" spans="1:11" x14ac:dyDescent="0.25">
      <c r="A30" s="17" t="s">
        <v>381</v>
      </c>
      <c r="B30" s="27" t="s">
        <v>382</v>
      </c>
      <c r="C30" s="27" t="s">
        <v>181</v>
      </c>
      <c r="D30" s="17" t="s">
        <v>263</v>
      </c>
      <c r="E30" s="27">
        <v>3.5</v>
      </c>
      <c r="F30" s="27">
        <v>289</v>
      </c>
      <c r="G30" s="28">
        <v>1.6</v>
      </c>
      <c r="H30" s="27">
        <f t="shared" si="0"/>
        <v>1.7249999999999999</v>
      </c>
      <c r="I30" s="27">
        <f t="shared" si="1"/>
        <v>0.33606385213190509</v>
      </c>
      <c r="J30" s="27">
        <v>0.8</v>
      </c>
      <c r="K30" s="27">
        <v>3.5</v>
      </c>
    </row>
    <row r="31" spans="1:11" x14ac:dyDescent="0.25">
      <c r="A31" s="17" t="s">
        <v>384</v>
      </c>
      <c r="B31" s="27" t="s">
        <v>382</v>
      </c>
      <c r="C31" s="27" t="s">
        <v>181</v>
      </c>
      <c r="D31" s="17" t="s">
        <v>263</v>
      </c>
      <c r="E31" s="27">
        <v>5</v>
      </c>
      <c r="F31" s="27">
        <v>319</v>
      </c>
      <c r="G31" s="28">
        <v>1</v>
      </c>
      <c r="H31" s="27">
        <f t="shared" si="0"/>
        <v>2.36</v>
      </c>
      <c r="I31" s="27">
        <f t="shared" si="1"/>
        <v>0.17954610744039071</v>
      </c>
      <c r="J31" s="27">
        <v>0.4</v>
      </c>
      <c r="K31" s="27">
        <v>2.4</v>
      </c>
    </row>
    <row r="32" spans="1:11" x14ac:dyDescent="0.25">
      <c r="A32" s="11" t="s">
        <v>285</v>
      </c>
      <c r="B32" s="11" t="s">
        <v>282</v>
      </c>
      <c r="C32" s="11" t="s">
        <v>286</v>
      </c>
      <c r="D32" s="11" t="s">
        <v>263</v>
      </c>
      <c r="E32" s="11" t="s">
        <v>36</v>
      </c>
      <c r="F32" s="11">
        <v>162</v>
      </c>
      <c r="G32" s="13">
        <v>1.32</v>
      </c>
      <c r="H32" s="13">
        <f t="shared" si="0"/>
        <v>1.7196969696969697</v>
      </c>
      <c r="I32" s="13">
        <f t="shared" si="1"/>
        <v>0.33813968833084285</v>
      </c>
      <c r="J32" s="13">
        <v>0.31</v>
      </c>
      <c r="K32" s="13">
        <v>5.56</v>
      </c>
    </row>
    <row r="33" spans="1:11" x14ac:dyDescent="0.25">
      <c r="A33" s="11" t="s">
        <v>169</v>
      </c>
      <c r="B33" s="11" t="s">
        <v>270</v>
      </c>
      <c r="C33" s="11" t="s">
        <v>260</v>
      </c>
      <c r="D33" s="11" t="s">
        <v>263</v>
      </c>
      <c r="E33" s="11" t="s">
        <v>38</v>
      </c>
      <c r="F33" s="11">
        <v>521</v>
      </c>
      <c r="G33" s="13">
        <f>EXP(0.01)</f>
        <v>1.0100501670841679</v>
      </c>
      <c r="H33" s="13">
        <f t="shared" si="0"/>
        <v>2.9305475078975376</v>
      </c>
      <c r="I33" s="13">
        <f t="shared" si="1"/>
        <v>0.11644007259253511</v>
      </c>
      <c r="J33" s="13">
        <f>EXP(0)</f>
        <v>1</v>
      </c>
      <c r="K33" s="13">
        <f>EXP(0.03)</f>
        <v>1.0304545339535169</v>
      </c>
    </row>
    <row r="34" spans="1:11" x14ac:dyDescent="0.25">
      <c r="A34" s="11" t="s">
        <v>170</v>
      </c>
      <c r="B34" s="11" t="s">
        <v>271</v>
      </c>
      <c r="C34" s="11" t="s">
        <v>260</v>
      </c>
      <c r="D34" s="11" t="s">
        <v>263</v>
      </c>
      <c r="E34" s="11" t="s">
        <v>38</v>
      </c>
      <c r="F34" s="11">
        <v>521</v>
      </c>
      <c r="G34" s="13">
        <f>EXP(0.04)</f>
        <v>1.0408107741923882</v>
      </c>
      <c r="H34" s="13">
        <f t="shared" si="0"/>
        <v>2.834376725239268</v>
      </c>
      <c r="I34" s="13">
        <f t="shared" si="1"/>
        <v>0.12447577927109919</v>
      </c>
      <c r="J34" s="13">
        <f>EXP(-0.01)</f>
        <v>0.99004983374916811</v>
      </c>
      <c r="K34" s="13">
        <f>EXP(0.09)</f>
        <v>1.0941742837052104</v>
      </c>
    </row>
    <row r="35" spans="1:11" x14ac:dyDescent="0.25">
      <c r="A35" s="11" t="s">
        <v>171</v>
      </c>
      <c r="B35" s="11" t="s">
        <v>272</v>
      </c>
      <c r="C35" s="11" t="s">
        <v>260</v>
      </c>
      <c r="D35" s="11" t="s">
        <v>263</v>
      </c>
      <c r="E35" s="11" t="s">
        <v>38</v>
      </c>
      <c r="F35" s="11">
        <v>521</v>
      </c>
      <c r="G35" s="13">
        <f>EXP(0.01)</f>
        <v>1.0100501670841679</v>
      </c>
      <c r="H35" s="13">
        <f t="shared" si="0"/>
        <v>2.9206963474551251</v>
      </c>
      <c r="I35" s="13">
        <f t="shared" si="1"/>
        <v>0.11722687420778263</v>
      </c>
      <c r="J35" s="13">
        <f>EXP(-0.01)</f>
        <v>0.99004983374916811</v>
      </c>
      <c r="K35" s="13">
        <f>EXP(0.02)</f>
        <v>1.0202013400267558</v>
      </c>
    </row>
    <row r="36" spans="1:11" x14ac:dyDescent="0.25">
      <c r="A36" s="11" t="s">
        <v>301</v>
      </c>
      <c r="B36" s="11" t="s">
        <v>298</v>
      </c>
      <c r="C36" s="11" t="s">
        <v>244</v>
      </c>
      <c r="D36" s="11" t="s">
        <v>24</v>
      </c>
      <c r="E36" s="17" t="s">
        <v>303</v>
      </c>
      <c r="F36" s="11">
        <v>162</v>
      </c>
      <c r="G36" s="13">
        <f>EXP(-2.04)</f>
        <v>0.13002871087842591</v>
      </c>
      <c r="H36" s="13">
        <f t="shared" si="0"/>
        <v>15.11775119822253</v>
      </c>
      <c r="I36" s="13">
        <f t="shared" si="1"/>
        <v>4.3754790902402613E-3</v>
      </c>
      <c r="J36" s="13">
        <f>EXP(-5.16)</f>
        <v>5.7416996856542021E-3</v>
      </c>
      <c r="K36" s="13">
        <f>EXP(1.09)</f>
        <v>2.9742740725630656</v>
      </c>
    </row>
    <row r="37" spans="1:11" x14ac:dyDescent="0.25">
      <c r="A37" s="11" t="s">
        <v>300</v>
      </c>
      <c r="B37" s="11" t="s">
        <v>298</v>
      </c>
      <c r="C37" s="11" t="s">
        <v>244</v>
      </c>
      <c r="D37" s="11" t="s">
        <v>318</v>
      </c>
      <c r="E37" s="17" t="s">
        <v>303</v>
      </c>
      <c r="F37" s="11">
        <v>162</v>
      </c>
      <c r="G37" s="13">
        <f>EXP(-1.37)</f>
        <v>0.25410695955280027</v>
      </c>
      <c r="H37" s="13">
        <f t="shared" si="0"/>
        <v>7.7625790418825895</v>
      </c>
      <c r="I37" s="13">
        <f t="shared" si="1"/>
        <v>1.6595407816122978E-2</v>
      </c>
      <c r="J37" s="13">
        <f>EXP(-4.38)</f>
        <v>1.2525358621074385E-2</v>
      </c>
      <c r="K37" s="13">
        <f>EXP(1.65)</f>
        <v>5.2069798271798486</v>
      </c>
    </row>
    <row r="38" spans="1:11" x14ac:dyDescent="0.25">
      <c r="A38" s="11" t="s">
        <v>258</v>
      </c>
      <c r="B38" s="11" t="s">
        <v>259</v>
      </c>
      <c r="C38" s="11" t="s">
        <v>260</v>
      </c>
      <c r="D38" s="11" t="s">
        <v>318</v>
      </c>
      <c r="E38" s="11" t="s">
        <v>257</v>
      </c>
      <c r="F38" s="11">
        <v>268</v>
      </c>
      <c r="G38" s="13">
        <f>EXP(0.01)</f>
        <v>1.0100501670841679</v>
      </c>
      <c r="H38" s="13">
        <f t="shared" si="0"/>
        <v>2.8185931050689308</v>
      </c>
      <c r="I38" s="13">
        <f t="shared" si="1"/>
        <v>0.12587376704150188</v>
      </c>
      <c r="J38" s="13">
        <f>EXP(-0.12)</f>
        <v>0.88692043671715748</v>
      </c>
      <c r="K38" s="13">
        <f>EXP(0.13)</f>
        <v>1.1388283833246218</v>
      </c>
    </row>
    <row r="39" spans="1:11" x14ac:dyDescent="0.25">
      <c r="A39" s="11" t="s">
        <v>299</v>
      </c>
      <c r="B39" s="11" t="s">
        <v>298</v>
      </c>
      <c r="C39" s="11" t="s">
        <v>244</v>
      </c>
      <c r="D39" s="11" t="s">
        <v>318</v>
      </c>
      <c r="E39" s="17" t="s">
        <v>303</v>
      </c>
      <c r="F39" s="11">
        <v>162</v>
      </c>
      <c r="G39" s="13">
        <f>EXP(-0.9)</f>
        <v>0.40656965974059911</v>
      </c>
      <c r="H39" s="13">
        <f t="shared" si="0"/>
        <v>4.8641048957695867</v>
      </c>
      <c r="I39" s="13">
        <f t="shared" si="1"/>
        <v>4.2266290719029584E-2</v>
      </c>
      <c r="J39" s="13">
        <f>EXP(-4.04)</f>
        <v>1.7597472415623393E-2</v>
      </c>
      <c r="K39" s="13">
        <f>EXP(2.24)</f>
        <v>9.3933312874427841</v>
      </c>
    </row>
    <row r="40" spans="1:11" x14ac:dyDescent="0.25">
      <c r="B40" s="26"/>
      <c r="C40" s="26"/>
      <c r="E40" s="26"/>
      <c r="F40" s="26"/>
      <c r="G40" s="2"/>
      <c r="H40" s="26"/>
      <c r="I40" s="26"/>
      <c r="J40" s="26"/>
      <c r="K40" s="26"/>
    </row>
    <row r="41" spans="1:11" x14ac:dyDescent="0.25">
      <c r="B41" s="26"/>
      <c r="C41" s="26"/>
      <c r="E41" s="26"/>
      <c r="F41" s="26"/>
      <c r="G41" s="2"/>
      <c r="H41" s="26"/>
      <c r="I41" s="26"/>
      <c r="J41" s="26"/>
      <c r="K41" s="26"/>
    </row>
    <row r="42" spans="1:11" x14ac:dyDescent="0.25">
      <c r="B42" s="26"/>
      <c r="C42" s="26"/>
      <c r="E42" s="26"/>
      <c r="F42" s="26"/>
      <c r="G42" s="2"/>
      <c r="H42" s="26"/>
      <c r="I42" s="26"/>
      <c r="J42" s="26"/>
      <c r="K42" s="26"/>
    </row>
    <row r="43" spans="1:11" x14ac:dyDescent="0.25">
      <c r="B43" s="26"/>
      <c r="C43" s="26"/>
      <c r="E43" s="26"/>
      <c r="F43" s="26"/>
      <c r="G43" s="2"/>
      <c r="H43" s="26"/>
      <c r="I43" s="26"/>
      <c r="J43" s="26"/>
      <c r="K43" s="26"/>
    </row>
    <row r="44" spans="1:11" x14ac:dyDescent="0.25">
      <c r="B44" s="26"/>
      <c r="C44" s="26"/>
      <c r="E44" s="26"/>
      <c r="F44" s="26"/>
      <c r="G44" s="2"/>
      <c r="H44" s="26"/>
      <c r="I44" s="26"/>
      <c r="J44" s="26"/>
      <c r="K44" s="26"/>
    </row>
    <row r="48" spans="1:11" x14ac:dyDescent="0.25">
      <c r="H48" t="s">
        <v>358</v>
      </c>
      <c r="I48" t="s">
        <v>359</v>
      </c>
    </row>
    <row r="49" spans="7:9" x14ac:dyDescent="0.25">
      <c r="G49" t="s">
        <v>355</v>
      </c>
      <c r="H49">
        <f>EXP(0.29)</f>
        <v>1.3364274880254721</v>
      </c>
      <c r="I49">
        <f>EXP(-0.004)</f>
        <v>0.99600798934399148</v>
      </c>
    </row>
    <row r="50" spans="7:9" x14ac:dyDescent="0.25">
      <c r="G50" t="s">
        <v>95</v>
      </c>
      <c r="H50">
        <f>EXP(-0.06)</f>
        <v>0.94176453358424872</v>
      </c>
      <c r="I50">
        <f>EXP(-0.12)</f>
        <v>0.88692043671715748</v>
      </c>
    </row>
    <row r="51" spans="7:9" x14ac:dyDescent="0.25">
      <c r="G51" t="s">
        <v>356</v>
      </c>
      <c r="H51">
        <f>EXP(-0.13)</f>
        <v>0.8780954309205613</v>
      </c>
      <c r="I51">
        <f>EXP(-0.21)</f>
        <v>0.81058424597018708</v>
      </c>
    </row>
    <row r="53" spans="7:9" x14ac:dyDescent="0.25">
      <c r="G53" t="s">
        <v>355</v>
      </c>
      <c r="H53">
        <f>EXP(0.32)</f>
        <v>1.3771277643359572</v>
      </c>
      <c r="I53">
        <f>EXP(-0.008)</f>
        <v>0.99203191483706066</v>
      </c>
    </row>
    <row r="54" spans="7:9" x14ac:dyDescent="0.25">
      <c r="G54" t="s">
        <v>95</v>
      </c>
      <c r="H54">
        <f>EXP(0.05)</f>
        <v>1.0512710963760241</v>
      </c>
      <c r="I54">
        <f>EXP(-0.05)</f>
        <v>0.95122942450071402</v>
      </c>
    </row>
    <row r="55" spans="7:9" x14ac:dyDescent="0.25">
      <c r="G55" t="s">
        <v>356</v>
      </c>
      <c r="H55">
        <f>EXP(-0.15)</f>
        <v>0.86070797642505781</v>
      </c>
      <c r="I55">
        <f>EXP(-0.17)</f>
        <v>0.8436648165963837</v>
      </c>
    </row>
    <row r="56" spans="7:9" x14ac:dyDescent="0.25">
      <c r="G56" t="s">
        <v>357</v>
      </c>
      <c r="H56">
        <f>EXP(0.09)</f>
        <v>1.0941742837052104</v>
      </c>
      <c r="I56">
        <f>EXP(-0.26)</f>
        <v>0.77105158580356625</v>
      </c>
    </row>
  </sheetData>
  <sortState xmlns:xlrd2="http://schemas.microsoft.com/office/spreadsheetml/2017/richdata2" ref="A3:K39">
    <sortCondition ref="D3:D39"/>
  </sortState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285A-E150-49BC-93E5-874C0EC1951A}">
  <dimension ref="A1:K22"/>
  <sheetViews>
    <sheetView workbookViewId="0">
      <selection activeCell="C28" sqref="C28"/>
    </sheetView>
  </sheetViews>
  <sheetFormatPr defaultRowHeight="15" x14ac:dyDescent="0.25"/>
  <cols>
    <col min="1" max="1" width="12.5703125" bestFit="1" customWidth="1"/>
    <col min="2" max="2" width="32" bestFit="1" customWidth="1"/>
    <col min="3" max="3" width="21.42578125" bestFit="1" customWidth="1"/>
    <col min="4" max="4" width="16.140625" bestFit="1" customWidth="1"/>
    <col min="5" max="5" width="9" bestFit="1" customWidth="1"/>
    <col min="6" max="6" width="5" bestFit="1" customWidth="1"/>
    <col min="7" max="9" width="4" bestFit="1" customWidth="1"/>
    <col min="10" max="10" width="7.85546875" bestFit="1" customWidth="1"/>
    <col min="11" max="11" width="8.140625" bestFit="1" customWidth="1"/>
  </cols>
  <sheetData>
    <row r="1" spans="1:11" x14ac:dyDescent="0.25">
      <c r="A1" s="41" t="s">
        <v>409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25" t="s">
        <v>0</v>
      </c>
      <c r="B2" s="25" t="s">
        <v>20</v>
      </c>
      <c r="C2" s="25" t="s">
        <v>75</v>
      </c>
      <c r="D2" s="25" t="s">
        <v>18</v>
      </c>
      <c r="E2" s="25" t="s">
        <v>21</v>
      </c>
      <c r="F2" s="10" t="s">
        <v>31</v>
      </c>
      <c r="G2" s="25" t="s">
        <v>7</v>
      </c>
      <c r="H2" s="25" t="s">
        <v>77</v>
      </c>
      <c r="I2" s="25" t="s">
        <v>178</v>
      </c>
      <c r="J2" s="25" t="s">
        <v>8</v>
      </c>
      <c r="K2" s="25" t="s">
        <v>9</v>
      </c>
    </row>
    <row r="3" spans="1:11" x14ac:dyDescent="0.25">
      <c r="A3" s="11" t="s">
        <v>265</v>
      </c>
      <c r="B3" s="11" t="s">
        <v>266</v>
      </c>
      <c r="C3" s="11" t="s">
        <v>262</v>
      </c>
      <c r="D3" s="11" t="s">
        <v>19</v>
      </c>
      <c r="E3" s="11" t="s">
        <v>38</v>
      </c>
      <c r="F3" s="11">
        <v>362</v>
      </c>
      <c r="G3" s="16">
        <f>EXP(-0.7994)</f>
        <v>0.44959864239108371</v>
      </c>
      <c r="H3" s="16">
        <f>EXP(0.4142)</f>
        <v>1.5131597285689311</v>
      </c>
      <c r="I3" s="16">
        <f t="shared" ref="I3:I22" si="0">1/((H3)^2)</f>
        <v>0.43674752362053204</v>
      </c>
      <c r="J3" s="16">
        <f>G3-1.96*H3</f>
        <v>-2.516194425604021</v>
      </c>
      <c r="K3" s="16">
        <f>G3+1.96*H3</f>
        <v>3.4153917103861886</v>
      </c>
    </row>
    <row r="4" spans="1:11" x14ac:dyDescent="0.25">
      <c r="A4" s="11" t="s">
        <v>269</v>
      </c>
      <c r="B4" s="11" t="s">
        <v>338</v>
      </c>
      <c r="C4" s="11" t="s">
        <v>262</v>
      </c>
      <c r="D4" s="11" t="s">
        <v>19</v>
      </c>
      <c r="E4" s="11" t="s">
        <v>38</v>
      </c>
      <c r="F4" s="11">
        <v>362</v>
      </c>
      <c r="G4" s="16">
        <f>EXP(0.9338)</f>
        <v>2.5441586348500329</v>
      </c>
      <c r="H4" s="16">
        <f>EXP(0.3008)</f>
        <v>1.3509391266920934</v>
      </c>
      <c r="I4" s="16">
        <f t="shared" si="0"/>
        <v>0.54793423958066456</v>
      </c>
      <c r="J4" s="16">
        <f>G4-1.96*H4</f>
        <v>-0.10368205346646997</v>
      </c>
      <c r="K4" s="16">
        <f>G4+1.96*H4</f>
        <v>5.1919993231665362</v>
      </c>
    </row>
    <row r="5" spans="1:11" x14ac:dyDescent="0.25">
      <c r="A5" s="11" t="s">
        <v>395</v>
      </c>
      <c r="B5" s="11" t="s">
        <v>266</v>
      </c>
      <c r="C5" s="11" t="s">
        <v>262</v>
      </c>
      <c r="D5" s="11" t="s">
        <v>264</v>
      </c>
      <c r="E5" s="11" t="s">
        <v>38</v>
      </c>
      <c r="F5" s="11">
        <v>363</v>
      </c>
      <c r="G5" s="16">
        <f>EXP(-0.5909)</f>
        <v>0.55382861461346067</v>
      </c>
      <c r="H5" s="16">
        <f>EXP(0.2784)</f>
        <v>1.3210144973409614</v>
      </c>
      <c r="I5" s="16">
        <f t="shared" si="0"/>
        <v>0.5730398605655983</v>
      </c>
      <c r="J5" s="16">
        <f>G5-1.96*H5</f>
        <v>-2.0353598001748234</v>
      </c>
      <c r="K5" s="16">
        <f>G5+1.96*H5</f>
        <v>3.143017029401745</v>
      </c>
    </row>
    <row r="6" spans="1:11" x14ac:dyDescent="0.25">
      <c r="A6" s="11" t="s">
        <v>268</v>
      </c>
      <c r="B6" s="11" t="s">
        <v>338</v>
      </c>
      <c r="C6" s="11" t="s">
        <v>262</v>
      </c>
      <c r="D6" s="11" t="s">
        <v>264</v>
      </c>
      <c r="E6" s="11" t="s">
        <v>38</v>
      </c>
      <c r="F6" s="11">
        <v>362</v>
      </c>
      <c r="G6" s="16">
        <f>EXP(1.0708)</f>
        <v>2.9177127367472471</v>
      </c>
      <c r="H6" s="16">
        <f>EXP(0.3889)</f>
        <v>1.4753570082551986</v>
      </c>
      <c r="I6" s="16">
        <f t="shared" si="0"/>
        <v>0.45941561468660791</v>
      </c>
      <c r="J6" s="16">
        <f>G6-1.96*H6</f>
        <v>2.6013000567057798E-2</v>
      </c>
      <c r="K6" s="16">
        <f>G6+1.96*H6</f>
        <v>5.8094124729274359</v>
      </c>
    </row>
    <row r="7" spans="1:11" x14ac:dyDescent="0.25">
      <c r="A7" s="11" t="s">
        <v>246</v>
      </c>
      <c r="B7" s="11" t="s">
        <v>255</v>
      </c>
      <c r="C7" s="11" t="s">
        <v>76</v>
      </c>
      <c r="D7" s="11" t="s">
        <v>263</v>
      </c>
      <c r="E7" s="11" t="s">
        <v>257</v>
      </c>
      <c r="F7" s="11">
        <v>269</v>
      </c>
      <c r="G7" s="16">
        <f>EXP(0.13)</f>
        <v>1.1388283833246218</v>
      </c>
      <c r="H7" s="16">
        <f>(J7+1.96)/G7</f>
        <v>2.5991624755248615</v>
      </c>
      <c r="I7" s="16">
        <f t="shared" si="0"/>
        <v>0.14802434334662298</v>
      </c>
      <c r="J7" s="16">
        <f>EXP(0)</f>
        <v>1</v>
      </c>
      <c r="K7" s="16">
        <f>EXP(0.25)</f>
        <v>1.2840254166877414</v>
      </c>
    </row>
    <row r="8" spans="1:11" x14ac:dyDescent="0.25">
      <c r="A8" s="11" t="s">
        <v>306</v>
      </c>
      <c r="B8" s="11" t="s">
        <v>309</v>
      </c>
      <c r="C8" s="11" t="s">
        <v>311</v>
      </c>
      <c r="D8" s="11" t="s">
        <v>263</v>
      </c>
      <c r="E8" s="11" t="s">
        <v>23</v>
      </c>
      <c r="F8" s="11">
        <v>131</v>
      </c>
      <c r="G8" s="19">
        <f>EXP(0.147)</f>
        <v>1.1583539630298554</v>
      </c>
      <c r="H8" s="16">
        <f>(J8+1.96)/G8</f>
        <v>2.4656539288987496</v>
      </c>
      <c r="I8" s="16">
        <f t="shared" si="0"/>
        <v>0.16448858295076665</v>
      </c>
      <c r="J8" s="19">
        <v>0.89610000000000001</v>
      </c>
      <c r="K8" s="19">
        <v>3.2804000000000002</v>
      </c>
    </row>
    <row r="9" spans="1:11" x14ac:dyDescent="0.25">
      <c r="A9" s="11" t="s">
        <v>401</v>
      </c>
      <c r="B9" s="11" t="s">
        <v>310</v>
      </c>
      <c r="C9" s="11" t="s">
        <v>311</v>
      </c>
      <c r="D9" s="11" t="s">
        <v>263</v>
      </c>
      <c r="E9" s="11" t="s">
        <v>23</v>
      </c>
      <c r="F9" s="11">
        <v>131</v>
      </c>
      <c r="G9" s="19">
        <f>EXP(0.176)</f>
        <v>1.1924380586506695</v>
      </c>
      <c r="H9" s="16">
        <f>(J9+1.96)/G9</f>
        <v>2.4741746362393693</v>
      </c>
      <c r="I9" s="16">
        <f t="shared" si="0"/>
        <v>0.16335758300424907</v>
      </c>
      <c r="J9" s="19">
        <v>0.99029999999999996</v>
      </c>
      <c r="K9" s="19">
        <v>3.6945999999999999</v>
      </c>
    </row>
    <row r="10" spans="1:11" x14ac:dyDescent="0.25">
      <c r="A10" s="11" t="s">
        <v>261</v>
      </c>
      <c r="B10" s="11" t="s">
        <v>266</v>
      </c>
      <c r="C10" s="11" t="s">
        <v>262</v>
      </c>
      <c r="D10" s="11" t="s">
        <v>263</v>
      </c>
      <c r="E10" s="11" t="s">
        <v>38</v>
      </c>
      <c r="F10" s="11">
        <v>362</v>
      </c>
      <c r="G10" s="16">
        <f>EXP(-0.5355)</f>
        <v>0.58537652869618273</v>
      </c>
      <c r="H10" s="16">
        <f>EXP(0.3731)</f>
        <v>1.4522295555274223</v>
      </c>
      <c r="I10" s="16">
        <f t="shared" si="0"/>
        <v>0.47416496045199802</v>
      </c>
      <c r="J10" s="16">
        <f>G10-1.96*H10</f>
        <v>-2.2609934001375649</v>
      </c>
      <c r="K10" s="16">
        <f>G10+1.96*H10</f>
        <v>3.4317464575299299</v>
      </c>
    </row>
    <row r="11" spans="1:11" x14ac:dyDescent="0.25">
      <c r="A11" s="11" t="s">
        <v>267</v>
      </c>
      <c r="B11" s="11" t="s">
        <v>338</v>
      </c>
      <c r="C11" s="11" t="s">
        <v>262</v>
      </c>
      <c r="D11" s="11" t="s">
        <v>263</v>
      </c>
      <c r="E11" s="11" t="s">
        <v>38</v>
      </c>
      <c r="F11" s="11">
        <v>362</v>
      </c>
      <c r="G11" s="16">
        <f>EXP(0.6597)</f>
        <v>1.93421198375866</v>
      </c>
      <c r="H11" s="16">
        <f>EXP(0.2887)</f>
        <v>1.3346912610830701</v>
      </c>
      <c r="I11" s="16">
        <f t="shared" si="0"/>
        <v>0.56135599641614675</v>
      </c>
      <c r="J11" s="16">
        <f>G11-1.96*H11</f>
        <v>-0.6817828879641572</v>
      </c>
      <c r="K11" s="16">
        <f>G11+1.96*H11</f>
        <v>4.550206855481477</v>
      </c>
    </row>
    <row r="12" spans="1:11" x14ac:dyDescent="0.25">
      <c r="A12" s="11" t="s">
        <v>248</v>
      </c>
      <c r="B12" s="11" t="s">
        <v>255</v>
      </c>
      <c r="C12" s="11" t="s">
        <v>76</v>
      </c>
      <c r="D12" s="11" t="s">
        <v>250</v>
      </c>
      <c r="E12" s="11" t="s">
        <v>257</v>
      </c>
      <c r="F12" s="11">
        <v>181</v>
      </c>
      <c r="G12" s="16">
        <v>0.95</v>
      </c>
      <c r="H12" s="16">
        <f t="shared" ref="H12:H22" si="1">(J12+1.96)/G12</f>
        <v>2.3789473684210525</v>
      </c>
      <c r="I12" s="16">
        <f t="shared" si="0"/>
        <v>0.17669747043621273</v>
      </c>
      <c r="J12" s="16">
        <v>0.3</v>
      </c>
      <c r="K12" s="16">
        <v>3</v>
      </c>
    </row>
    <row r="13" spans="1:11" x14ac:dyDescent="0.25">
      <c r="A13" s="11" t="s">
        <v>254</v>
      </c>
      <c r="B13" s="11" t="s">
        <v>255</v>
      </c>
      <c r="C13" s="11" t="s">
        <v>76</v>
      </c>
      <c r="D13" s="11" t="s">
        <v>250</v>
      </c>
      <c r="E13" s="11" t="s">
        <v>257</v>
      </c>
      <c r="F13" s="11">
        <v>178</v>
      </c>
      <c r="G13" s="16">
        <v>2.92</v>
      </c>
      <c r="H13" s="16">
        <f t="shared" si="1"/>
        <v>1.0376712328767124</v>
      </c>
      <c r="I13" s="16">
        <f t="shared" si="0"/>
        <v>0.92871069285146335</v>
      </c>
      <c r="J13" s="16">
        <v>1.07</v>
      </c>
      <c r="K13" s="16">
        <v>8.0399999999999991</v>
      </c>
    </row>
    <row r="14" spans="1:11" x14ac:dyDescent="0.25">
      <c r="A14" s="11" t="s">
        <v>247</v>
      </c>
      <c r="B14" s="11" t="s">
        <v>255</v>
      </c>
      <c r="C14" s="11" t="s">
        <v>76</v>
      </c>
      <c r="D14" s="11" t="s">
        <v>249</v>
      </c>
      <c r="E14" s="11" t="s">
        <v>257</v>
      </c>
      <c r="F14" s="11">
        <f>90+91</f>
        <v>181</v>
      </c>
      <c r="G14" s="16">
        <v>2.77</v>
      </c>
      <c r="H14" s="16">
        <f t="shared" si="1"/>
        <v>1.0685920577617329</v>
      </c>
      <c r="I14" s="16">
        <f t="shared" si="0"/>
        <v>0.87574187363038702</v>
      </c>
      <c r="J14" s="16">
        <v>1</v>
      </c>
      <c r="K14" s="16">
        <v>7.65</v>
      </c>
    </row>
    <row r="15" spans="1:11" x14ac:dyDescent="0.25">
      <c r="A15" s="11" t="s">
        <v>253</v>
      </c>
      <c r="B15" s="11" t="s">
        <v>255</v>
      </c>
      <c r="C15" s="11" t="s">
        <v>76</v>
      </c>
      <c r="D15" s="11" t="s">
        <v>249</v>
      </c>
      <c r="E15" s="11" t="s">
        <v>257</v>
      </c>
      <c r="F15" s="11">
        <f>88+90</f>
        <v>178</v>
      </c>
      <c r="G15" s="16">
        <v>2.87</v>
      </c>
      <c r="H15" s="16">
        <f t="shared" si="1"/>
        <v>1.0452961672473868</v>
      </c>
      <c r="I15" s="16">
        <f t="shared" si="0"/>
        <v>0.91521111111111098</v>
      </c>
      <c r="J15" s="16">
        <v>1.04</v>
      </c>
      <c r="K15" s="16">
        <v>7.94</v>
      </c>
    </row>
    <row r="16" spans="1:11" x14ac:dyDescent="0.25">
      <c r="A16" s="11" t="s">
        <v>305</v>
      </c>
      <c r="B16" s="11" t="s">
        <v>309</v>
      </c>
      <c r="C16" s="11" t="s">
        <v>311</v>
      </c>
      <c r="D16" s="11" t="s">
        <v>373</v>
      </c>
      <c r="E16" s="11" t="s">
        <v>23</v>
      </c>
      <c r="F16" s="11">
        <v>131</v>
      </c>
      <c r="G16" s="19">
        <f>EXP(0.249)</f>
        <v>1.2827420330698114</v>
      </c>
      <c r="H16" s="16">
        <f t="shared" si="1"/>
        <v>2.5204600119500746</v>
      </c>
      <c r="I16" s="16">
        <f t="shared" si="0"/>
        <v>0.15741292061819878</v>
      </c>
      <c r="J16" s="19">
        <v>1.2730999999999999</v>
      </c>
      <c r="K16" s="19">
        <v>5.0727000000000002</v>
      </c>
    </row>
    <row r="17" spans="1:11" x14ac:dyDescent="0.25">
      <c r="A17" s="11" t="s">
        <v>308</v>
      </c>
      <c r="B17" s="11" t="s">
        <v>310</v>
      </c>
      <c r="C17" s="11" t="s">
        <v>311</v>
      </c>
      <c r="D17" s="11" t="s">
        <v>373</v>
      </c>
      <c r="E17" s="11" t="s">
        <v>23</v>
      </c>
      <c r="F17" s="11">
        <v>131</v>
      </c>
      <c r="G17" s="19">
        <f>EXP(0.105)</f>
        <v>1.1107106103557052</v>
      </c>
      <c r="H17" s="16">
        <f t="shared" si="1"/>
        <v>2.4620274394644022</v>
      </c>
      <c r="I17" s="16">
        <f t="shared" si="0"/>
        <v>0.16497351291000312</v>
      </c>
      <c r="J17" s="19">
        <v>0.77459999999999996</v>
      </c>
      <c r="K17" s="19">
        <v>2.7772999999999999</v>
      </c>
    </row>
    <row r="18" spans="1:11" x14ac:dyDescent="0.25">
      <c r="A18" s="11" t="s">
        <v>400</v>
      </c>
      <c r="B18" s="11" t="s">
        <v>255</v>
      </c>
      <c r="C18" s="11" t="s">
        <v>76</v>
      </c>
      <c r="D18" s="11" t="s">
        <v>361</v>
      </c>
      <c r="E18" s="11" t="s">
        <v>257</v>
      </c>
      <c r="F18" s="11">
        <f>90+91+88</f>
        <v>269</v>
      </c>
      <c r="G18" s="16">
        <f>EXP(0.05)</f>
        <v>1.0512710963760241</v>
      </c>
      <c r="H18" s="16">
        <f t="shared" si="1"/>
        <v>2.7513301087385567</v>
      </c>
      <c r="I18" s="16">
        <f t="shared" si="0"/>
        <v>0.13210358341354683</v>
      </c>
      <c r="J18" s="16">
        <f>EXP(-0.07)</f>
        <v>0.93239381990594827</v>
      </c>
      <c r="K18" s="16">
        <f>EXP(0.18)</f>
        <v>1.1972173631218102</v>
      </c>
    </row>
    <row r="19" spans="1:11" x14ac:dyDescent="0.25">
      <c r="A19" s="11" t="s">
        <v>304</v>
      </c>
      <c r="B19" s="11" t="s">
        <v>309</v>
      </c>
      <c r="C19" s="11" t="s">
        <v>311</v>
      </c>
      <c r="D19" s="11" t="s">
        <v>361</v>
      </c>
      <c r="E19" s="11" t="s">
        <v>23</v>
      </c>
      <c r="F19" s="11">
        <v>131</v>
      </c>
      <c r="G19" s="19">
        <v>1.31</v>
      </c>
      <c r="H19" s="16">
        <f t="shared" si="1"/>
        <v>2.5481679389312974</v>
      </c>
      <c r="I19" s="16">
        <f t="shared" si="0"/>
        <v>0.15400822155494065</v>
      </c>
      <c r="J19" s="19">
        <v>1.3781000000000001</v>
      </c>
      <c r="K19" s="19">
        <v>5.6409000000000002</v>
      </c>
    </row>
    <row r="20" spans="1:11" x14ac:dyDescent="0.25">
      <c r="A20" s="11" t="s">
        <v>307</v>
      </c>
      <c r="B20" s="11" t="s">
        <v>310</v>
      </c>
      <c r="C20" s="11" t="s">
        <v>311</v>
      </c>
      <c r="D20" s="11" t="s">
        <v>361</v>
      </c>
      <c r="E20" s="11" t="s">
        <v>23</v>
      </c>
      <c r="F20" s="11">
        <v>131</v>
      </c>
      <c r="G20" s="19">
        <f>EXP(0.147)</f>
        <v>1.1583539630298554</v>
      </c>
      <c r="H20" s="16">
        <f t="shared" si="1"/>
        <v>2.4656539288987496</v>
      </c>
      <c r="I20" s="16">
        <f t="shared" si="0"/>
        <v>0.16448858295076665</v>
      </c>
      <c r="J20" s="19">
        <v>0.89610000000000001</v>
      </c>
      <c r="K20" s="19">
        <v>3.2804000000000002</v>
      </c>
    </row>
    <row r="21" spans="1:11" x14ac:dyDescent="0.25">
      <c r="A21" s="11" t="s">
        <v>399</v>
      </c>
      <c r="B21" s="11" t="s">
        <v>255</v>
      </c>
      <c r="C21" s="11" t="s">
        <v>76</v>
      </c>
      <c r="D21" s="11" t="s">
        <v>251</v>
      </c>
      <c r="E21" s="11" t="s">
        <v>257</v>
      </c>
      <c r="F21" s="11">
        <v>178</v>
      </c>
      <c r="G21" s="16">
        <v>1.39</v>
      </c>
      <c r="H21" s="16">
        <f t="shared" si="1"/>
        <v>1.8776978417266188</v>
      </c>
      <c r="I21" s="16">
        <f t="shared" si="0"/>
        <v>0.28362766254165378</v>
      </c>
      <c r="J21" s="16">
        <v>0.65</v>
      </c>
      <c r="K21" s="16">
        <v>2.98</v>
      </c>
    </row>
    <row r="22" spans="1:11" x14ac:dyDescent="0.25">
      <c r="A22" s="11" t="s">
        <v>252</v>
      </c>
      <c r="B22" s="11" t="s">
        <v>255</v>
      </c>
      <c r="C22" s="11" t="s">
        <v>76</v>
      </c>
      <c r="D22" s="11" t="s">
        <v>251</v>
      </c>
      <c r="E22" s="11" t="s">
        <v>257</v>
      </c>
      <c r="F22" s="11">
        <v>181</v>
      </c>
      <c r="G22" s="16">
        <v>1.19</v>
      </c>
      <c r="H22" s="16">
        <f t="shared" si="1"/>
        <v>2.1176470588235294</v>
      </c>
      <c r="I22" s="16">
        <f t="shared" si="0"/>
        <v>0.22299382716049382</v>
      </c>
      <c r="J22" s="16">
        <v>0.56000000000000005</v>
      </c>
      <c r="K22" s="16">
        <v>2.56</v>
      </c>
    </row>
  </sheetData>
  <sortState xmlns:xlrd2="http://schemas.microsoft.com/office/spreadsheetml/2017/richdata2" ref="A3:K22">
    <sortCondition ref="D3:D22"/>
  </sortState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CigSm Final</vt:lpstr>
      <vt:lpstr>Cocaine Final</vt:lpstr>
      <vt:lpstr>Alcohol Final</vt:lpstr>
      <vt:lpstr>PhPl Final</vt:lpstr>
      <vt:lpstr>OCs Final</vt:lpstr>
      <vt:lpstr>Hg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Nilsen, Frances</dc:creator>
  <cp:lastModifiedBy>Nilsen, Frances</cp:lastModifiedBy>
  <cp:lastPrinted>2018-09-05T17:56:04Z</cp:lastPrinted>
  <dcterms:created xsi:type="dcterms:W3CDTF">2018-09-04T18:48:07Z</dcterms:created>
  <dcterms:modified xsi:type="dcterms:W3CDTF">2020-10-19T18:48:10Z</dcterms:modified>
</cp:coreProperties>
</file>