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Home Depot\"/>
    </mc:Choice>
  </mc:AlternateContent>
  <xr:revisionPtr revIDLastSave="0" documentId="13_ncr:1_{63070F4A-B598-4099-8754-2BBF9FAE1356}" xr6:coauthVersionLast="47" xr6:coauthVersionMax="47" xr10:uidLastSave="{00000000-0000-0000-0000-000000000000}"/>
  <bookViews>
    <workbookView xWindow="23880" yWindow="-7830" windowWidth="24240" windowHeight="18240" activeTab="2" xr2:uid="{6B53D2EA-E1DC-4D29-B33F-5E60855FC21C}"/>
  </bookViews>
  <sheets>
    <sheet name="Historical Data and Projections" sheetId="1" r:id="rId1"/>
    <sheet name="Street Estimates" sheetId="2" r:id="rId2"/>
    <sheet name="DCF 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2" i="3"/>
  <c r="G23" i="3" s="1"/>
  <c r="G21" i="3"/>
  <c r="G20" i="3"/>
  <c r="L11" i="3"/>
  <c r="O10" i="3"/>
  <c r="N10" i="3"/>
  <c r="M10" i="3"/>
  <c r="L10" i="3"/>
  <c r="K10" i="3"/>
  <c r="J10" i="3"/>
  <c r="J7" i="3"/>
  <c r="O7" i="3"/>
  <c r="N7" i="3"/>
  <c r="N11" i="3" s="1"/>
  <c r="M7" i="3"/>
  <c r="L7" i="3"/>
  <c r="K7" i="3"/>
  <c r="L6" i="3"/>
  <c r="M6" i="3"/>
  <c r="M11" i="3" s="1"/>
  <c r="N6" i="3"/>
  <c r="O6" i="3"/>
  <c r="G26" i="3" s="1"/>
  <c r="K6" i="3"/>
  <c r="K11" i="3" s="1"/>
  <c r="O9" i="3"/>
  <c r="N9" i="3"/>
  <c r="M9" i="3"/>
  <c r="L9" i="3"/>
  <c r="K9" i="3"/>
  <c r="J9" i="3"/>
  <c r="O8" i="3"/>
  <c r="N8" i="3"/>
  <c r="M8" i="3"/>
  <c r="L8" i="3"/>
  <c r="K8" i="3"/>
  <c r="J8" i="3"/>
  <c r="J6" i="3"/>
  <c r="J11" i="3" s="1"/>
  <c r="N16" i="2"/>
  <c r="M16" i="2"/>
  <c r="L16" i="2"/>
  <c r="K16" i="2"/>
  <c r="J16" i="2"/>
  <c r="K15" i="2"/>
  <c r="L15" i="2" s="1"/>
  <c r="M15" i="2" s="1"/>
  <c r="N15" i="2" s="1"/>
  <c r="L14" i="2"/>
  <c r="M14" i="2" s="1"/>
  <c r="N14" i="2" s="1"/>
  <c r="K14" i="2"/>
  <c r="L13" i="2"/>
  <c r="M13" i="2" s="1"/>
  <c r="N13" i="2" s="1"/>
  <c r="K13" i="2"/>
  <c r="N10" i="2"/>
  <c r="M10" i="2"/>
  <c r="L10" i="2"/>
  <c r="K10" i="2"/>
  <c r="J10" i="2"/>
  <c r="M9" i="2"/>
  <c r="N9" i="2" s="1"/>
  <c r="L9" i="2"/>
  <c r="M7" i="2"/>
  <c r="N7" i="2" s="1"/>
  <c r="L7" i="2"/>
  <c r="K7" i="2"/>
  <c r="L8" i="2"/>
  <c r="M8" i="2" s="1"/>
  <c r="N8" i="2" s="1"/>
  <c r="K8" i="2"/>
  <c r="I33" i="1"/>
  <c r="H33" i="1"/>
  <c r="G33" i="1"/>
  <c r="F33" i="1"/>
  <c r="E33" i="1"/>
  <c r="H32" i="3" l="1"/>
  <c r="H33" i="3" s="1"/>
  <c r="J32" i="3"/>
  <c r="J33" i="3" s="1"/>
  <c r="K32" i="3"/>
  <c r="G32" i="3"/>
  <c r="G33" i="3" s="1"/>
  <c r="I32" i="3"/>
  <c r="I33" i="3" s="1"/>
  <c r="G28" i="3"/>
  <c r="G29" i="3" s="1"/>
  <c r="O11" i="3"/>
  <c r="K33" i="3" l="1"/>
  <c r="F35" i="3" s="1"/>
  <c r="F42" i="3" s="1"/>
  <c r="F45" i="3" s="1"/>
  <c r="K34" i="3"/>
</calcChain>
</file>

<file path=xl/sharedStrings.xml><?xml version="1.0" encoding="utf-8"?>
<sst xmlns="http://schemas.openxmlformats.org/spreadsheetml/2006/main" count="108" uniqueCount="94">
  <si>
    <t>Projected</t>
  </si>
  <si>
    <t>(in Millions)</t>
  </si>
  <si>
    <t>Historical</t>
  </si>
  <si>
    <t>Ticker: HD</t>
  </si>
  <si>
    <t xml:space="preserve">Current Price: </t>
  </si>
  <si>
    <t>Revenue</t>
  </si>
  <si>
    <t>Revenue Growth y/y</t>
  </si>
  <si>
    <t>Cost of Revenues</t>
  </si>
  <si>
    <t>Gross Profit</t>
  </si>
  <si>
    <t>Gross Profit Margin</t>
  </si>
  <si>
    <t>R&amp;D Expenses</t>
  </si>
  <si>
    <t>Selling and Marketing Expense</t>
  </si>
  <si>
    <t>General &amp; Admin Expenses</t>
  </si>
  <si>
    <t>Other</t>
  </si>
  <si>
    <t>Operating Expenses</t>
  </si>
  <si>
    <t>Operating Income</t>
  </si>
  <si>
    <t>Net Interest Expenses</t>
  </si>
  <si>
    <t>EBT, Incl Unusual Items</t>
  </si>
  <si>
    <t>Income Tax Expense</t>
  </si>
  <si>
    <t>Net Income to Company</t>
  </si>
  <si>
    <t>Net Income to Stockholders</t>
  </si>
  <si>
    <t>EBITDA</t>
  </si>
  <si>
    <t>EBIT</t>
  </si>
  <si>
    <t xml:space="preserve">  D&amp;A</t>
  </si>
  <si>
    <t xml:space="preserve">  Stock-Based Comp</t>
  </si>
  <si>
    <t xml:space="preserve">  Change in Accounts Receivables</t>
  </si>
  <si>
    <t xml:space="preserve">  Change in Inventories</t>
  </si>
  <si>
    <t xml:space="preserve">  Change in Other Net Operating Assets</t>
  </si>
  <si>
    <t xml:space="preserve">  Other Operating Activities</t>
  </si>
  <si>
    <t xml:space="preserve">  Cash from Operations</t>
  </si>
  <si>
    <t>Capital Expenditures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</si>
  <si>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</si>
  <si>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</si>
  <si>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</si>
  <si>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</si>
  <si>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</si>
  <si>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</si>
  <si>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</si>
  <si>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Other Financing Activiites</t>
  </si>
  <si>
    <t>Cash from Financing</t>
  </si>
  <si>
    <t>Begininng Cash</t>
  </si>
  <si>
    <t>Ending Cash</t>
  </si>
  <si>
    <t>Levered FCF</t>
  </si>
  <si>
    <t>Cash Interest Paid</t>
  </si>
  <si>
    <t xml:space="preserve">  High Consensus</t>
  </si>
  <si>
    <t xml:space="preserve">  Median Consensus</t>
  </si>
  <si>
    <t xml:space="preserve">  Low Consensus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</si>
  <si>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</si>
  <si>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</si>
  <si>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</si>
  <si>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</si>
  <si>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</si>
  <si>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</si>
  <si>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</si>
  <si>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</si>
  <si>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</si>
  <si>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CapEx</t>
  </si>
  <si>
    <t>Conseravtive</t>
  </si>
  <si>
    <t>g (%)</t>
  </si>
  <si>
    <t>Discounted Cash Flow Model</t>
  </si>
  <si>
    <t>Assumptions:</t>
  </si>
  <si>
    <t>EV / EBITDA</t>
  </si>
  <si>
    <t>Cost of Debt</t>
  </si>
  <si>
    <t>Tax Rate</t>
  </si>
  <si>
    <t>Growth Rate</t>
  </si>
  <si>
    <t>Risk Free Rate</t>
  </si>
  <si>
    <t>Beta</t>
  </si>
  <si>
    <t>Market Return</t>
  </si>
  <si>
    <t>Equity Value</t>
  </si>
  <si>
    <t>Debt Value</t>
  </si>
  <si>
    <t>Period</t>
  </si>
  <si>
    <t>D&amp;A</t>
  </si>
  <si>
    <t>Tax</t>
  </si>
  <si>
    <t>NWC</t>
  </si>
  <si>
    <t>FCF</t>
  </si>
  <si>
    <t>WACC:</t>
  </si>
  <si>
    <t>Cost of Equity</t>
  </si>
  <si>
    <t>D/D+E</t>
  </si>
  <si>
    <t>E/D+E</t>
  </si>
  <si>
    <t>Terminal Value</t>
  </si>
  <si>
    <t>WACC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</si>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</sst>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(#,##0\)_-;_-* &quot;-&quot;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1" xfId="0" applyFont="1" applyBorder="1"/>
    <xf numFmtId="0" fontId="2" fillId="0" borderId="0" xfId="0" applyFont="1"/>
    <xf numFmtId="0" fontId="2" fillId="2" borderId="0" xfId="0" applyFont="1" applyFill="1"/>
    <xf numFmtId="0" fontId="0" fillId="0" borderId="2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2" xfId="0" applyFill="1" applyBorder="1"/>
    <xf numFmtId="164" fontId="0" fillId="0" borderId="5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Border="1"/>
    <xf numFmtId="164" fontId="3" fillId="0" borderId="5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165" fontId="3" fillId="0" borderId="3" xfId="1" applyNumberFormat="1" applyFont="1" applyBorder="1"/>
    <xf numFmtId="165" fontId="3" fillId="0" borderId="2" xfId="1" applyNumberFormat="1" applyFont="1" applyBorder="1"/>
    <xf numFmtId="164" fontId="3" fillId="0" borderId="3" xfId="0" applyNumberFormat="1" applyFont="1" applyBorder="1"/>
    <xf numFmtId="164" fontId="3" fillId="0" borderId="2" xfId="0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4" fontId="3" fillId="0" borderId="0" xfId="0" applyNumberFormat="1" applyFont="1" applyBorder="1"/>
    <xf numFmtId="164" fontId="3" fillId="0" borderId="6" xfId="0" applyNumberFormat="1" applyFont="1" applyBorder="1"/>
    <xf numFmtId="164" fontId="3" fillId="0" borderId="0" xfId="0" applyNumberFormat="1" applyFont="1" applyFill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0" fillId="2" borderId="2" xfId="0" applyFill="1" applyBorder="1"/>
    <xf numFmtId="0" fontId="2" fillId="2" borderId="9" xfId="0" applyFont="1" applyFill="1" applyBorder="1"/>
    <xf numFmtId="0" fontId="0" fillId="0" borderId="8" xfId="0" applyFill="1" applyBorder="1"/>
    <xf numFmtId="0" fontId="0" fillId="0" borderId="5" xfId="0" applyBorder="1"/>
    <xf numFmtId="1" fontId="0" fillId="0" borderId="0" xfId="0" applyNumberFormat="1"/>
    <xf numFmtId="0" fontId="0" fillId="0" borderId="11" xfId="0" applyBorder="1"/>
    <xf numFmtId="0" fontId="0" fillId="0" borderId="12" xfId="0" applyBorder="1"/>
    <xf numFmtId="0" fontId="2" fillId="2" borderId="12" xfId="0" applyFont="1" applyFill="1" applyBorder="1"/>
    <xf numFmtId="9" fontId="0" fillId="0" borderId="11" xfId="0" applyNumberFormat="1" applyBorder="1"/>
    <xf numFmtId="1" fontId="0" fillId="0" borderId="2" xfId="0" applyNumberFormat="1" applyBorder="1"/>
    <xf numFmtId="165" fontId="0" fillId="0" borderId="11" xfId="0" applyNumberFormat="1" applyBorder="1"/>
    <xf numFmtId="164" fontId="3" fillId="0" borderId="4" xfId="0" applyNumberFormat="1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9" fontId="3" fillId="0" borderId="11" xfId="0" applyNumberFormat="1" applyFont="1" applyBorder="1"/>
    <xf numFmtId="165" fontId="3" fillId="0" borderId="1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9" fontId="0" fillId="0" borderId="12" xfId="0" applyNumberFormat="1" applyBorder="1"/>
    <xf numFmtId="0" fontId="0" fillId="0" borderId="13" xfId="0" applyBorder="1"/>
    <xf numFmtId="164" fontId="0" fillId="0" borderId="8" xfId="0" applyNumberFormat="1" applyFont="1" applyBorder="1"/>
    <xf numFmtId="0" fontId="2" fillId="0" borderId="6" xfId="0" applyFont="1" applyBorder="1"/>
    <xf numFmtId="1" fontId="0" fillId="0" borderId="0" xfId="0" applyNumberFormat="1" applyBorder="1"/>
    <xf numFmtId="10" fontId="0" fillId="0" borderId="0" xfId="0" applyNumberFormat="1"/>
    <xf numFmtId="10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0" applyNumberFormat="1" applyFont="1"/>
    <xf numFmtId="165" fontId="0" fillId="0" borderId="0" xfId="1" applyNumberFormat="1" applyFont="1"/>
    <xf numFmtId="2" fontId="0" fillId="0" borderId="0" xfId="0" applyNumberFormat="1"/>
    <xf numFmtId="165" fontId="0" fillId="0" borderId="6" xfId="1" applyNumberFormat="1" applyFont="1" applyBorder="1"/>
    <xf numFmtId="1" fontId="0" fillId="0" borderId="6" xfId="0" applyNumberFormat="1" applyBorder="1"/>
    <xf numFmtId="3" fontId="0" fillId="0" borderId="2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Depot Revenue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2-4123-883E-5F254D38CBBF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2-4123-883E-5F254D38CBB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2-4123-883E-5F254D38CBBF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2-4123-883E-5F254D38CBBF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2-4123-883E-5F254D38CBBF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('Historical Data and Projections'!$E$5:$N$5,'Historical Data and Projections'!$E$5:$N$5)</c15:sqref>
                  </c15:fullRef>
                </c:ext>
              </c:extLst>
              <c:f>('Historical Data and Projections'!$E$5:$N$5,'Historical Data and Projections'!$J$5:$N$5)</c:f>
              <c:numCache>
                <c:formatCode>General</c:formatCode>
                <c:ptCount val="1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('Historical Data and Projections'!$E$6:$I$6,'Historical Data and Projections'!$E$6:$I$6,'Historical Data and Projections'!$J$9:$N$9)</c15:sqref>
                  </c15:fullRef>
                </c:ext>
              </c:extLst>
              <c:f>('Historical Data and Projections'!$E$6:$I$6,'Historical Data and Projections'!$E$6:$I$6)</c:f>
              <c:numCache>
                <c:formatCode>_-* #,##0_-;\(#,##0\)_-;_-* "-"_-;_-@_-</c:formatCode>
                <c:ptCount val="10"/>
                <c:pt idx="0">
                  <c:v>100904</c:v>
                </c:pt>
                <c:pt idx="1">
                  <c:v>108203</c:v>
                </c:pt>
                <c:pt idx="2">
                  <c:v>110225</c:v>
                </c:pt>
                <c:pt idx="3">
                  <c:v>132110</c:v>
                </c:pt>
                <c:pt idx="4">
                  <c:v>151157</c:v>
                </c:pt>
                <c:pt idx="5">
                  <c:v>100904</c:v>
                </c:pt>
                <c:pt idx="6">
                  <c:v>108203</c:v>
                </c:pt>
                <c:pt idx="7">
                  <c:v>110225</c:v>
                </c:pt>
                <c:pt idx="8">
                  <c:v>132110</c:v>
                </c:pt>
                <c:pt idx="9">
                  <c:v>151157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B-45D8-9FE1-2877D79C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82735"/>
        <c:axId val="969984815"/>
      </c:lineChart>
      <c:catAx>
        <c:axId val="9699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4815"/>
        <c:crosses val="autoZero"/>
        <c:auto val="1"/>
        <c:lblAlgn val="ctr"/>
        <c:lblOffset val="100"/>
        <c:noMultiLvlLbl val="0"/>
      </c:catAx>
      <c:valAx>
        <c:axId val="9699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1</xdr:row>
      <xdr:rowOff>123825</xdr:rowOff>
    </xdr:from>
    <xdr:to>
      <xdr:col>21</xdr:col>
      <xdr:colOff>466724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D7438-5AB2-A233-CC27-7821C388E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EE7-D7EC-4067-9579-F667DE373D78}">
  <dimension ref="B2:N58"/>
  <sheetViews>
    <sheetView showGridLines="0" workbookViewId="0">
      <selection activeCell="I12" sqref="I12"/>
    </sheetView>
  </sheetViews>
  <sheetFormatPr defaultRowHeight="15" x14ac:dyDescent="0.25"/>
  <cols>
    <col min="4" max="4" width="17.85546875" customWidth="1"/>
    <col min="5" max="8" width="9.28515625" bestFit="1" customWidth="1"/>
    <col min="9" max="9" width="9.7109375" bestFit="1" customWidth="1"/>
  </cols>
  <sheetData>
    <row r="2" spans="2:14" x14ac:dyDescent="0.25">
      <c r="B2" s="7" t="s">
        <v>3</v>
      </c>
      <c r="C2" s="1"/>
      <c r="D2" s="1"/>
      <c r="E2" s="2"/>
      <c r="J2" s="2"/>
    </row>
    <row r="3" spans="2:14" x14ac:dyDescent="0.25">
      <c r="B3" s="7" t="s">
        <v>4</v>
      </c>
      <c r="C3" s="1"/>
      <c r="D3" s="1"/>
      <c r="E3" s="69" t="s">
        <v>2</v>
      </c>
      <c r="F3" s="70"/>
      <c r="G3" s="70"/>
      <c r="H3" s="70"/>
      <c r="I3" s="71"/>
      <c r="J3" s="69" t="s">
        <v>0</v>
      </c>
      <c r="K3" s="70"/>
      <c r="L3" s="70"/>
      <c r="M3" s="70"/>
      <c r="N3" s="70"/>
    </row>
    <row r="4" spans="2:14" x14ac:dyDescent="0.25">
      <c r="E4" s="2"/>
      <c r="J4" s="5">
        <v>1</v>
      </c>
      <c r="K4" s="6">
        <v>2</v>
      </c>
      <c r="L4" s="6">
        <v>3</v>
      </c>
      <c r="M4" s="6">
        <v>4</v>
      </c>
      <c r="N4" s="6">
        <v>5</v>
      </c>
    </row>
    <row r="5" spans="2:14" x14ac:dyDescent="0.25">
      <c r="B5" s="3" t="s">
        <v>1</v>
      </c>
      <c r="C5" s="3"/>
      <c r="D5" s="3"/>
      <c r="E5" s="4">
        <v>2017</v>
      </c>
      <c r="F5" s="3">
        <v>2018</v>
      </c>
      <c r="G5" s="3">
        <v>2019</v>
      </c>
      <c r="H5" s="3">
        <v>2020</v>
      </c>
      <c r="I5" s="3">
        <v>2021</v>
      </c>
      <c r="J5" s="4">
        <v>2022</v>
      </c>
      <c r="K5" s="3">
        <v>2023</v>
      </c>
      <c r="L5" s="3">
        <v>2024</v>
      </c>
      <c r="M5" s="3">
        <v>2025</v>
      </c>
      <c r="N5" s="3">
        <v>2026</v>
      </c>
    </row>
    <row r="6" spans="2:14" x14ac:dyDescent="0.25">
      <c r="B6" t="s">
        <v>5</v>
      </c>
      <c r="E6" s="22">
        <v>100904</v>
      </c>
      <c r="F6" s="23">
        <v>108203</v>
      </c>
      <c r="G6" s="23">
        <v>110225</v>
      </c>
      <c r="H6" s="23">
        <v>132110</v>
      </c>
      <c r="I6" s="23">
        <v>151157</v>
      </c>
      <c r="J6" s="24"/>
      <c r="K6" s="23"/>
      <c r="L6" s="23"/>
      <c r="M6" s="23"/>
      <c r="N6" s="23"/>
    </row>
    <row r="7" spans="2:14" x14ac:dyDescent="0.25">
      <c r="B7" s="21" t="s">
        <v>6</v>
      </c>
      <c r="C7" s="21"/>
      <c r="D7" s="21"/>
      <c r="E7" s="25">
        <v>6.7000000000000004E-2</v>
      </c>
      <c r="F7" s="26">
        <v>7.1999999999999995E-2</v>
      </c>
      <c r="G7" s="26">
        <v>1.9E-2</v>
      </c>
      <c r="H7" s="26">
        <v>0.19900000000000001</v>
      </c>
      <c r="I7" s="26">
        <v>0.14399999999999999</v>
      </c>
      <c r="J7" s="27"/>
      <c r="K7" s="28"/>
      <c r="L7" s="28"/>
      <c r="M7" s="28"/>
      <c r="N7" s="28"/>
    </row>
    <row r="8" spans="2:14" x14ac:dyDescent="0.25">
      <c r="B8" s="10" t="s">
        <v>44</v>
      </c>
      <c r="C8" s="21"/>
      <c r="D8" s="21"/>
      <c r="E8" s="29"/>
      <c r="F8" s="30"/>
      <c r="G8" s="30"/>
      <c r="H8" s="30"/>
      <c r="I8" s="30"/>
      <c r="J8" s="22">
        <v>159120</v>
      </c>
      <c r="K8" s="31">
        <v>165647</v>
      </c>
      <c r="L8" s="31">
        <v>170100</v>
      </c>
      <c r="M8" s="31">
        <v>177371</v>
      </c>
      <c r="N8" s="31">
        <v>184241</v>
      </c>
    </row>
    <row r="9" spans="2:14" x14ac:dyDescent="0.25">
      <c r="B9" s="10" t="s">
        <v>45</v>
      </c>
      <c r="C9" s="21"/>
      <c r="D9" s="21"/>
      <c r="E9" s="29"/>
      <c r="F9" s="30"/>
      <c r="G9" s="30"/>
      <c r="H9" s="30"/>
      <c r="I9" s="30"/>
      <c r="J9" s="24">
        <v>156476</v>
      </c>
      <c r="K9" s="31">
        <v>160320</v>
      </c>
      <c r="L9" s="31">
        <v>166137</v>
      </c>
      <c r="M9" s="31">
        <v>170619</v>
      </c>
      <c r="N9" s="31">
        <v>175690</v>
      </c>
    </row>
    <row r="10" spans="2:14" x14ac:dyDescent="0.25">
      <c r="B10" s="12" t="s">
        <v>46</v>
      </c>
      <c r="C10" s="8"/>
      <c r="D10" s="8"/>
      <c r="E10" s="25"/>
      <c r="F10" s="26"/>
      <c r="G10" s="26"/>
      <c r="H10" s="26"/>
      <c r="I10" s="26"/>
      <c r="J10" s="27">
        <v>155313</v>
      </c>
      <c r="K10" s="28">
        <v>155384</v>
      </c>
      <c r="L10" s="28">
        <v>163508</v>
      </c>
      <c r="M10" s="28">
        <v>169432</v>
      </c>
      <c r="N10" s="28">
        <v>174869</v>
      </c>
    </row>
    <row r="11" spans="2:14" x14ac:dyDescent="0.25">
      <c r="E11" s="24"/>
      <c r="F11" s="23"/>
      <c r="G11" s="23"/>
      <c r="H11" s="23"/>
      <c r="I11" s="23"/>
      <c r="J11" s="24"/>
      <c r="K11" s="23"/>
      <c r="L11" s="23"/>
      <c r="M11" s="23"/>
      <c r="N11" s="23"/>
    </row>
    <row r="12" spans="2:14" x14ac:dyDescent="0.25">
      <c r="B12" s="9" t="s">
        <v>7</v>
      </c>
      <c r="C12" s="9"/>
      <c r="D12" s="9"/>
      <c r="E12" s="22">
        <v>-66548</v>
      </c>
      <c r="F12" s="32">
        <v>-71043</v>
      </c>
      <c r="G12" s="32">
        <v>-72653</v>
      </c>
      <c r="H12" s="32">
        <v>-87257</v>
      </c>
      <c r="I12" s="32">
        <v>-100325</v>
      </c>
      <c r="J12" s="22"/>
      <c r="K12" s="32"/>
      <c r="L12" s="32"/>
      <c r="M12" s="32"/>
      <c r="N12" s="32"/>
    </row>
    <row r="13" spans="2:14" x14ac:dyDescent="0.25">
      <c r="B13" t="s">
        <v>8</v>
      </c>
      <c r="E13" s="24">
        <v>34356</v>
      </c>
      <c r="F13" s="33">
        <v>37160</v>
      </c>
      <c r="G13" s="33">
        <v>37572</v>
      </c>
      <c r="H13" s="33">
        <v>44853</v>
      </c>
      <c r="I13" s="33">
        <v>50832</v>
      </c>
      <c r="J13" s="24"/>
      <c r="K13" s="23"/>
      <c r="L13" s="23"/>
      <c r="M13" s="23"/>
      <c r="N13" s="23"/>
    </row>
    <row r="14" spans="2:14" x14ac:dyDescent="0.25">
      <c r="B14" s="8" t="s">
        <v>9</v>
      </c>
      <c r="C14" s="8"/>
      <c r="D14" s="8"/>
      <c r="E14" s="25">
        <v>0.34</v>
      </c>
      <c r="F14" s="26">
        <v>0.34300000000000003</v>
      </c>
      <c r="G14" s="26">
        <v>0.34100000000000003</v>
      </c>
      <c r="H14" s="26">
        <v>0.34</v>
      </c>
      <c r="I14" s="26">
        <v>0.33600000000000002</v>
      </c>
      <c r="J14" s="27"/>
      <c r="K14" s="28"/>
      <c r="L14" s="28"/>
      <c r="M14" s="28"/>
      <c r="N14" s="28"/>
    </row>
    <row r="15" spans="2:14" x14ac:dyDescent="0.25">
      <c r="E15" s="24"/>
      <c r="F15" s="23"/>
      <c r="G15" s="23"/>
      <c r="H15" s="23"/>
      <c r="I15" s="23"/>
      <c r="J15" s="24"/>
      <c r="K15" s="23"/>
      <c r="L15" s="23"/>
      <c r="M15" s="23"/>
      <c r="N15" s="23"/>
    </row>
    <row r="16" spans="2:14" x14ac:dyDescent="0.25">
      <c r="B16" s="9" t="s">
        <v>10</v>
      </c>
      <c r="C16" s="9"/>
      <c r="D16" s="9"/>
      <c r="E16" s="22">
        <v>0</v>
      </c>
      <c r="F16" s="32">
        <v>0</v>
      </c>
      <c r="G16" s="32">
        <v>0</v>
      </c>
      <c r="H16" s="32">
        <v>0</v>
      </c>
      <c r="I16" s="32">
        <v>0</v>
      </c>
      <c r="J16" s="22"/>
      <c r="K16" s="32"/>
      <c r="L16" s="32"/>
      <c r="M16" s="32"/>
      <c r="N16" s="32"/>
    </row>
    <row r="17" spans="2:14" x14ac:dyDescent="0.25">
      <c r="B17" t="s">
        <v>11</v>
      </c>
      <c r="E17" s="24">
        <v>-797</v>
      </c>
      <c r="F17" s="33">
        <v>-921</v>
      </c>
      <c r="G17" s="33">
        <v>-904</v>
      </c>
      <c r="H17" s="33">
        <v>-909</v>
      </c>
      <c r="I17" s="33">
        <v>-1044</v>
      </c>
      <c r="J17" s="24"/>
      <c r="K17" s="23"/>
      <c r="L17" s="23"/>
      <c r="M17" s="23"/>
      <c r="N17" s="23"/>
    </row>
    <row r="18" spans="2:14" x14ac:dyDescent="0.25">
      <c r="B18" t="s">
        <v>12</v>
      </c>
      <c r="E18" s="24">
        <v>0</v>
      </c>
      <c r="F18" s="33">
        <v>0</v>
      </c>
      <c r="G18" s="33">
        <v>0</v>
      </c>
      <c r="H18" s="33">
        <v>0</v>
      </c>
      <c r="I18" s="33">
        <v>0</v>
      </c>
      <c r="J18" s="24"/>
      <c r="K18" s="23"/>
      <c r="L18" s="23"/>
      <c r="M18" s="23"/>
      <c r="N18" s="23"/>
    </row>
    <row r="19" spans="2:14" x14ac:dyDescent="0.25">
      <c r="B19" t="s">
        <v>13</v>
      </c>
      <c r="E19" s="24">
        <v>-18878</v>
      </c>
      <c r="F19" s="33">
        <v>-20725</v>
      </c>
      <c r="G19" s="33">
        <v>-20825</v>
      </c>
      <c r="H19" s="33">
        <v>-25666</v>
      </c>
      <c r="I19" s="33">
        <v>-26748</v>
      </c>
      <c r="J19" s="24"/>
      <c r="K19" s="23"/>
      <c r="L19" s="23"/>
      <c r="M19" s="23"/>
      <c r="N19" s="23"/>
    </row>
    <row r="20" spans="2:14" x14ac:dyDescent="0.25">
      <c r="B20" t="s">
        <v>14</v>
      </c>
      <c r="E20" s="24">
        <v>-19675</v>
      </c>
      <c r="F20" s="33">
        <v>-21646</v>
      </c>
      <c r="G20" s="33">
        <v>-21729</v>
      </c>
      <c r="H20" s="33">
        <v>-26575</v>
      </c>
      <c r="I20" s="33">
        <v>-27792</v>
      </c>
      <c r="J20" s="24"/>
      <c r="K20" s="23"/>
      <c r="L20" s="23"/>
      <c r="M20" s="23"/>
      <c r="N20" s="23"/>
    </row>
    <row r="21" spans="2:14" x14ac:dyDescent="0.25">
      <c r="B21" s="8" t="s">
        <v>15</v>
      </c>
      <c r="C21" s="8"/>
      <c r="D21" s="8"/>
      <c r="E21" s="27">
        <v>14681</v>
      </c>
      <c r="F21" s="28">
        <v>15514</v>
      </c>
      <c r="G21" s="28">
        <v>15843</v>
      </c>
      <c r="H21" s="28">
        <v>18278</v>
      </c>
      <c r="I21" s="28">
        <v>23040</v>
      </c>
      <c r="J21" s="27"/>
      <c r="K21" s="28"/>
      <c r="L21" s="28"/>
      <c r="M21" s="28"/>
      <c r="N21" s="28"/>
    </row>
    <row r="22" spans="2:14" x14ac:dyDescent="0.25">
      <c r="E22" s="24"/>
      <c r="F22" s="23"/>
      <c r="G22" s="23"/>
      <c r="H22" s="23"/>
      <c r="I22" s="23"/>
      <c r="J22" s="24"/>
      <c r="K22" s="23"/>
      <c r="L22" s="23"/>
      <c r="M22" s="23"/>
      <c r="N22" s="23"/>
    </row>
    <row r="23" spans="2:14" x14ac:dyDescent="0.25">
      <c r="B23" s="9" t="s">
        <v>16</v>
      </c>
      <c r="C23" s="9"/>
      <c r="D23" s="9"/>
      <c r="E23" s="22">
        <v>-983</v>
      </c>
      <c r="F23" s="32">
        <v>-958</v>
      </c>
      <c r="G23" s="32">
        <v>-1128</v>
      </c>
      <c r="H23" s="32">
        <v>-1300</v>
      </c>
      <c r="I23" s="32">
        <v>-1303</v>
      </c>
      <c r="J23" s="22"/>
      <c r="K23" s="32"/>
      <c r="L23" s="32"/>
      <c r="M23" s="32"/>
      <c r="N23" s="32"/>
    </row>
    <row r="24" spans="2:14" x14ac:dyDescent="0.25">
      <c r="B24" t="s">
        <v>17</v>
      </c>
      <c r="E24" s="24">
        <v>13698</v>
      </c>
      <c r="F24" s="23">
        <v>14556</v>
      </c>
      <c r="G24" s="23">
        <v>14715</v>
      </c>
      <c r="H24" s="23">
        <v>16978</v>
      </c>
      <c r="I24" s="23">
        <v>21737</v>
      </c>
      <c r="J24" s="15"/>
      <c r="K24" s="14"/>
      <c r="L24" s="14"/>
      <c r="M24" s="14"/>
      <c r="N24" s="14"/>
    </row>
    <row r="25" spans="2:14" x14ac:dyDescent="0.25">
      <c r="B25" t="s">
        <v>18</v>
      </c>
      <c r="E25" s="24">
        <v>-5068</v>
      </c>
      <c r="F25" s="23">
        <v>-3435</v>
      </c>
      <c r="G25" s="23">
        <v>-3473</v>
      </c>
      <c r="H25" s="23">
        <v>-4112</v>
      </c>
      <c r="I25" s="23">
        <v>-5304</v>
      </c>
      <c r="J25" s="15"/>
      <c r="K25" s="14"/>
      <c r="L25" s="14"/>
      <c r="M25" s="14"/>
      <c r="N25" s="14"/>
    </row>
    <row r="26" spans="2:14" x14ac:dyDescent="0.25">
      <c r="B26" s="8" t="s">
        <v>19</v>
      </c>
      <c r="C26" s="8"/>
      <c r="D26" s="8"/>
      <c r="E26" s="27">
        <v>8630</v>
      </c>
      <c r="F26" s="28">
        <v>11121</v>
      </c>
      <c r="G26" s="28">
        <v>11242</v>
      </c>
      <c r="H26" s="28">
        <v>12866</v>
      </c>
      <c r="I26" s="28">
        <v>16433</v>
      </c>
      <c r="J26" s="16"/>
      <c r="K26" s="17"/>
      <c r="L26" s="17"/>
      <c r="M26" s="17"/>
      <c r="N26" s="17"/>
    </row>
    <row r="27" spans="2:14" x14ac:dyDescent="0.25">
      <c r="E27" s="24"/>
      <c r="F27" s="23"/>
      <c r="G27" s="23"/>
      <c r="H27" s="23"/>
      <c r="I27" s="23"/>
      <c r="J27" s="15"/>
      <c r="K27" s="14"/>
      <c r="L27" s="14"/>
      <c r="M27" s="14"/>
      <c r="N27" s="14"/>
    </row>
    <row r="28" spans="2:14" x14ac:dyDescent="0.25">
      <c r="B28" s="11" t="s">
        <v>20</v>
      </c>
      <c r="C28" s="11"/>
      <c r="D28" s="11"/>
      <c r="E28" s="34">
        <v>8630</v>
      </c>
      <c r="F28" s="35">
        <v>11121</v>
      </c>
      <c r="G28" s="35">
        <v>11242</v>
      </c>
      <c r="H28" s="35">
        <v>12866</v>
      </c>
      <c r="I28" s="35">
        <v>16433</v>
      </c>
      <c r="J28" s="19"/>
      <c r="K28" s="20"/>
      <c r="L28" s="20"/>
      <c r="M28" s="20"/>
      <c r="N28" s="20"/>
    </row>
    <row r="29" spans="2:14" x14ac:dyDescent="0.25">
      <c r="E29" s="24"/>
      <c r="F29" s="23"/>
      <c r="G29" s="23"/>
      <c r="H29" s="23"/>
      <c r="I29" s="23"/>
      <c r="J29" s="15"/>
      <c r="K29" s="14"/>
      <c r="L29" s="14"/>
      <c r="M29" s="14"/>
      <c r="N29" s="14"/>
    </row>
    <row r="30" spans="2:14" x14ac:dyDescent="0.25">
      <c r="B30" s="9" t="s">
        <v>21</v>
      </c>
      <c r="C30" s="9"/>
      <c r="D30" s="9"/>
      <c r="E30" s="22">
        <v>16743</v>
      </c>
      <c r="F30" s="32">
        <v>17929</v>
      </c>
      <c r="G30" s="32">
        <v>18139</v>
      </c>
      <c r="H30" s="32">
        <v>23007</v>
      </c>
      <c r="I30" s="32">
        <v>26164</v>
      </c>
      <c r="J30" s="13"/>
      <c r="K30" s="18"/>
      <c r="L30" s="18"/>
      <c r="M30" s="18"/>
      <c r="N30" s="18"/>
    </row>
    <row r="31" spans="2:14" x14ac:dyDescent="0.25">
      <c r="B31" s="8" t="s">
        <v>22</v>
      </c>
      <c r="C31" s="8"/>
      <c r="D31" s="8"/>
      <c r="E31" s="27">
        <v>14681</v>
      </c>
      <c r="F31" s="28">
        <v>15777</v>
      </c>
      <c r="G31" s="28">
        <v>15843</v>
      </c>
      <c r="H31" s="28">
        <v>20488</v>
      </c>
      <c r="I31" s="28">
        <v>23302</v>
      </c>
      <c r="J31" s="16"/>
      <c r="K31" s="17"/>
      <c r="L31" s="17"/>
      <c r="M31" s="17"/>
      <c r="N31" s="17"/>
    </row>
    <row r="32" spans="2:14" x14ac:dyDescent="0.25">
      <c r="E32" s="19"/>
      <c r="F32" s="14"/>
      <c r="G32" s="14"/>
      <c r="H32" s="14"/>
      <c r="I32" s="14"/>
      <c r="J32" s="16"/>
      <c r="K32" s="14"/>
      <c r="L32" s="14"/>
      <c r="M32" s="14"/>
      <c r="N32" s="14"/>
    </row>
    <row r="33" spans="2:14" x14ac:dyDescent="0.25">
      <c r="B33" s="9" t="s">
        <v>20</v>
      </c>
      <c r="C33" s="9"/>
      <c r="D33" s="9"/>
      <c r="E33" s="22">
        <f>E28</f>
        <v>8630</v>
      </c>
      <c r="F33" s="32">
        <f>F28</f>
        <v>11121</v>
      </c>
      <c r="G33" s="32">
        <f t="shared" ref="G33:I33" si="0">G28</f>
        <v>11242</v>
      </c>
      <c r="H33" s="32">
        <f t="shared" si="0"/>
        <v>12866</v>
      </c>
      <c r="I33" s="32">
        <f t="shared" si="0"/>
        <v>16433</v>
      </c>
      <c r="J33" s="13"/>
      <c r="K33" s="18"/>
      <c r="L33" s="18"/>
      <c r="M33" s="18"/>
      <c r="N33" s="18"/>
    </row>
    <row r="34" spans="2:14" x14ac:dyDescent="0.25">
      <c r="B34" s="10" t="s">
        <v>23</v>
      </c>
      <c r="E34" s="24">
        <v>2062</v>
      </c>
      <c r="F34" s="23">
        <v>2152</v>
      </c>
      <c r="G34" s="23">
        <v>2296</v>
      </c>
      <c r="H34" s="23">
        <v>2519</v>
      </c>
      <c r="I34" s="23">
        <v>2862</v>
      </c>
      <c r="J34" s="15"/>
      <c r="K34" s="14"/>
      <c r="L34" s="14"/>
      <c r="M34" s="14"/>
      <c r="N34" s="14"/>
    </row>
    <row r="35" spans="2:14" x14ac:dyDescent="0.25">
      <c r="B35" s="10" t="s">
        <v>24</v>
      </c>
      <c r="E35" s="24">
        <v>273</v>
      </c>
      <c r="F35" s="23">
        <v>282</v>
      </c>
      <c r="G35" s="23">
        <v>251</v>
      </c>
      <c r="H35" s="23">
        <v>310</v>
      </c>
      <c r="I35" s="23">
        <v>399</v>
      </c>
      <c r="J35" s="15"/>
      <c r="K35" s="14"/>
      <c r="L35" s="14"/>
      <c r="M35" s="14"/>
      <c r="N35" s="14"/>
    </row>
    <row r="36" spans="2:14" x14ac:dyDescent="0.25">
      <c r="B36" s="10" t="s">
        <v>25</v>
      </c>
      <c r="E36" s="24">
        <v>139</v>
      </c>
      <c r="F36" s="23">
        <v>33</v>
      </c>
      <c r="G36" s="23">
        <v>-170</v>
      </c>
      <c r="H36" s="23">
        <v>-465</v>
      </c>
      <c r="I36" s="23">
        <v>-435</v>
      </c>
      <c r="J36" s="15"/>
      <c r="K36" s="14"/>
      <c r="L36" s="14"/>
      <c r="M36" s="14"/>
      <c r="N36" s="14"/>
    </row>
    <row r="37" spans="2:14" x14ac:dyDescent="0.25">
      <c r="B37" s="10" t="s">
        <v>26</v>
      </c>
      <c r="E37" s="24">
        <v>-84</v>
      </c>
      <c r="F37" s="23">
        <v>-1244</v>
      </c>
      <c r="G37" s="23">
        <v>-593</v>
      </c>
      <c r="H37" s="23">
        <v>-1657</v>
      </c>
      <c r="I37" s="23">
        <v>-5403</v>
      </c>
      <c r="J37" s="15"/>
      <c r="K37" s="14"/>
      <c r="L37" s="14"/>
      <c r="M37" s="14"/>
      <c r="N37" s="14"/>
    </row>
    <row r="38" spans="2:14" x14ac:dyDescent="0.25">
      <c r="B38" s="10" t="s">
        <v>27</v>
      </c>
      <c r="E38" s="24">
        <v>-10</v>
      </c>
      <c r="F38" s="23">
        <v>-257</v>
      </c>
      <c r="G38" s="23">
        <v>-135</v>
      </c>
      <c r="H38" s="23">
        <v>43</v>
      </c>
      <c r="I38" s="23">
        <v>-330</v>
      </c>
      <c r="J38" s="15"/>
      <c r="K38" s="14"/>
      <c r="L38" s="14"/>
      <c r="M38" s="14"/>
      <c r="N38" s="14"/>
    </row>
    <row r="39" spans="2:14" x14ac:dyDescent="0.25">
      <c r="B39" s="10" t="s">
        <v>28</v>
      </c>
      <c r="E39" s="24">
        <v>1021</v>
      </c>
      <c r="F39" s="23">
        <v>1078</v>
      </c>
      <c r="G39" s="23">
        <v>796</v>
      </c>
      <c r="H39" s="23">
        <v>5223</v>
      </c>
      <c r="I39" s="23">
        <v>3045</v>
      </c>
      <c r="J39" s="15"/>
      <c r="K39" s="14"/>
      <c r="L39" s="14"/>
      <c r="M39" s="14"/>
      <c r="N39" s="14"/>
    </row>
    <row r="40" spans="2:14" x14ac:dyDescent="0.25">
      <c r="B40" s="12" t="s">
        <v>29</v>
      </c>
      <c r="C40" s="8"/>
      <c r="D40" s="8"/>
      <c r="E40" s="27">
        <v>12031</v>
      </c>
      <c r="F40" s="28">
        <v>13165</v>
      </c>
      <c r="G40" s="28">
        <v>13687</v>
      </c>
      <c r="H40" s="28">
        <v>18839</v>
      </c>
      <c r="I40" s="28">
        <v>16571</v>
      </c>
      <c r="J40" s="16"/>
      <c r="K40" s="17"/>
      <c r="L40" s="17"/>
      <c r="M40" s="17"/>
      <c r="N40" s="17"/>
    </row>
    <row r="41" spans="2:14" x14ac:dyDescent="0.25">
      <c r="E41" s="24"/>
      <c r="F41" s="23"/>
      <c r="G41" s="23"/>
      <c r="H41" s="23"/>
      <c r="I41" s="23"/>
      <c r="J41" s="15"/>
      <c r="K41" s="14"/>
      <c r="L41" s="14"/>
      <c r="M41" s="14"/>
      <c r="N41" s="14"/>
    </row>
    <row r="42" spans="2:14" x14ac:dyDescent="0.25">
      <c r="B42" s="9" t="s">
        <v>30</v>
      </c>
      <c r="C42" s="9"/>
      <c r="D42" s="9"/>
      <c r="E42" s="22">
        <v>-1897</v>
      </c>
      <c r="F42" s="32">
        <v>-2442</v>
      </c>
      <c r="G42" s="32">
        <v>-2678</v>
      </c>
      <c r="H42" s="32">
        <v>-2463</v>
      </c>
      <c r="I42" s="32">
        <v>-2566</v>
      </c>
      <c r="J42" s="13"/>
      <c r="K42" s="18"/>
      <c r="L42" s="18"/>
      <c r="M42" s="18"/>
      <c r="N42" s="18"/>
    </row>
    <row r="43" spans="2:14" x14ac:dyDescent="0.25">
      <c r="B43" t="s">
        <v>31</v>
      </c>
      <c r="E43" s="24">
        <v>-374</v>
      </c>
      <c r="F43" s="23">
        <v>-21</v>
      </c>
      <c r="G43" s="23">
        <v>0</v>
      </c>
      <c r="H43" s="23">
        <v>-7780</v>
      </c>
      <c r="I43" s="23">
        <v>-421</v>
      </c>
      <c r="J43" s="15"/>
      <c r="K43" s="14"/>
      <c r="L43" s="14"/>
      <c r="M43" s="14"/>
      <c r="N43" s="14"/>
    </row>
    <row r="44" spans="2:14" x14ac:dyDescent="0.25">
      <c r="B44" t="s">
        <v>32</v>
      </c>
      <c r="E44" s="24">
        <v>43</v>
      </c>
      <c r="F44" s="23">
        <v>47</v>
      </c>
      <c r="G44" s="23">
        <v>25</v>
      </c>
      <c r="H44" s="23">
        <v>73</v>
      </c>
      <c r="I44" s="23">
        <v>18</v>
      </c>
      <c r="J44" s="15"/>
      <c r="K44" s="14"/>
      <c r="L44" s="14"/>
      <c r="M44" s="14"/>
      <c r="N44" s="14"/>
    </row>
    <row r="45" spans="2:14" x14ac:dyDescent="0.25">
      <c r="B45" s="8" t="s">
        <v>33</v>
      </c>
      <c r="C45" s="8"/>
      <c r="D45" s="8"/>
      <c r="E45" s="27">
        <v>-2228</v>
      </c>
      <c r="F45" s="28">
        <v>-2416</v>
      </c>
      <c r="G45" s="28">
        <v>-2653</v>
      </c>
      <c r="H45" s="28">
        <v>-10170</v>
      </c>
      <c r="I45" s="28">
        <v>-2969</v>
      </c>
      <c r="J45" s="16"/>
      <c r="K45" s="17"/>
      <c r="L45" s="17"/>
      <c r="M45" s="17"/>
      <c r="N45" s="17"/>
    </row>
    <row r="46" spans="2:14" x14ac:dyDescent="0.25">
      <c r="E46" s="24"/>
      <c r="F46" s="23"/>
      <c r="G46" s="23"/>
      <c r="H46" s="23"/>
      <c r="I46" s="23"/>
      <c r="J46" s="15"/>
      <c r="K46" s="14"/>
      <c r="L46" s="14"/>
      <c r="M46" s="14"/>
      <c r="N46" s="14"/>
    </row>
    <row r="47" spans="2:14" x14ac:dyDescent="0.25">
      <c r="B47" s="9" t="s">
        <v>34</v>
      </c>
      <c r="C47" s="9"/>
      <c r="D47" s="9"/>
      <c r="E47" s="22">
        <v>-4212</v>
      </c>
      <c r="F47" s="32">
        <v>-4704</v>
      </c>
      <c r="G47" s="32">
        <v>-5958</v>
      </c>
      <c r="H47" s="32">
        <v>-6451</v>
      </c>
      <c r="I47" s="32">
        <v>-6985</v>
      </c>
      <c r="J47" s="13"/>
      <c r="K47" s="18"/>
      <c r="L47" s="18"/>
      <c r="M47" s="18"/>
      <c r="N47" s="18"/>
    </row>
    <row r="48" spans="2:14" x14ac:dyDescent="0.25">
      <c r="B48" t="s">
        <v>35</v>
      </c>
      <c r="E48" s="24">
        <v>2991</v>
      </c>
      <c r="F48" s="23">
        <v>3466</v>
      </c>
      <c r="G48" s="23">
        <v>3420</v>
      </c>
      <c r="H48" s="23">
        <v>7933</v>
      </c>
      <c r="I48" s="23">
        <v>2979</v>
      </c>
      <c r="J48" s="15"/>
      <c r="K48" s="14"/>
      <c r="L48" s="14"/>
      <c r="M48" s="14"/>
      <c r="N48" s="14"/>
    </row>
    <row r="49" spans="2:14" x14ac:dyDescent="0.25">
      <c r="B49" t="s">
        <v>36</v>
      </c>
      <c r="E49" s="24">
        <v>-543</v>
      </c>
      <c r="F49" s="23">
        <v>-1209</v>
      </c>
      <c r="G49" s="23">
        <v>-1070</v>
      </c>
      <c r="H49" s="23">
        <v>-2872</v>
      </c>
      <c r="I49" s="23">
        <v>-1532</v>
      </c>
      <c r="J49" s="15"/>
      <c r="K49" s="14"/>
      <c r="L49" s="14"/>
      <c r="M49" s="14"/>
      <c r="N49" s="14"/>
    </row>
    <row r="50" spans="2:14" x14ac:dyDescent="0.25">
      <c r="B50" t="s">
        <v>37</v>
      </c>
      <c r="E50" s="24">
        <v>-8000</v>
      </c>
      <c r="F50" s="23">
        <v>-9963</v>
      </c>
      <c r="G50" s="23">
        <v>-6965</v>
      </c>
      <c r="H50" s="23">
        <v>-791</v>
      </c>
      <c r="I50" s="23">
        <v>-14809</v>
      </c>
      <c r="J50" s="15"/>
      <c r="K50" s="14"/>
      <c r="L50" s="14"/>
      <c r="M50" s="14"/>
      <c r="N50" s="14"/>
    </row>
    <row r="51" spans="2:14" x14ac:dyDescent="0.25">
      <c r="B51" t="s">
        <v>38</v>
      </c>
      <c r="E51" s="24">
        <v>894</v>
      </c>
      <c r="F51" s="23">
        <v>-137</v>
      </c>
      <c r="G51" s="23">
        <v>-225</v>
      </c>
      <c r="H51" s="23">
        <v>-802</v>
      </c>
      <c r="I51" s="23">
        <v>1227</v>
      </c>
      <c r="J51" s="15"/>
      <c r="K51" s="14"/>
      <c r="L51" s="14"/>
      <c r="M51" s="14"/>
      <c r="N51" s="14"/>
    </row>
    <row r="52" spans="2:14" x14ac:dyDescent="0.25">
      <c r="B52" s="8" t="s">
        <v>39</v>
      </c>
      <c r="C52" s="8"/>
      <c r="D52" s="8"/>
      <c r="E52" s="27">
        <v>-8870</v>
      </c>
      <c r="F52" s="28">
        <v>-12547</v>
      </c>
      <c r="G52" s="28">
        <v>-10798</v>
      </c>
      <c r="H52" s="28">
        <v>-2983</v>
      </c>
      <c r="I52" s="28">
        <v>-19120</v>
      </c>
      <c r="J52" s="16"/>
      <c r="K52" s="17"/>
      <c r="L52" s="17"/>
      <c r="M52" s="17"/>
      <c r="N52" s="17"/>
    </row>
    <row r="53" spans="2:14" x14ac:dyDescent="0.25">
      <c r="E53" s="24"/>
      <c r="F53" s="23"/>
      <c r="G53" s="23"/>
      <c r="H53" s="23"/>
      <c r="I53" s="23"/>
      <c r="J53" s="15"/>
      <c r="K53" s="14"/>
      <c r="L53" s="14"/>
      <c r="M53" s="14"/>
      <c r="N53" s="14"/>
    </row>
    <row r="54" spans="2:14" x14ac:dyDescent="0.25">
      <c r="B54" s="9" t="s">
        <v>40</v>
      </c>
      <c r="C54" s="9"/>
      <c r="D54" s="9"/>
      <c r="E54" s="22">
        <v>2538</v>
      </c>
      <c r="F54" s="32">
        <v>3595</v>
      </c>
      <c r="G54" s="32">
        <v>1778</v>
      </c>
      <c r="H54" s="32">
        <v>2133</v>
      </c>
      <c r="I54" s="32">
        <v>7895</v>
      </c>
      <c r="J54" s="13"/>
      <c r="K54" s="18"/>
      <c r="L54" s="18"/>
      <c r="M54" s="18"/>
      <c r="N54" s="18"/>
    </row>
    <row r="55" spans="2:14" x14ac:dyDescent="0.25">
      <c r="B55" s="8" t="s">
        <v>41</v>
      </c>
      <c r="C55" s="8"/>
      <c r="D55" s="8"/>
      <c r="E55" s="27">
        <v>3595</v>
      </c>
      <c r="F55" s="28">
        <v>1778</v>
      </c>
      <c r="G55" s="28">
        <v>2133</v>
      </c>
      <c r="H55" s="28">
        <v>7895</v>
      </c>
      <c r="I55" s="28">
        <v>2343</v>
      </c>
      <c r="J55" s="16"/>
      <c r="K55" s="17"/>
      <c r="L55" s="17"/>
      <c r="M55" s="17"/>
      <c r="N55" s="17"/>
    </row>
    <row r="56" spans="2:14" x14ac:dyDescent="0.25">
      <c r="E56" s="15"/>
      <c r="F56" s="14"/>
      <c r="G56" s="14"/>
      <c r="H56" s="14"/>
      <c r="I56" s="14"/>
      <c r="J56" s="15"/>
      <c r="K56" s="14"/>
      <c r="L56" s="14"/>
      <c r="M56" s="14"/>
      <c r="N56" s="14"/>
    </row>
    <row r="57" spans="2:14" x14ac:dyDescent="0.25">
      <c r="B57" s="9" t="s">
        <v>42</v>
      </c>
      <c r="C57" s="9"/>
      <c r="D57" s="9"/>
      <c r="E57" s="22">
        <v>10134</v>
      </c>
      <c r="F57" s="32">
        <v>10723</v>
      </c>
      <c r="G57" s="32">
        <v>11009</v>
      </c>
      <c r="H57" s="32">
        <v>16376</v>
      </c>
      <c r="I57" s="32">
        <v>14005</v>
      </c>
      <c r="J57" s="13"/>
      <c r="K57" s="18"/>
      <c r="L57" s="18"/>
      <c r="M57" s="18"/>
      <c r="N57" s="18"/>
    </row>
    <row r="58" spans="2:14" x14ac:dyDescent="0.25">
      <c r="B58" s="8" t="s">
        <v>43</v>
      </c>
      <c r="C58" s="8"/>
      <c r="D58" s="8"/>
      <c r="E58" s="27">
        <v>9931</v>
      </c>
      <c r="F58" s="28">
        <v>1035</v>
      </c>
      <c r="G58" s="28">
        <v>1112</v>
      </c>
      <c r="H58" s="28">
        <v>1241</v>
      </c>
      <c r="I58" s="28">
        <v>1269</v>
      </c>
      <c r="J58" s="16"/>
      <c r="K58" s="17"/>
      <c r="L58" s="17"/>
      <c r="M58" s="17"/>
      <c r="N58" s="17"/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0502-F832-423B-94ED-5243D3B99B05}">
  <dimension ref="B1:O16"/>
  <sheetViews>
    <sheetView showGridLines="0" workbookViewId="0">
      <selection activeCell="R17" sqref="R17"/>
    </sheetView>
  </sheetViews>
  <sheetFormatPr defaultRowHeight="15" x14ac:dyDescent="0.25"/>
  <sheetData>
    <row r="1" spans="2:15" x14ac:dyDescent="0.25">
      <c r="J1" s="2"/>
      <c r="O1" s="41"/>
    </row>
    <row r="2" spans="2:15" x14ac:dyDescent="0.25">
      <c r="B2" s="7" t="s">
        <v>3</v>
      </c>
      <c r="C2" s="1"/>
      <c r="D2" s="1"/>
      <c r="E2" s="2"/>
      <c r="J2" s="2"/>
      <c r="O2" s="41"/>
    </row>
    <row r="3" spans="2:15" x14ac:dyDescent="0.25">
      <c r="B3" s="7" t="s">
        <v>47</v>
      </c>
      <c r="C3" s="1"/>
      <c r="D3" s="1"/>
      <c r="E3" s="69" t="s">
        <v>2</v>
      </c>
      <c r="F3" s="70"/>
      <c r="G3" s="70"/>
      <c r="H3" s="70"/>
      <c r="I3" s="71"/>
      <c r="J3" s="69" t="s">
        <v>0</v>
      </c>
      <c r="K3" s="70"/>
      <c r="L3" s="70"/>
      <c r="M3" s="70"/>
      <c r="N3" s="70"/>
      <c r="O3" s="41"/>
    </row>
    <row r="4" spans="2:15" x14ac:dyDescent="0.25">
      <c r="E4" s="2"/>
      <c r="J4" s="5">
        <v>1</v>
      </c>
      <c r="K4" s="6">
        <v>2</v>
      </c>
      <c r="L4" s="6">
        <v>3</v>
      </c>
      <c r="M4" s="6">
        <v>4</v>
      </c>
      <c r="N4" s="6">
        <v>5</v>
      </c>
      <c r="O4" s="41"/>
    </row>
    <row r="5" spans="2:15" x14ac:dyDescent="0.25">
      <c r="B5" s="3" t="s">
        <v>1</v>
      </c>
      <c r="C5" s="3"/>
      <c r="D5" s="3"/>
      <c r="E5" s="4">
        <v>2017</v>
      </c>
      <c r="F5" s="3">
        <v>2018</v>
      </c>
      <c r="G5" s="3">
        <v>2019</v>
      </c>
      <c r="H5" s="3">
        <v>2020</v>
      </c>
      <c r="I5" s="37">
        <v>2021</v>
      </c>
      <c r="J5" s="3">
        <v>2022</v>
      </c>
      <c r="K5" s="3">
        <v>2023</v>
      </c>
      <c r="L5" s="3">
        <v>2024</v>
      </c>
      <c r="M5" s="3">
        <v>2025</v>
      </c>
      <c r="N5" s="3">
        <v>2026</v>
      </c>
      <c r="O5" s="43" t="s">
        <v>58</v>
      </c>
    </row>
    <row r="6" spans="2:15" x14ac:dyDescent="0.25">
      <c r="B6" t="s">
        <v>48</v>
      </c>
      <c r="E6" s="22">
        <v>14681</v>
      </c>
      <c r="F6" s="23">
        <v>15777</v>
      </c>
      <c r="G6" s="23">
        <v>15843</v>
      </c>
      <c r="H6" s="23">
        <v>20488</v>
      </c>
      <c r="I6" s="47">
        <v>23302</v>
      </c>
      <c r="J6" s="23"/>
      <c r="K6" s="23"/>
      <c r="L6" s="23"/>
      <c r="M6" s="23"/>
      <c r="N6" s="23"/>
      <c r="O6" s="41"/>
    </row>
    <row r="7" spans="2:15" x14ac:dyDescent="0.25">
      <c r="B7" t="s">
        <v>49</v>
      </c>
      <c r="E7" s="24"/>
      <c r="F7" s="23"/>
      <c r="G7" s="23"/>
      <c r="H7" s="23"/>
      <c r="I7" s="47"/>
      <c r="J7" s="23">
        <v>24336</v>
      </c>
      <c r="K7" s="52">
        <f>J7*1.044</f>
        <v>25406.784</v>
      </c>
      <c r="L7" s="52">
        <f>K7*1.05</f>
        <v>26677.123200000002</v>
      </c>
      <c r="M7" s="52">
        <f t="shared" ref="M7:N7" si="0">L7*1.05</f>
        <v>28010.979360000005</v>
      </c>
      <c r="N7" s="52">
        <f t="shared" si="0"/>
        <v>29411.528328000008</v>
      </c>
      <c r="O7" s="50">
        <v>0.05</v>
      </c>
    </row>
    <row r="8" spans="2:15" x14ac:dyDescent="0.25">
      <c r="B8" t="s">
        <v>50</v>
      </c>
      <c r="E8" s="24"/>
      <c r="F8" s="23"/>
      <c r="G8" s="23"/>
      <c r="H8" s="23"/>
      <c r="I8" s="47"/>
      <c r="J8" s="23">
        <v>24046</v>
      </c>
      <c r="K8" s="52">
        <f>J8*1.044</f>
        <v>25104.024000000001</v>
      </c>
      <c r="L8" s="52">
        <f t="shared" ref="L8:N8" si="1">K8*1.044</f>
        <v>26208.601056000003</v>
      </c>
      <c r="M8" s="52">
        <f t="shared" si="1"/>
        <v>27361.779502464004</v>
      </c>
      <c r="N8" s="52">
        <f t="shared" si="1"/>
        <v>28565.69780057242</v>
      </c>
      <c r="O8" s="51">
        <v>4.3999999999999997E-2</v>
      </c>
    </row>
    <row r="9" spans="2:15" x14ac:dyDescent="0.25">
      <c r="B9" s="8" t="s">
        <v>51</v>
      </c>
      <c r="C9" s="8"/>
      <c r="D9" s="8"/>
      <c r="E9" s="27"/>
      <c r="F9" s="28"/>
      <c r="G9" s="28"/>
      <c r="H9" s="28"/>
      <c r="I9" s="48"/>
      <c r="J9" s="28">
        <v>23537</v>
      </c>
      <c r="K9" s="28">
        <v>23306</v>
      </c>
      <c r="L9" s="53">
        <f>1.04*K9</f>
        <v>24238.240000000002</v>
      </c>
      <c r="M9" s="53">
        <f t="shared" ref="M9:N9" si="2">1.04*L9</f>
        <v>25207.769600000003</v>
      </c>
      <c r="N9" s="53">
        <f t="shared" si="2"/>
        <v>26216.080384000004</v>
      </c>
      <c r="O9" s="50">
        <v>0.04</v>
      </c>
    </row>
    <row r="10" spans="2:15" x14ac:dyDescent="0.25">
      <c r="B10" s="10" t="s">
        <v>52</v>
      </c>
      <c r="E10" s="24">
        <v>5068</v>
      </c>
      <c r="F10" s="23">
        <v>3435</v>
      </c>
      <c r="G10" s="23">
        <v>3473</v>
      </c>
      <c r="H10" s="23">
        <v>4112</v>
      </c>
      <c r="I10" s="47">
        <v>5304</v>
      </c>
      <c r="J10" s="52">
        <f>25%*J8</f>
        <v>6011.5</v>
      </c>
      <c r="K10" s="52">
        <f>25%*K8</f>
        <v>6276.0060000000003</v>
      </c>
      <c r="L10" s="52">
        <f t="shared" ref="L10:N10" si="3">25%*L8</f>
        <v>6552.1502640000008</v>
      </c>
      <c r="M10" s="52">
        <f t="shared" si="3"/>
        <v>6840.4448756160009</v>
      </c>
      <c r="N10" s="52">
        <f t="shared" si="3"/>
        <v>7141.4244501431049</v>
      </c>
      <c r="O10" s="55"/>
    </row>
    <row r="11" spans="2:15" x14ac:dyDescent="0.25">
      <c r="B11" s="38" t="s">
        <v>53</v>
      </c>
      <c r="C11" s="11"/>
      <c r="D11" s="11"/>
      <c r="E11" s="34">
        <v>2062</v>
      </c>
      <c r="F11" s="35">
        <v>2152</v>
      </c>
      <c r="G11" s="35">
        <v>2296</v>
      </c>
      <c r="H11" s="35">
        <v>2519</v>
      </c>
      <c r="I11" s="49">
        <v>2862</v>
      </c>
      <c r="J11" s="35">
        <v>2758</v>
      </c>
      <c r="K11" s="35">
        <v>2840</v>
      </c>
      <c r="L11" s="35">
        <v>3284</v>
      </c>
      <c r="M11" s="35">
        <v>3526</v>
      </c>
      <c r="N11" s="35">
        <v>2763</v>
      </c>
      <c r="O11" s="55"/>
    </row>
    <row r="12" spans="2:15" x14ac:dyDescent="0.25">
      <c r="B12" s="10" t="s">
        <v>54</v>
      </c>
      <c r="E12" s="24">
        <v>1897</v>
      </c>
      <c r="F12" s="23">
        <v>2442</v>
      </c>
      <c r="G12" s="23">
        <v>2678</v>
      </c>
      <c r="H12" s="23">
        <v>2463</v>
      </c>
      <c r="I12" s="47">
        <v>2566</v>
      </c>
      <c r="J12" s="23"/>
      <c r="K12" s="23"/>
      <c r="L12" s="23"/>
      <c r="M12" s="23"/>
      <c r="N12" s="23"/>
      <c r="O12" s="41"/>
    </row>
    <row r="13" spans="2:15" x14ac:dyDescent="0.25">
      <c r="B13" s="10" t="s">
        <v>49</v>
      </c>
      <c r="E13" s="24"/>
      <c r="F13" s="23"/>
      <c r="G13" s="23"/>
      <c r="H13" s="23"/>
      <c r="I13" s="47"/>
      <c r="J13" s="23">
        <v>3182</v>
      </c>
      <c r="K13" s="52">
        <f>J13*1.03</f>
        <v>3277.46</v>
      </c>
      <c r="L13" s="52">
        <f t="shared" ref="L13:N13" si="4">K13*1.03</f>
        <v>3375.7838000000002</v>
      </c>
      <c r="M13" s="52">
        <f t="shared" si="4"/>
        <v>3477.0573140000001</v>
      </c>
      <c r="N13" s="52">
        <f t="shared" si="4"/>
        <v>3581.3690334200001</v>
      </c>
      <c r="O13" s="44">
        <v>0.03</v>
      </c>
    </row>
    <row r="14" spans="2:15" x14ac:dyDescent="0.25">
      <c r="B14" s="10" t="s">
        <v>50</v>
      </c>
      <c r="E14" s="24"/>
      <c r="F14" s="23"/>
      <c r="G14" s="23"/>
      <c r="H14" s="23"/>
      <c r="I14" s="47"/>
      <c r="J14" s="23">
        <v>3100</v>
      </c>
      <c r="K14" s="52">
        <f>J14*1.025</f>
        <v>3177.4999999999995</v>
      </c>
      <c r="L14" s="52">
        <f t="shared" ref="L14:N14" si="5">K14*1.025</f>
        <v>3256.9374999999991</v>
      </c>
      <c r="M14" s="52">
        <f t="shared" si="5"/>
        <v>3338.3609374999987</v>
      </c>
      <c r="N14" s="52">
        <f t="shared" si="5"/>
        <v>3421.8199609374983</v>
      </c>
      <c r="O14" s="46">
        <v>2.5000000000000001E-2</v>
      </c>
    </row>
    <row r="15" spans="2:15" x14ac:dyDescent="0.25">
      <c r="B15" s="10" t="s">
        <v>57</v>
      </c>
      <c r="E15" s="24"/>
      <c r="F15" s="23"/>
      <c r="G15" s="23"/>
      <c r="H15" s="23"/>
      <c r="I15" s="47"/>
      <c r="J15" s="23">
        <v>2747</v>
      </c>
      <c r="K15" s="52">
        <f>J15*1.02</f>
        <v>2801.94</v>
      </c>
      <c r="L15" s="52">
        <f t="shared" ref="L15:N15" si="6">K15*1.02</f>
        <v>2857.9788000000003</v>
      </c>
      <c r="M15" s="52">
        <f t="shared" si="6"/>
        <v>2915.1383760000003</v>
      </c>
      <c r="N15" s="52">
        <f t="shared" si="6"/>
        <v>2973.4411435200004</v>
      </c>
      <c r="O15" s="54">
        <v>0.02</v>
      </c>
    </row>
    <row r="16" spans="2:15" x14ac:dyDescent="0.25">
      <c r="B16" s="38" t="s">
        <v>55</v>
      </c>
      <c r="C16" s="11"/>
      <c r="D16" s="11"/>
      <c r="E16" s="34">
        <v>-1905</v>
      </c>
      <c r="F16" s="35">
        <v>-2430</v>
      </c>
      <c r="G16" s="35">
        <v>-2943</v>
      </c>
      <c r="H16" s="35">
        <v>340</v>
      </c>
      <c r="I16" s="49">
        <v>-2331</v>
      </c>
      <c r="J16" s="56">
        <f>I16*1.035</f>
        <v>-2412.585</v>
      </c>
      <c r="K16" s="56">
        <f>J16*1.024</f>
        <v>-2470.48704</v>
      </c>
      <c r="L16" s="56">
        <f>K16*1.039</f>
        <v>-2566.8360345599999</v>
      </c>
      <c r="M16" s="56">
        <f>L16*1.025</f>
        <v>-2631.0069354239995</v>
      </c>
      <c r="N16" s="56">
        <f>M16*1.03</f>
        <v>-2709.9371434867194</v>
      </c>
      <c r="O16" s="42"/>
    </row>
  </sheetData>
  <mergeCells count="2">
    <mergeCell ref="E3:I3"/>
    <mergeCell ref="J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7E2D-680B-4228-894A-47C660061E79}">
  <dimension ref="B2:O45"/>
  <sheetViews>
    <sheetView showGridLines="0" tabSelected="1" workbookViewId="0">
      <selection activeCell="F45" sqref="F45"/>
    </sheetView>
  </sheetViews>
  <sheetFormatPr defaultRowHeight="15" x14ac:dyDescent="0.25"/>
  <cols>
    <col min="7" max="7" width="9.5703125" bestFit="1" customWidth="1"/>
  </cols>
  <sheetData>
    <row r="2" spans="2:15" x14ac:dyDescent="0.25">
      <c r="B2" s="7" t="s">
        <v>3</v>
      </c>
      <c r="C2" s="1"/>
      <c r="D2" s="1"/>
    </row>
    <row r="3" spans="2:15" x14ac:dyDescent="0.25">
      <c r="B3" s="7" t="s">
        <v>47</v>
      </c>
      <c r="C3" s="1"/>
      <c r="D3" s="1"/>
    </row>
    <row r="5" spans="2:15" x14ac:dyDescent="0.25">
      <c r="B5" s="72" t="s">
        <v>59</v>
      </c>
      <c r="C5" s="72"/>
      <c r="D5" s="72"/>
      <c r="E5" s="72"/>
      <c r="F5" s="72"/>
      <c r="G5" s="72"/>
      <c r="I5" s="3" t="s">
        <v>70</v>
      </c>
      <c r="J5" s="4">
        <v>0</v>
      </c>
      <c r="K5" s="3">
        <v>1</v>
      </c>
      <c r="L5" s="3">
        <v>2</v>
      </c>
      <c r="M5" s="3">
        <v>3</v>
      </c>
      <c r="N5" s="3">
        <v>4</v>
      </c>
      <c r="O5" s="3">
        <v>5</v>
      </c>
    </row>
    <row r="6" spans="2:15" x14ac:dyDescent="0.25">
      <c r="I6" t="s">
        <v>22</v>
      </c>
      <c r="J6" s="2">
        <f>'Street Estimates'!I6</f>
        <v>23302</v>
      </c>
      <c r="K6" s="40">
        <f>'Street Estimates'!J8</f>
        <v>24046</v>
      </c>
      <c r="L6" s="40">
        <f>'Street Estimates'!K8</f>
        <v>25104.024000000001</v>
      </c>
      <c r="M6" s="40">
        <f>'Street Estimates'!L8</f>
        <v>26208.601056000003</v>
      </c>
      <c r="N6" s="40">
        <f>'Street Estimates'!M8</f>
        <v>27361.779502464004</v>
      </c>
      <c r="O6" s="40">
        <f>'Street Estimates'!N8</f>
        <v>28565.69780057242</v>
      </c>
    </row>
    <row r="7" spans="2:15" x14ac:dyDescent="0.25">
      <c r="B7" s="8" t="s">
        <v>60</v>
      </c>
      <c r="C7" s="8"/>
      <c r="D7" s="8"/>
      <c r="E7" s="8"/>
      <c r="F7" s="8"/>
      <c r="G7" s="8"/>
      <c r="I7" t="s">
        <v>72</v>
      </c>
      <c r="J7" s="2">
        <f>-'Street Estimates'!I10</f>
        <v>-5304</v>
      </c>
      <c r="K7" s="40">
        <f>-'Street Estimates'!J10</f>
        <v>-6011.5</v>
      </c>
      <c r="L7" s="40">
        <f>-'Street Estimates'!K10</f>
        <v>-6276.0060000000003</v>
      </c>
      <c r="M7" s="40">
        <f>-'Street Estimates'!L10</f>
        <v>-6552.1502640000008</v>
      </c>
      <c r="N7" s="40">
        <f>-'Street Estimates'!M10</f>
        <v>-6840.4448756160009</v>
      </c>
      <c r="O7" s="40">
        <f>-'Street Estimates'!N10</f>
        <v>-7141.4244501431049</v>
      </c>
    </row>
    <row r="8" spans="2:15" x14ac:dyDescent="0.25">
      <c r="B8" t="s">
        <v>64</v>
      </c>
      <c r="G8" s="60">
        <v>4.1599999999999998E-2</v>
      </c>
      <c r="I8" t="s">
        <v>71</v>
      </c>
      <c r="J8" s="2">
        <f>'Street Estimates'!I11</f>
        <v>2862</v>
      </c>
      <c r="K8" s="21">
        <f>'Street Estimates'!J11</f>
        <v>2758</v>
      </c>
      <c r="L8" s="21">
        <f>'Street Estimates'!K11</f>
        <v>2840</v>
      </c>
      <c r="M8" s="21">
        <f>'Street Estimates'!L11</f>
        <v>3284</v>
      </c>
      <c r="N8" s="21">
        <f>'Street Estimates'!M11</f>
        <v>3526</v>
      </c>
      <c r="O8" s="21">
        <f>'Street Estimates'!N11</f>
        <v>2763</v>
      </c>
    </row>
    <row r="9" spans="2:15" x14ac:dyDescent="0.25">
      <c r="B9" t="s">
        <v>61</v>
      </c>
      <c r="G9" s="61">
        <v>16.600000000000001</v>
      </c>
      <c r="I9" t="s">
        <v>56</v>
      </c>
      <c r="J9" s="2">
        <f>-'Street Estimates'!I12</f>
        <v>-2566</v>
      </c>
      <c r="K9" s="40">
        <f>-'Street Estimates'!J14</f>
        <v>-3100</v>
      </c>
      <c r="L9" s="40">
        <f>-'Street Estimates'!K14</f>
        <v>-3177.4999999999995</v>
      </c>
      <c r="M9" s="40">
        <f>-'Street Estimates'!L14</f>
        <v>-3256.9374999999991</v>
      </c>
      <c r="N9" s="40">
        <f>-'Street Estimates'!M14</f>
        <v>-3338.3609374999987</v>
      </c>
      <c r="O9" s="40">
        <f>-'Street Estimates'!N14</f>
        <v>-3421.8199609374983</v>
      </c>
    </row>
    <row r="10" spans="2:15" x14ac:dyDescent="0.25">
      <c r="B10" t="s">
        <v>62</v>
      </c>
      <c r="G10" s="62">
        <v>4.2000000000000003E-2</v>
      </c>
      <c r="I10" t="s">
        <v>73</v>
      </c>
      <c r="J10" s="2">
        <f>'Street Estimates'!I16</f>
        <v>-2331</v>
      </c>
      <c r="K10" s="45">
        <f>'Street Estimates'!J16</f>
        <v>-2412.585</v>
      </c>
      <c r="L10" s="45">
        <f>'Street Estimates'!K16</f>
        <v>-2470.48704</v>
      </c>
      <c r="M10" s="45">
        <f>'Street Estimates'!L16</f>
        <v>-2566.8360345599999</v>
      </c>
      <c r="N10" s="45">
        <f>'Street Estimates'!M16</f>
        <v>-2631.0069354239995</v>
      </c>
      <c r="O10" s="45">
        <f>'Street Estimates'!N16</f>
        <v>-2709.9371434867194</v>
      </c>
    </row>
    <row r="11" spans="2:15" x14ac:dyDescent="0.25">
      <c r="B11" t="s">
        <v>63</v>
      </c>
      <c r="G11" s="63">
        <v>0.25</v>
      </c>
      <c r="I11" s="57" t="s">
        <v>74</v>
      </c>
      <c r="J11" s="39">
        <f>SUM(J6:J10)</f>
        <v>15963</v>
      </c>
      <c r="K11" s="58">
        <f>SUM(K6:K10)</f>
        <v>15279.915000000001</v>
      </c>
      <c r="L11" s="58">
        <f t="shared" ref="L11:O11" si="0">SUM(L6:L10)</f>
        <v>16020.03096</v>
      </c>
      <c r="M11" s="58">
        <f t="shared" si="0"/>
        <v>17116.677257440002</v>
      </c>
      <c r="N11" s="58">
        <f t="shared" si="0"/>
        <v>18077.966753924004</v>
      </c>
      <c r="O11" s="58">
        <f t="shared" si="0"/>
        <v>18055.516246005096</v>
      </c>
    </row>
    <row r="12" spans="2:15" x14ac:dyDescent="0.25">
      <c r="B12" t="s">
        <v>65</v>
      </c>
      <c r="G12" s="63">
        <v>0.03</v>
      </c>
      <c r="J12" s="21"/>
    </row>
    <row r="13" spans="2:15" x14ac:dyDescent="0.25">
      <c r="G13" s="61"/>
    </row>
    <row r="14" spans="2:15" x14ac:dyDescent="0.25">
      <c r="B14" t="s">
        <v>66</v>
      </c>
      <c r="G14" s="61">
        <v>0.99</v>
      </c>
    </row>
    <row r="15" spans="2:15" x14ac:dyDescent="0.25">
      <c r="B15" t="s">
        <v>67</v>
      </c>
      <c r="G15" s="60">
        <v>7.0000000000000007E-2</v>
      </c>
    </row>
    <row r="16" spans="2:15" x14ac:dyDescent="0.25">
      <c r="B16" t="s">
        <v>68</v>
      </c>
      <c r="G16" s="61">
        <v>327624</v>
      </c>
    </row>
    <row r="17" spans="2:11" x14ac:dyDescent="0.25">
      <c r="B17" t="s">
        <v>69</v>
      </c>
      <c r="G17" s="61">
        <v>46269</v>
      </c>
    </row>
    <row r="19" spans="2:11" x14ac:dyDescent="0.25">
      <c r="B19" s="3" t="s">
        <v>75</v>
      </c>
      <c r="C19" s="36"/>
      <c r="D19" s="36"/>
      <c r="E19" s="36"/>
      <c r="F19" s="36"/>
      <c r="G19" s="36"/>
    </row>
    <row r="20" spans="2:11" x14ac:dyDescent="0.25">
      <c r="B20" t="s">
        <v>76</v>
      </c>
      <c r="G20" s="59">
        <f>G12+G14*(G15-G12)</f>
        <v>6.9600000000000009E-2</v>
      </c>
    </row>
    <row r="21" spans="2:11" x14ac:dyDescent="0.25">
      <c r="B21" t="s">
        <v>77</v>
      </c>
      <c r="G21" s="64">
        <f>G17/SUM(G16:G17)</f>
        <v>0.12374930795708933</v>
      </c>
    </row>
    <row r="22" spans="2:11" x14ac:dyDescent="0.25">
      <c r="B22" t="s">
        <v>78</v>
      </c>
      <c r="G22" s="64">
        <f>G16/SUM(G16:G17)</f>
        <v>0.87625069204291062</v>
      </c>
    </row>
    <row r="23" spans="2:11" x14ac:dyDescent="0.25">
      <c r="B23" s="9" t="s">
        <v>80</v>
      </c>
      <c r="C23" s="9"/>
      <c r="D23" s="9"/>
      <c r="E23" s="9"/>
      <c r="F23" s="9"/>
      <c r="G23" s="66">
        <f>G22*G20+G21*G10*(1-G11)</f>
        <v>6.4885151366834898E-2</v>
      </c>
    </row>
    <row r="25" spans="2:11" x14ac:dyDescent="0.25">
      <c r="B25" s="3" t="s">
        <v>79</v>
      </c>
      <c r="C25" s="36"/>
      <c r="D25" s="36"/>
      <c r="E25" s="36"/>
      <c r="F25" s="36"/>
      <c r="G25" s="36"/>
    </row>
    <row r="26" spans="2:11" x14ac:dyDescent="0.25">
      <c r="B26" t="s">
        <v>21</v>
      </c>
      <c r="G26" s="40">
        <f>O6+O8</f>
        <v>31328.69780057242</v>
      </c>
    </row>
    <row r="27" spans="2:11" x14ac:dyDescent="0.25">
      <c r="B27" t="s">
        <v>61</v>
      </c>
      <c r="G27" s="40">
        <f>G26*G9</f>
        <v>520056.38348950219</v>
      </c>
    </row>
    <row r="28" spans="2:11" x14ac:dyDescent="0.25">
      <c r="B28" s="8" t="s">
        <v>81</v>
      </c>
      <c r="C28" s="8"/>
      <c r="D28" s="8"/>
      <c r="E28" s="8"/>
      <c r="F28" s="8"/>
      <c r="G28" s="8">
        <f>O11*(1+G8)/(G23-G8)</f>
        <v>807666.02825804416</v>
      </c>
    </row>
    <row r="29" spans="2:11" x14ac:dyDescent="0.25">
      <c r="B29" s="10" t="s">
        <v>82</v>
      </c>
      <c r="G29" s="40">
        <f>AVERAGE(G27:G28)</f>
        <v>663861.2058737732</v>
      </c>
    </row>
    <row r="31" spans="2:11" x14ac:dyDescent="0.25">
      <c r="B31" s="3" t="s">
        <v>83</v>
      </c>
      <c r="C31" s="36"/>
      <c r="D31" s="36"/>
      <c r="E31" s="36"/>
      <c r="F31" s="36"/>
      <c r="G31" s="3">
        <v>1</v>
      </c>
      <c r="H31" s="3">
        <v>2</v>
      </c>
      <c r="I31" s="3">
        <v>3</v>
      </c>
      <c r="J31" s="3">
        <v>4</v>
      </c>
      <c r="K31" s="3">
        <v>5</v>
      </c>
    </row>
    <row r="32" spans="2:11" x14ac:dyDescent="0.25">
      <c r="B32" t="s">
        <v>84</v>
      </c>
      <c r="G32" s="65">
        <f>1/(1+$G$23)^K5</f>
        <v>0.93906840443445805</v>
      </c>
      <c r="H32" s="65">
        <f t="shared" ref="H32:K32" si="1">1/(1+$G$23)^L5</f>
        <v>0.88184946820707888</v>
      </c>
      <c r="I32" s="65">
        <f t="shared" si="1"/>
        <v>0.82811697306059695</v>
      </c>
      <c r="J32" s="65">
        <f t="shared" si="1"/>
        <v>0.77765848457710784</v>
      </c>
      <c r="K32" s="65">
        <f t="shared" si="1"/>
        <v>0.73027451230674334</v>
      </c>
    </row>
    <row r="33" spans="2:11" x14ac:dyDescent="0.25">
      <c r="B33" t="s">
        <v>85</v>
      </c>
      <c r="G33" s="40">
        <f>K11*G32</f>
        <v>14348.885398944143</v>
      </c>
      <c r="H33" s="40">
        <f t="shared" ref="H33:K33" si="2">L11*H32</f>
        <v>14127.25578273694</v>
      </c>
      <c r="I33" s="40">
        <f t="shared" si="2"/>
        <v>14174.610959286374</v>
      </c>
      <c r="J33" s="40">
        <f t="shared" si="2"/>
        <v>14058.484230091879</v>
      </c>
      <c r="K33" s="40">
        <f t="shared" si="2"/>
        <v>13185.483320997853</v>
      </c>
    </row>
    <row r="34" spans="2:11" x14ac:dyDescent="0.25">
      <c r="B34" t="s">
        <v>86</v>
      </c>
      <c r="K34">
        <f>K32*G29</f>
        <v>484800.91835883626</v>
      </c>
    </row>
    <row r="35" spans="2:11" x14ac:dyDescent="0.25">
      <c r="B35" s="57" t="s">
        <v>87</v>
      </c>
      <c r="C35" s="9"/>
      <c r="D35" s="9"/>
      <c r="E35" s="9"/>
      <c r="F35" s="67">
        <f>SUM(G33:K34)</f>
        <v>554695.63805089344</v>
      </c>
    </row>
    <row r="37" spans="2:11" x14ac:dyDescent="0.25">
      <c r="B37" s="3" t="s">
        <v>88</v>
      </c>
      <c r="C37" s="36"/>
      <c r="D37" s="36"/>
      <c r="E37" s="36"/>
      <c r="F37" s="36"/>
    </row>
    <row r="38" spans="2:11" x14ac:dyDescent="0.25">
      <c r="B38" t="s">
        <v>89</v>
      </c>
      <c r="F38">
        <v>2840</v>
      </c>
    </row>
    <row r="39" spans="2:11" x14ac:dyDescent="0.25">
      <c r="B39" t="s">
        <v>90</v>
      </c>
    </row>
    <row r="40" spans="2:11" x14ac:dyDescent="0.25">
      <c r="B40" t="s">
        <v>91</v>
      </c>
      <c r="F40">
        <v>1035</v>
      </c>
    </row>
    <row r="41" spans="2:11" x14ac:dyDescent="0.25">
      <c r="B41" s="8" t="s">
        <v>92</v>
      </c>
      <c r="C41" s="8"/>
      <c r="D41" s="8"/>
      <c r="E41" s="8"/>
      <c r="F41" s="8">
        <v>33566</v>
      </c>
    </row>
    <row r="42" spans="2:11" x14ac:dyDescent="0.25">
      <c r="B42" s="10" t="s">
        <v>68</v>
      </c>
      <c r="F42" s="40">
        <f>F35+F38-F40-F41</f>
        <v>522934.63805089344</v>
      </c>
    </row>
    <row r="44" spans="2:11" x14ac:dyDescent="0.25">
      <c r="B44" s="8" t="s">
        <v>93</v>
      </c>
      <c r="C44" s="8"/>
      <c r="D44" s="8"/>
      <c r="E44" s="8"/>
      <c r="F44" s="68">
        <v>1030</v>
      </c>
    </row>
    <row r="45" spans="2:11" x14ac:dyDescent="0.25">
      <c r="B45" t="s">
        <v>68</v>
      </c>
      <c r="F45" s="6">
        <f>F42/F44</f>
        <v>507.70353208824605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 and Projections</vt:lpstr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2022-08-20T23:40:58Z</dcterms:created>
  <dcterms:modified xsi:type="dcterms:W3CDTF">2022-08-22T20:54:21Z</dcterms:modified>
</cp:coreProperties>
</file>