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CF\Dow 30\Cisco\"/>
    </mc:Choice>
  </mc:AlternateContent>
  <xr:revisionPtr revIDLastSave="0" documentId="13_ncr:1_{E77515C3-EA2D-443C-BD23-18D521A37EEC}" xr6:coauthVersionLast="47" xr6:coauthVersionMax="47" xr10:uidLastSave="{00000000-0000-0000-0000-000000000000}"/>
  <bookViews>
    <workbookView xWindow="23880" yWindow="-6750" windowWidth="24240" windowHeight="18240" xr2:uid="{9CA24CEB-08F8-4FB7-AADA-588D4B4B3B81}"/>
  </bookViews>
  <sheets>
    <sheet name="Street Estimates" sheetId="1" r:id="rId1"/>
    <sheet name="DCF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6" i="2" l="1"/>
  <c r="F45" i="2"/>
  <c r="F42" i="2"/>
  <c r="F41" i="2"/>
  <c r="F35" i="2"/>
  <c r="K34" i="2"/>
  <c r="G20" i="2"/>
  <c r="G23" i="2"/>
  <c r="K32" i="2"/>
  <c r="K33" i="2"/>
  <c r="J32" i="2"/>
  <c r="J33" i="2"/>
  <c r="I32" i="2"/>
  <c r="I33" i="2"/>
  <c r="H32" i="2"/>
  <c r="H33" i="2"/>
  <c r="G32" i="2"/>
  <c r="G33" i="2"/>
  <c r="G28" i="2"/>
  <c r="G29" i="2"/>
  <c r="G27" i="2"/>
  <c r="G26" i="2"/>
  <c r="G22" i="2"/>
  <c r="G21" i="2"/>
  <c r="O11" i="2"/>
  <c r="N11" i="2"/>
  <c r="M11" i="2"/>
  <c r="L11" i="2"/>
  <c r="K11" i="2"/>
  <c r="J11" i="2"/>
  <c r="O10" i="2"/>
  <c r="N10" i="2"/>
  <c r="M10" i="2"/>
  <c r="L10" i="2"/>
  <c r="K10" i="2"/>
  <c r="J10" i="2"/>
  <c r="O9" i="2"/>
  <c r="N9" i="2"/>
  <c r="M9" i="2"/>
  <c r="L9" i="2"/>
  <c r="K9" i="2"/>
  <c r="J9" i="2"/>
  <c r="O8" i="2"/>
  <c r="N8" i="2"/>
  <c r="M8" i="2"/>
  <c r="L8" i="2"/>
  <c r="K8" i="2"/>
  <c r="J8" i="2"/>
  <c r="J7" i="2"/>
  <c r="O7" i="2"/>
  <c r="N7" i="2"/>
  <c r="M7" i="2"/>
  <c r="L7" i="2"/>
  <c r="K7" i="2"/>
  <c r="O6" i="2"/>
  <c r="N6" i="2"/>
  <c r="M6" i="2"/>
  <c r="L6" i="2"/>
  <c r="K6" i="2"/>
  <c r="J6" i="2"/>
  <c r="N16" i="1"/>
  <c r="M16" i="1"/>
  <c r="L16" i="1"/>
  <c r="K16" i="1"/>
  <c r="J16" i="1"/>
  <c r="N10" i="1"/>
  <c r="M10" i="1"/>
  <c r="L10" i="1"/>
  <c r="K10" i="1"/>
  <c r="J10" i="1"/>
  <c r="G10" i="1"/>
  <c r="I10" i="1"/>
  <c r="H10" i="1"/>
  <c r="F10" i="1"/>
  <c r="E10" i="1"/>
</calcChain>
</file>

<file path=xl/sharedStrings.xml><?xml version="1.0" encoding="utf-8"?>
<sst xmlns="http://schemas.openxmlformats.org/spreadsheetml/2006/main" count="61" uniqueCount="52">
  <si>
    <t>Income Statement:</t>
  </si>
  <si>
    <t>EBIT:</t>
  </si>
  <si>
    <t>High Consensus</t>
  </si>
  <si>
    <t>Base</t>
  </si>
  <si>
    <t>Conservative</t>
  </si>
  <si>
    <t>Tax:</t>
  </si>
  <si>
    <t>D&amp;A:</t>
  </si>
  <si>
    <t>CapEx</t>
  </si>
  <si>
    <t>CapEx:</t>
  </si>
  <si>
    <t>NWC</t>
  </si>
  <si>
    <t>Tax</t>
  </si>
  <si>
    <t>Historical</t>
  </si>
  <si>
    <t>Projected</t>
  </si>
  <si>
    <t>Ticker: CSCO</t>
  </si>
  <si>
    <t>Current Price: $42.86</t>
  </si>
  <si>
    <t>NWC:</t>
  </si>
  <si>
    <t>Discounted Cash Flow Model</t>
  </si>
  <si>
    <t>Assumptions:</t>
  </si>
  <si>
    <t>Growth Rate</t>
  </si>
  <si>
    <t>Period</t>
  </si>
  <si>
    <t>EBIT</t>
  </si>
  <si>
    <t>D&amp;A</t>
  </si>
  <si>
    <t>FCF</t>
  </si>
  <si>
    <t>EV / EBITDA</t>
  </si>
  <si>
    <t>Cost of Debt</t>
  </si>
  <si>
    <t>Tax Rate</t>
  </si>
  <si>
    <t>Risk Free Rate</t>
  </si>
  <si>
    <t>Beta</t>
  </si>
  <si>
    <t>Market Return</t>
  </si>
  <si>
    <t>Equity Value</t>
  </si>
  <si>
    <t>Debt Value</t>
  </si>
  <si>
    <t>WACC</t>
  </si>
  <si>
    <t>Cost of Equity</t>
  </si>
  <si>
    <t>D/D+E</t>
  </si>
  <si>
    <t>E/D+E</t>
  </si>
  <si>
    <t>Terminal Value</t>
  </si>
  <si>
    <t>EBITDA</t>
  </si>
  <si>
    <t>Perpetuity Growth</t>
  </si>
  <si>
    <t>Average</t>
  </si>
  <si>
    <t>Discounting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</si>
  <si>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</si>
  <si>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</si>
  <si>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</si>
  <si>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</si>
  <si>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</si>
  <si>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</si>
  <si>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</si>
  <si>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Short-Term Debt</t>
  </si>
  <si>
    <t>Long-Term Debt</t>
  </si>
  <si>
    <t>Shares Outstanding</t>
  </si>
  <si>
    <t>Upside</t>
  </si>
  <si>
    <t>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</si>
</sst>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(#,##0\)_-;_-* &quot;-&quot;_-;_-@_-"/>
    <numFmt numFmtId="165" formatCode="_(* #,##0_);_(* \(#,##0\);_(* &quot;-&quot;??_);_(@_)"/>
    <numFmt numFmtId="166" formatCode="_-* #,##0.00_-;\(#,##0.00\)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1" xfId="0" applyFill="1" applyBorder="1"/>
    <xf numFmtId="0" fontId="2" fillId="2" borderId="1" xfId="0" applyFont="1" applyFill="1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2" fillId="0" borderId="2" xfId="0" applyFont="1" applyBorder="1"/>
    <xf numFmtId="0" fontId="2" fillId="0" borderId="0" xfId="0" applyFont="1"/>
    <xf numFmtId="0" fontId="2" fillId="2" borderId="3" xfId="0" applyFont="1" applyFill="1" applyBorder="1"/>
    <xf numFmtId="0" fontId="0" fillId="0" borderId="5" xfId="0" applyBorder="1"/>
    <xf numFmtId="164" fontId="0" fillId="0" borderId="2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3" fillId="0" borderId="2" xfId="0" applyNumberFormat="1" applyFont="1" applyBorder="1"/>
    <xf numFmtId="164" fontId="3" fillId="0" borderId="0" xfId="0" applyNumberFormat="1" applyFont="1"/>
    <xf numFmtId="164" fontId="3" fillId="0" borderId="3" xfId="0" applyNumberFormat="1" applyFont="1" applyBorder="1"/>
    <xf numFmtId="164" fontId="3" fillId="0" borderId="1" xfId="0" applyNumberFormat="1" applyFont="1" applyBorder="1"/>
    <xf numFmtId="165" fontId="0" fillId="0" borderId="3" xfId="0" applyNumberFormat="1" applyBorder="1"/>
    <xf numFmtId="165" fontId="0" fillId="0" borderId="1" xfId="0" applyNumberFormat="1" applyBorder="1"/>
    <xf numFmtId="164" fontId="0" fillId="0" borderId="5" xfId="0" applyNumberFormat="1" applyBorder="1"/>
    <xf numFmtId="164" fontId="3" fillId="0" borderId="6" xfId="0" applyNumberFormat="1" applyFont="1" applyBorder="1"/>
    <xf numFmtId="164" fontId="3" fillId="0" borderId="5" xfId="0" applyNumberFormat="1" applyFont="1" applyBorder="1"/>
    <xf numFmtId="0" fontId="2" fillId="0" borderId="5" xfId="0" applyFont="1" applyBorder="1"/>
    <xf numFmtId="164" fontId="2" fillId="0" borderId="6" xfId="0" applyNumberFormat="1" applyFont="1" applyBorder="1"/>
    <xf numFmtId="164" fontId="2" fillId="0" borderId="5" xfId="0" applyNumberFormat="1" applyFont="1" applyBorder="1"/>
    <xf numFmtId="10" fontId="0" fillId="0" borderId="0" xfId="0" applyNumberFormat="1"/>
    <xf numFmtId="0" fontId="2" fillId="0" borderId="0" xfId="0" applyFont="1" applyFill="1" applyBorder="1"/>
    <xf numFmtId="10" fontId="0" fillId="0" borderId="0" xfId="1" applyNumberFormat="1" applyFont="1"/>
    <xf numFmtId="10" fontId="0" fillId="0" borderId="1" xfId="1" applyNumberFormat="1" applyFont="1" applyBorder="1"/>
    <xf numFmtId="166" fontId="0" fillId="0" borderId="0" xfId="0" applyNumberFormat="1"/>
    <xf numFmtId="164" fontId="2" fillId="0" borderId="0" xfId="0" applyNumberFormat="1" applyFont="1"/>
    <xf numFmtId="3" fontId="3" fillId="0" borderId="0" xfId="0" applyNumberFormat="1" applyFont="1"/>
    <xf numFmtId="0" fontId="3" fillId="0" borderId="0" xfId="0" applyFont="1"/>
    <xf numFmtId="10" fontId="3" fillId="0" borderId="0" xfId="0" applyNumberFormat="1" applyFont="1"/>
    <xf numFmtId="9" fontId="3" fillId="0" borderId="0" xfId="0" applyNumberFormat="1" applyFont="1"/>
    <xf numFmtId="10" fontId="2" fillId="0" borderId="0" xfId="0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04F68-B565-4A80-B817-6F8095EDA1FD}">
  <dimension ref="B1:N16"/>
  <sheetViews>
    <sheetView showGridLines="0" tabSelected="1" workbookViewId="0">
      <selection activeCell="K10" sqref="K10"/>
    </sheetView>
  </sheetViews>
  <sheetFormatPr defaultRowHeight="15" x14ac:dyDescent="0.25"/>
  <cols>
    <col min="5" max="9" width="11.5703125" bestFit="1" customWidth="1"/>
    <col min="10" max="14" width="12.5703125" bestFit="1" customWidth="1"/>
  </cols>
  <sheetData>
    <row r="1" spans="2:14" x14ac:dyDescent="0.25">
      <c r="E1" s="6"/>
      <c r="J1" s="6"/>
    </row>
    <row r="2" spans="2:14" x14ac:dyDescent="0.25">
      <c r="B2" s="2" t="s">
        <v>13</v>
      </c>
      <c r="C2" s="1"/>
      <c r="D2" s="1"/>
      <c r="E2" s="6"/>
      <c r="J2" s="6"/>
    </row>
    <row r="3" spans="2:14" x14ac:dyDescent="0.25">
      <c r="B3" s="2" t="s">
        <v>14</v>
      </c>
      <c r="C3" s="1"/>
      <c r="D3" s="1"/>
      <c r="E3" s="38" t="s">
        <v>11</v>
      </c>
      <c r="F3" s="39"/>
      <c r="G3" s="39"/>
      <c r="H3" s="39"/>
      <c r="I3" s="40"/>
      <c r="J3" s="38" t="s">
        <v>12</v>
      </c>
      <c r="K3" s="39"/>
      <c r="L3" s="39"/>
      <c r="M3" s="39"/>
      <c r="N3" s="39"/>
    </row>
    <row r="4" spans="2:14" x14ac:dyDescent="0.25">
      <c r="E4" s="8"/>
      <c r="F4" s="9"/>
      <c r="G4" s="9"/>
      <c r="H4" s="9"/>
      <c r="I4" s="9"/>
      <c r="J4" s="8">
        <v>1</v>
      </c>
      <c r="K4" s="9">
        <v>2</v>
      </c>
      <c r="L4" s="9">
        <v>3</v>
      </c>
      <c r="M4" s="9">
        <v>4</v>
      </c>
      <c r="N4" s="9">
        <v>5</v>
      </c>
    </row>
    <row r="5" spans="2:14" x14ac:dyDescent="0.25">
      <c r="B5" s="4" t="s">
        <v>0</v>
      </c>
      <c r="C5" s="3"/>
      <c r="D5" s="3"/>
      <c r="E5" s="10">
        <v>2017</v>
      </c>
      <c r="F5" s="4">
        <v>2018</v>
      </c>
      <c r="G5" s="4">
        <v>2019</v>
      </c>
      <c r="H5" s="4">
        <v>2020</v>
      </c>
      <c r="I5" s="4">
        <v>2021</v>
      </c>
      <c r="J5" s="10">
        <v>2022</v>
      </c>
      <c r="K5" s="4">
        <v>2023</v>
      </c>
      <c r="L5" s="4">
        <v>2024</v>
      </c>
      <c r="M5" s="4">
        <v>2025</v>
      </c>
      <c r="N5" s="4">
        <v>2026</v>
      </c>
    </row>
    <row r="6" spans="2:14" x14ac:dyDescent="0.25">
      <c r="B6" t="s">
        <v>1</v>
      </c>
      <c r="E6" s="15">
        <v>12739</v>
      </c>
      <c r="F6" s="16">
        <v>12835</v>
      </c>
      <c r="G6" s="16">
        <v>14562</v>
      </c>
      <c r="H6" s="16">
        <v>14122</v>
      </c>
      <c r="I6" s="16">
        <v>13765</v>
      </c>
      <c r="J6" s="15"/>
      <c r="K6" s="16"/>
      <c r="L6" s="16"/>
      <c r="M6" s="16"/>
      <c r="N6" s="16"/>
    </row>
    <row r="7" spans="2:14" x14ac:dyDescent="0.25">
      <c r="B7" t="s">
        <v>2</v>
      </c>
      <c r="E7" s="15"/>
      <c r="F7" s="16"/>
      <c r="G7" s="16"/>
      <c r="H7" s="16"/>
      <c r="I7" s="16"/>
      <c r="J7" s="15">
        <v>17862</v>
      </c>
      <c r="K7" s="16">
        <v>19209</v>
      </c>
      <c r="L7" s="16">
        <v>20559</v>
      </c>
      <c r="M7" s="16">
        <v>21346</v>
      </c>
      <c r="N7" s="16">
        <v>18754</v>
      </c>
    </row>
    <row r="8" spans="2:14" x14ac:dyDescent="0.25">
      <c r="B8" t="s">
        <v>3</v>
      </c>
      <c r="E8" s="15"/>
      <c r="F8" s="16"/>
      <c r="G8" s="16"/>
      <c r="H8" s="16"/>
      <c r="I8" s="16"/>
      <c r="J8" s="15">
        <v>17291</v>
      </c>
      <c r="K8" s="16">
        <v>17943</v>
      </c>
      <c r="L8" s="16">
        <v>19110</v>
      </c>
      <c r="M8" s="16">
        <v>21346</v>
      </c>
      <c r="N8" s="16">
        <v>18754</v>
      </c>
    </row>
    <row r="9" spans="2:14" x14ac:dyDescent="0.25">
      <c r="B9" s="5" t="s">
        <v>4</v>
      </c>
      <c r="C9" s="5"/>
      <c r="D9" s="5"/>
      <c r="E9" s="17"/>
      <c r="F9" s="18"/>
      <c r="G9" s="18"/>
      <c r="H9" s="18"/>
      <c r="I9" s="18"/>
      <c r="J9" s="17">
        <v>17157</v>
      </c>
      <c r="K9" s="18">
        <v>16510</v>
      </c>
      <c r="L9" s="18">
        <v>17666</v>
      </c>
      <c r="M9" s="18">
        <v>21346</v>
      </c>
      <c r="N9" s="18">
        <v>18754</v>
      </c>
    </row>
    <row r="10" spans="2:14" x14ac:dyDescent="0.25">
      <c r="B10" s="5" t="s">
        <v>5</v>
      </c>
      <c r="C10" s="5"/>
      <c r="D10" s="5"/>
      <c r="E10" s="19">
        <f>21.8%*E6</f>
        <v>2777.1019999999999</v>
      </c>
      <c r="F10" s="20">
        <f>21%*F6</f>
        <v>2695.35</v>
      </c>
      <c r="G10" s="20">
        <f>20.2%*G6</f>
        <v>2941.5239999999999</v>
      </c>
      <c r="H10" s="20">
        <f>19.7%*H6</f>
        <v>2782.0339999999997</v>
      </c>
      <c r="I10" s="20">
        <f>20.1%*I6</f>
        <v>2766.7650000000003</v>
      </c>
      <c r="J10" s="19">
        <f>21%*J8</f>
        <v>3631.1099999999997</v>
      </c>
      <c r="K10" s="20">
        <f>21%*K8</f>
        <v>3768.0299999999997</v>
      </c>
      <c r="L10" s="20">
        <f t="shared" ref="L10:N10" si="0">21%*L8</f>
        <v>4013.1</v>
      </c>
      <c r="M10" s="20">
        <f t="shared" si="0"/>
        <v>4482.66</v>
      </c>
      <c r="N10" s="20">
        <f t="shared" si="0"/>
        <v>3938.3399999999997</v>
      </c>
    </row>
    <row r="11" spans="2:14" x14ac:dyDescent="0.25">
      <c r="B11" s="5" t="s">
        <v>6</v>
      </c>
      <c r="C11" s="5"/>
      <c r="D11" s="5"/>
      <c r="E11" s="17">
        <v>1915</v>
      </c>
      <c r="F11" s="18">
        <v>1961</v>
      </c>
      <c r="G11" s="18">
        <v>1774</v>
      </c>
      <c r="H11" s="18">
        <v>1700</v>
      </c>
      <c r="I11" s="18">
        <v>1731</v>
      </c>
      <c r="J11" s="17">
        <v>2015</v>
      </c>
      <c r="K11" s="18">
        <v>1564</v>
      </c>
      <c r="L11" s="18">
        <v>1121</v>
      </c>
      <c r="M11" s="18">
        <v>1174</v>
      </c>
      <c r="N11" s="18">
        <v>1223</v>
      </c>
    </row>
    <row r="12" spans="2:14" x14ac:dyDescent="0.25">
      <c r="B12" t="s">
        <v>8</v>
      </c>
      <c r="E12" s="15">
        <v>1126</v>
      </c>
      <c r="F12" s="16">
        <v>1160</v>
      </c>
      <c r="G12" s="16">
        <v>1275</v>
      </c>
      <c r="H12" s="16">
        <v>1227</v>
      </c>
      <c r="I12" s="16">
        <v>1146</v>
      </c>
      <c r="J12" s="15"/>
      <c r="K12" s="16"/>
      <c r="L12" s="16"/>
      <c r="M12" s="16"/>
      <c r="N12" s="16"/>
    </row>
    <row r="13" spans="2:14" x14ac:dyDescent="0.25">
      <c r="B13" t="s">
        <v>2</v>
      </c>
      <c r="E13" s="15"/>
      <c r="F13" s="16"/>
      <c r="G13" s="16"/>
      <c r="H13" s="16"/>
      <c r="I13" s="16"/>
      <c r="J13" s="15">
        <v>600</v>
      </c>
      <c r="K13" s="16">
        <v>908</v>
      </c>
      <c r="L13" s="16">
        <v>1092</v>
      </c>
      <c r="M13" s="16">
        <v>1000</v>
      </c>
      <c r="N13" s="16">
        <v>1000</v>
      </c>
    </row>
    <row r="14" spans="2:14" x14ac:dyDescent="0.25">
      <c r="B14" t="s">
        <v>3</v>
      </c>
      <c r="E14" s="15"/>
      <c r="F14" s="16"/>
      <c r="G14" s="16"/>
      <c r="H14" s="16"/>
      <c r="I14" s="16"/>
      <c r="J14" s="15">
        <v>507</v>
      </c>
      <c r="K14" s="16">
        <v>661</v>
      </c>
      <c r="L14" s="16">
        <v>767</v>
      </c>
      <c r="M14" s="16">
        <v>1000</v>
      </c>
      <c r="N14" s="16">
        <v>1000</v>
      </c>
    </row>
    <row r="15" spans="2:14" x14ac:dyDescent="0.25">
      <c r="B15" t="s">
        <v>4</v>
      </c>
      <c r="E15" s="15"/>
      <c r="F15" s="16"/>
      <c r="G15" s="16"/>
      <c r="H15" s="16"/>
      <c r="I15" s="16"/>
      <c r="J15" s="15">
        <v>431</v>
      </c>
      <c r="K15" s="16">
        <v>423</v>
      </c>
      <c r="L15" s="16">
        <v>450</v>
      </c>
      <c r="M15" s="16">
        <v>1000</v>
      </c>
      <c r="N15" s="16">
        <v>1000</v>
      </c>
    </row>
    <row r="16" spans="2:14" x14ac:dyDescent="0.25">
      <c r="B16" s="11" t="s">
        <v>15</v>
      </c>
      <c r="C16" s="11"/>
      <c r="D16" s="11"/>
      <c r="E16" s="22">
        <v>6380</v>
      </c>
      <c r="F16" s="23">
        <v>6498</v>
      </c>
      <c r="G16" s="23">
        <v>7178</v>
      </c>
      <c r="H16" s="23">
        <v>7837</v>
      </c>
      <c r="I16" s="23">
        <v>8827</v>
      </c>
      <c r="J16" s="22">
        <f>2.7%*I16+I16</f>
        <v>9065.3289999999997</v>
      </c>
      <c r="K16" s="23">
        <f>-4.3%*J16+J16</f>
        <v>8675.5198529999998</v>
      </c>
      <c r="L16" s="23">
        <f>5.4%*K16+K16</f>
        <v>9143.9979250619999</v>
      </c>
      <c r="M16" s="23">
        <f>-4.8%*L16+L16</f>
        <v>8705.0860246590237</v>
      </c>
      <c r="N16" s="23">
        <f>4.2%*M16+M16</f>
        <v>9070.6996376947027</v>
      </c>
    </row>
  </sheetData>
  <mergeCells count="2">
    <mergeCell ref="E3:I3"/>
    <mergeCell ref="J3:N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002E-97C8-4557-A359-DE3B9CA88372}">
  <dimension ref="B2:O47"/>
  <sheetViews>
    <sheetView showGridLines="0" topLeftCell="A19" workbookViewId="0">
      <selection activeCell="F45" sqref="F45"/>
    </sheetView>
  </sheetViews>
  <sheetFormatPr defaultRowHeight="15" x14ac:dyDescent="0.25"/>
  <cols>
    <col min="7" max="7" width="25.42578125" bestFit="1" customWidth="1"/>
    <col min="8" max="9" width="11.5703125" bestFit="1" customWidth="1"/>
    <col min="10" max="11" width="11.7109375" bestFit="1" customWidth="1"/>
    <col min="12" max="15" width="11.5703125" bestFit="1" customWidth="1"/>
  </cols>
  <sheetData>
    <row r="2" spans="2:15" x14ac:dyDescent="0.25">
      <c r="B2" s="2" t="s">
        <v>13</v>
      </c>
      <c r="C2" s="1"/>
      <c r="D2" s="1"/>
    </row>
    <row r="3" spans="2:15" x14ac:dyDescent="0.25">
      <c r="B3" s="2" t="s">
        <v>14</v>
      </c>
      <c r="C3" s="1"/>
      <c r="D3" s="1"/>
    </row>
    <row r="5" spans="2:15" x14ac:dyDescent="0.25">
      <c r="B5" s="41" t="s">
        <v>16</v>
      </c>
      <c r="C5" s="42"/>
      <c r="D5" s="42"/>
      <c r="E5" s="42"/>
      <c r="F5" s="42"/>
      <c r="G5" s="42"/>
      <c r="I5" s="4" t="s">
        <v>19</v>
      </c>
      <c r="J5" s="7">
        <v>0</v>
      </c>
      <c r="K5" s="3">
        <v>1</v>
      </c>
      <c r="L5" s="3">
        <v>2</v>
      </c>
      <c r="M5" s="3">
        <v>3</v>
      </c>
      <c r="N5" s="3">
        <v>4</v>
      </c>
      <c r="O5" s="3">
        <v>5</v>
      </c>
    </row>
    <row r="6" spans="2:15" x14ac:dyDescent="0.25">
      <c r="I6" t="s">
        <v>20</v>
      </c>
      <c r="J6" s="12">
        <f>'Street Estimates'!I6</f>
        <v>13765</v>
      </c>
      <c r="K6" s="13">
        <f>'Street Estimates'!J8</f>
        <v>17291</v>
      </c>
      <c r="L6" s="13">
        <f>'Street Estimates'!K8</f>
        <v>17943</v>
      </c>
      <c r="M6" s="13">
        <f>'Street Estimates'!L8</f>
        <v>19110</v>
      </c>
      <c r="N6" s="13">
        <f>'Street Estimates'!M8</f>
        <v>21346</v>
      </c>
      <c r="O6" s="13">
        <f>'Street Estimates'!N8</f>
        <v>18754</v>
      </c>
    </row>
    <row r="7" spans="2:15" x14ac:dyDescent="0.25">
      <c r="B7" s="5" t="s">
        <v>17</v>
      </c>
      <c r="C7" s="5"/>
      <c r="D7" s="5"/>
      <c r="E7" s="5"/>
      <c r="F7" s="5"/>
      <c r="G7" s="5"/>
      <c r="I7" t="s">
        <v>10</v>
      </c>
      <c r="J7" s="12">
        <f>-'Street Estimates'!I10</f>
        <v>-2766.7650000000003</v>
      </c>
      <c r="K7" s="13">
        <f>-'Street Estimates'!J10</f>
        <v>-3631.1099999999997</v>
      </c>
      <c r="L7" s="13">
        <f>-'Street Estimates'!K10</f>
        <v>-3768.0299999999997</v>
      </c>
      <c r="M7" s="13">
        <f>-'Street Estimates'!L10</f>
        <v>-4013.1</v>
      </c>
      <c r="N7" s="13">
        <f>-'Street Estimates'!M10</f>
        <v>-4482.66</v>
      </c>
      <c r="O7" s="13">
        <f>-'Street Estimates'!N10</f>
        <v>-3938.3399999999997</v>
      </c>
    </row>
    <row r="8" spans="2:15" x14ac:dyDescent="0.25">
      <c r="B8" t="s">
        <v>18</v>
      </c>
      <c r="G8" s="35">
        <v>3.39E-2</v>
      </c>
      <c r="I8" t="s">
        <v>21</v>
      </c>
      <c r="J8" s="12">
        <f>'Street Estimates'!I11</f>
        <v>1731</v>
      </c>
      <c r="K8" s="13">
        <f>'Street Estimates'!J11</f>
        <v>2015</v>
      </c>
      <c r="L8" s="13">
        <f>'Street Estimates'!K11</f>
        <v>1564</v>
      </c>
      <c r="M8" s="13">
        <f>'Street Estimates'!L11</f>
        <v>1121</v>
      </c>
      <c r="N8" s="13">
        <f>'Street Estimates'!M11</f>
        <v>1174</v>
      </c>
      <c r="O8" s="13">
        <f>'Street Estimates'!N11</f>
        <v>1223</v>
      </c>
    </row>
    <row r="9" spans="2:15" x14ac:dyDescent="0.25">
      <c r="B9" t="s">
        <v>23</v>
      </c>
      <c r="G9" s="34">
        <v>14.5</v>
      </c>
      <c r="I9" t="s">
        <v>7</v>
      </c>
      <c r="J9" s="12">
        <f>-'Street Estimates'!I12</f>
        <v>-1146</v>
      </c>
      <c r="K9" s="13">
        <f>-'Street Estimates'!J14</f>
        <v>-507</v>
      </c>
      <c r="L9" s="13">
        <f>-'Street Estimates'!K14</f>
        <v>-661</v>
      </c>
      <c r="M9" s="13">
        <f>-'Street Estimates'!L14</f>
        <v>-767</v>
      </c>
      <c r="N9" s="13">
        <f>-'Street Estimates'!M14</f>
        <v>-1000</v>
      </c>
      <c r="O9" s="13">
        <f>-'Street Estimates'!N14</f>
        <v>-1000</v>
      </c>
    </row>
    <row r="10" spans="2:15" x14ac:dyDescent="0.25">
      <c r="B10" t="s">
        <v>24</v>
      </c>
      <c r="G10" s="35">
        <v>4.5999999999999999E-2</v>
      </c>
      <c r="I10" t="s">
        <v>9</v>
      </c>
      <c r="J10" s="12">
        <f>'Street Estimates'!I16</f>
        <v>8827</v>
      </c>
      <c r="K10" s="13">
        <f>'Street Estimates'!J16</f>
        <v>9065.3289999999997</v>
      </c>
      <c r="L10" s="13">
        <f>'Street Estimates'!K16</f>
        <v>8675.5198529999998</v>
      </c>
      <c r="M10" s="13">
        <f>'Street Estimates'!L16</f>
        <v>9143.9979250619999</v>
      </c>
      <c r="N10" s="13">
        <f>'Street Estimates'!M16</f>
        <v>8705.0860246590237</v>
      </c>
      <c r="O10" s="13">
        <f>'Street Estimates'!N16</f>
        <v>9070.6996376947027</v>
      </c>
    </row>
    <row r="11" spans="2:15" x14ac:dyDescent="0.25">
      <c r="B11" t="s">
        <v>25</v>
      </c>
      <c r="G11" s="36">
        <v>0.21</v>
      </c>
      <c r="I11" s="24" t="s">
        <v>22</v>
      </c>
      <c r="J11" s="25">
        <f>SUM(J6:J10)</f>
        <v>20410.235000000001</v>
      </c>
      <c r="K11" s="26">
        <f>SUM(K6:K10)</f>
        <v>24233.218999999997</v>
      </c>
      <c r="L11" s="26">
        <f t="shared" ref="L11:O11" si="0">SUM(L6:L10)</f>
        <v>23753.489852999999</v>
      </c>
      <c r="M11" s="26">
        <f t="shared" si="0"/>
        <v>24594.897925062</v>
      </c>
      <c r="N11" s="26">
        <f t="shared" si="0"/>
        <v>25742.426024659024</v>
      </c>
      <c r="O11" s="26">
        <f t="shared" si="0"/>
        <v>24109.359637694703</v>
      </c>
    </row>
    <row r="12" spans="2:15" x14ac:dyDescent="0.25">
      <c r="B12" t="s">
        <v>26</v>
      </c>
      <c r="G12" s="35">
        <v>2.9700000000000001E-2</v>
      </c>
    </row>
    <row r="13" spans="2:15" x14ac:dyDescent="0.25">
      <c r="G13" s="34"/>
    </row>
    <row r="14" spans="2:15" x14ac:dyDescent="0.25">
      <c r="B14" t="s">
        <v>27</v>
      </c>
      <c r="G14" s="34">
        <v>0.96</v>
      </c>
    </row>
    <row r="15" spans="2:15" x14ac:dyDescent="0.25">
      <c r="B15" t="s">
        <v>28</v>
      </c>
      <c r="G15" s="35">
        <v>6.4100000000000004E-2</v>
      </c>
    </row>
    <row r="16" spans="2:15" x14ac:dyDescent="0.25">
      <c r="B16" t="s">
        <v>29</v>
      </c>
      <c r="G16" s="33">
        <v>41275</v>
      </c>
    </row>
    <row r="17" spans="2:11" x14ac:dyDescent="0.25">
      <c r="B17" t="s">
        <v>30</v>
      </c>
      <c r="G17" s="33">
        <v>12694</v>
      </c>
    </row>
    <row r="19" spans="2:11" x14ac:dyDescent="0.25">
      <c r="B19" s="4" t="s">
        <v>31</v>
      </c>
      <c r="C19" s="3"/>
      <c r="D19" s="3"/>
      <c r="E19" s="3"/>
      <c r="F19" s="3"/>
      <c r="G19" s="3"/>
    </row>
    <row r="20" spans="2:11" x14ac:dyDescent="0.25">
      <c r="B20" t="s">
        <v>32</v>
      </c>
      <c r="G20" s="27">
        <f>G12+G14*(G15-G12)</f>
        <v>6.2724000000000002E-2</v>
      </c>
    </row>
    <row r="21" spans="2:11" x14ac:dyDescent="0.25">
      <c r="B21" t="s">
        <v>33</v>
      </c>
      <c r="G21" s="29">
        <f>G17/SUM(G16:G17)</f>
        <v>0.23520910152124366</v>
      </c>
    </row>
    <row r="22" spans="2:11" x14ac:dyDescent="0.25">
      <c r="B22" s="5" t="s">
        <v>34</v>
      </c>
      <c r="C22" s="5"/>
      <c r="D22" s="5"/>
      <c r="E22" s="5"/>
      <c r="F22" s="5"/>
      <c r="G22" s="30">
        <f>G16/SUM(G16:G17)</f>
        <v>0.76479089847875636</v>
      </c>
    </row>
    <row r="23" spans="2:11" x14ac:dyDescent="0.25">
      <c r="B23" s="28" t="s">
        <v>31</v>
      </c>
      <c r="G23" s="27">
        <f>G22*G20+G21*G10*(1-G11)</f>
        <v>5.6518243065463505E-2</v>
      </c>
    </row>
    <row r="25" spans="2:11" x14ac:dyDescent="0.25">
      <c r="B25" s="4" t="s">
        <v>35</v>
      </c>
      <c r="C25" s="3"/>
      <c r="D25" s="3"/>
      <c r="E25" s="3"/>
      <c r="F25" s="3"/>
      <c r="G25" s="3"/>
    </row>
    <row r="26" spans="2:11" x14ac:dyDescent="0.25">
      <c r="B26" t="s">
        <v>36</v>
      </c>
      <c r="G26" s="13">
        <f>O6+O8</f>
        <v>19977</v>
      </c>
    </row>
    <row r="27" spans="2:11" x14ac:dyDescent="0.25">
      <c r="B27" t="s">
        <v>23</v>
      </c>
      <c r="G27" s="13">
        <f>G26*G9</f>
        <v>289666.5</v>
      </c>
    </row>
    <row r="28" spans="2:11" x14ac:dyDescent="0.25">
      <c r="B28" t="s">
        <v>37</v>
      </c>
      <c r="G28" s="13">
        <f>O11*(1+G8)/(G23-G8)</f>
        <v>1102060.264241914</v>
      </c>
    </row>
    <row r="29" spans="2:11" x14ac:dyDescent="0.25">
      <c r="B29" s="24" t="s">
        <v>38</v>
      </c>
      <c r="C29" s="11"/>
      <c r="D29" s="11"/>
      <c r="E29" s="11"/>
      <c r="F29" s="11"/>
      <c r="G29" s="21">
        <f>AVERAGE(G27:G28)</f>
        <v>695863.38212095702</v>
      </c>
    </row>
    <row r="31" spans="2:11" x14ac:dyDescent="0.25">
      <c r="B31" s="4" t="s">
        <v>39</v>
      </c>
      <c r="C31" s="3"/>
      <c r="D31" s="3"/>
      <c r="E31" s="3"/>
      <c r="F31" s="3"/>
      <c r="G31" s="3">
        <v>1</v>
      </c>
      <c r="H31" s="3">
        <v>2</v>
      </c>
      <c r="I31" s="3">
        <v>3</v>
      </c>
      <c r="J31" s="3">
        <v>4</v>
      </c>
      <c r="K31" s="3">
        <v>5</v>
      </c>
    </row>
    <row r="32" spans="2:11" x14ac:dyDescent="0.25">
      <c r="B32" t="s">
        <v>40</v>
      </c>
      <c r="G32" s="31">
        <f>1/(1+$G$23)^K5</f>
        <v>0.94650518962978125</v>
      </c>
      <c r="H32" s="31">
        <f t="shared" ref="H32:K32" si="1">1/(1+$G$23)^L5</f>
        <v>0.89587207399610824</v>
      </c>
      <c r="I32" s="31">
        <f t="shared" si="1"/>
        <v>0.84794756728171194</v>
      </c>
      <c r="J32" s="31">
        <f t="shared" si="1"/>
        <v>0.80258677296608849</v>
      </c>
      <c r="K32" s="31">
        <f t="shared" si="1"/>
        <v>0.75965254574062191</v>
      </c>
    </row>
    <row r="33" spans="2:11" x14ac:dyDescent="0.25">
      <c r="B33" t="s">
        <v>41</v>
      </c>
      <c r="G33" s="13">
        <f>K11*G32</f>
        <v>22936.867544935016</v>
      </c>
      <c r="H33" s="13">
        <f t="shared" ref="H33:K33" si="2">L11*H32</f>
        <v>21280.088219252622</v>
      </c>
      <c r="I33" s="13">
        <f t="shared" si="2"/>
        <v>20855.183863098348</v>
      </c>
      <c r="J33" s="13">
        <f t="shared" si="2"/>
        <v>20660.530631449339</v>
      </c>
      <c r="K33" s="13">
        <f t="shared" si="2"/>
        <v>18314.736424950977</v>
      </c>
    </row>
    <row r="34" spans="2:11" x14ac:dyDescent="0.25">
      <c r="B34" s="5" t="s">
        <v>42</v>
      </c>
      <c r="C34" s="5"/>
      <c r="D34" s="5"/>
      <c r="E34" s="5"/>
      <c r="F34" s="5"/>
      <c r="G34" s="5"/>
      <c r="H34" s="5"/>
      <c r="I34" s="5"/>
      <c r="J34" s="5"/>
      <c r="K34" s="14">
        <f>K32*G29</f>
        <v>528614.38971586421</v>
      </c>
    </row>
    <row r="35" spans="2:11" x14ac:dyDescent="0.25">
      <c r="B35" s="28" t="s">
        <v>43</v>
      </c>
      <c r="F35" s="32">
        <f>SUM(G33:K34)</f>
        <v>632661.79639955051</v>
      </c>
    </row>
    <row r="37" spans="2:11" x14ac:dyDescent="0.25">
      <c r="B37" s="4" t="s">
        <v>44</v>
      </c>
      <c r="C37" s="3"/>
      <c r="D37" s="3"/>
      <c r="E37" s="3"/>
      <c r="F37" s="3"/>
    </row>
    <row r="38" spans="2:11" x14ac:dyDescent="0.25">
      <c r="B38" t="s">
        <v>45</v>
      </c>
      <c r="F38" s="16">
        <v>20110</v>
      </c>
    </row>
    <row r="39" spans="2:11" x14ac:dyDescent="0.25">
      <c r="B39" t="s">
        <v>46</v>
      </c>
      <c r="F39" s="16"/>
    </row>
    <row r="40" spans="2:11" x14ac:dyDescent="0.25">
      <c r="B40" t="s">
        <v>47</v>
      </c>
      <c r="F40" s="16"/>
    </row>
    <row r="41" spans="2:11" x14ac:dyDescent="0.25">
      <c r="B41" s="5" t="s">
        <v>48</v>
      </c>
      <c r="C41" s="5"/>
      <c r="D41" s="5"/>
      <c r="E41" s="5"/>
      <c r="F41" s="18">
        <f>G17</f>
        <v>12694</v>
      </c>
    </row>
    <row r="42" spans="2:11" x14ac:dyDescent="0.25">
      <c r="B42" s="9" t="s">
        <v>29</v>
      </c>
      <c r="F42" s="13">
        <f>F35+F38-F41</f>
        <v>640077.79639955051</v>
      </c>
    </row>
    <row r="43" spans="2:11" x14ac:dyDescent="0.25">
      <c r="F43" s="13"/>
    </row>
    <row r="44" spans="2:11" x14ac:dyDescent="0.25">
      <c r="B44" s="5" t="s">
        <v>49</v>
      </c>
      <c r="C44" s="5"/>
      <c r="D44" s="5"/>
      <c r="E44" s="5"/>
      <c r="F44" s="18">
        <v>4140</v>
      </c>
    </row>
    <row r="45" spans="2:11" x14ac:dyDescent="0.25">
      <c r="B45" t="s">
        <v>29</v>
      </c>
      <c r="F45" s="31">
        <f>F42/F44</f>
        <v>154.60816338153393</v>
      </c>
    </row>
    <row r="46" spans="2:11" x14ac:dyDescent="0.25">
      <c r="B46" t="s">
        <v>50</v>
      </c>
      <c r="F46" s="31">
        <f>F45-42.86</f>
        <v>111.74816338153393</v>
      </c>
    </row>
    <row r="47" spans="2:11" x14ac:dyDescent="0.25">
      <c r="B47" s="9" t="s">
        <v>51</v>
      </c>
      <c r="F47" s="37">
        <v>0.29249999999999998</v>
      </c>
    </row>
  </sheetData>
  <mergeCells count="1">
    <mergeCell ref="B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Street Estimates</vt:lpstr>
      <vt:lpstr>DCF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dcterms:created xsi:type="dcterms:W3CDTF">2022-07-12T21:18:15Z</dcterms:created>
  <dcterms:modified xsi:type="dcterms:W3CDTF">2022-07-28T04:10:44Z</dcterms:modified>
</cp:coreProperties>
</file>