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Apple\"/>
    </mc:Choice>
  </mc:AlternateContent>
  <xr:revisionPtr revIDLastSave="0" documentId="13_ncr:1_{C5B4DA7B-B41E-4E00-BC57-C37196972834}" xr6:coauthVersionLast="47" xr6:coauthVersionMax="47" xr10:uidLastSave="{00000000-0000-0000-0000-000000000000}"/>
  <bookViews>
    <workbookView xWindow="23880" yWindow="-6750" windowWidth="24240" windowHeight="18240" activeTab="3" xr2:uid="{08B3BD42-F7E2-4899-946D-496009338604}"/>
  </bookViews>
  <sheets>
    <sheet name="Historical Data" sheetId="3" r:id="rId1"/>
    <sheet name="Street Estimates" sheetId="1" r:id="rId2"/>
    <sheet name="DCF Model" sheetId="2" r:id="rId3"/>
    <sheet name="Historical Estimates" sheetId="4" r:id="rId4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G23" i="2"/>
  <c r="K32" i="2"/>
  <c r="K33" i="2"/>
  <c r="J32" i="2"/>
  <c r="J33" i="2"/>
  <c r="I32" i="2"/>
  <c r="I33" i="2"/>
  <c r="H32" i="2"/>
  <c r="H33" i="2"/>
  <c r="G32" i="2"/>
  <c r="G33" i="2"/>
  <c r="N6" i="2"/>
  <c r="M10" i="1"/>
  <c r="N7" i="2"/>
  <c r="N11" i="2"/>
  <c r="G28" i="2"/>
  <c r="G29" i="2"/>
  <c r="K34" i="2"/>
  <c r="F35" i="2"/>
  <c r="F42" i="2"/>
  <c r="F45" i="2"/>
  <c r="F46" i="2"/>
  <c r="J6" i="2"/>
  <c r="I10" i="1"/>
  <c r="J7" i="2"/>
  <c r="J8" i="2"/>
  <c r="J9" i="2"/>
  <c r="J10" i="2"/>
  <c r="J11" i="2"/>
  <c r="G22" i="2"/>
  <c r="G21" i="2"/>
  <c r="K6" i="2"/>
  <c r="J10" i="1"/>
  <c r="K7" i="2"/>
  <c r="K8" i="2"/>
  <c r="K9" i="2"/>
  <c r="K10" i="2"/>
  <c r="K11" i="2"/>
  <c r="L6" i="2"/>
  <c r="K10" i="1"/>
  <c r="L7" i="2"/>
  <c r="L8" i="2"/>
  <c r="L9" i="2"/>
  <c r="L10" i="2"/>
  <c r="L11" i="2"/>
  <c r="M6" i="2"/>
  <c r="L10" i="1"/>
  <c r="M7" i="2"/>
  <c r="M8" i="2"/>
  <c r="M9" i="2"/>
  <c r="M10" i="2"/>
  <c r="M11" i="2"/>
  <c r="N8" i="2"/>
  <c r="N9" i="2"/>
  <c r="N10" i="2"/>
  <c r="O6" i="2"/>
  <c r="O8" i="2"/>
  <c r="G26" i="2"/>
  <c r="G27" i="2"/>
  <c r="N10" i="1"/>
  <c r="O7" i="2"/>
  <c r="O9" i="2"/>
  <c r="O10" i="2"/>
  <c r="O11" i="2"/>
  <c r="H10" i="1"/>
  <c r="G10" i="1"/>
  <c r="F10" i="1"/>
  <c r="E10" i="1"/>
</calcChain>
</file>

<file path=xl/sharedStrings.xml><?xml version="1.0" encoding="utf-8"?>
<sst xmlns="http://schemas.openxmlformats.org/spreadsheetml/2006/main" count="89" uniqueCount="72">
  <si>
    <t>Ticker: AAPL</t>
  </si>
  <si>
    <t>EBIT: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</si>
  <si>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</si>
  <si>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</si>
  <si>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</si>
  <si>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</si>
  <si>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</si>
  <si>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</si>
  <si>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</si>
  <si>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</si>
  <si>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</si>
  <si>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</si>
  <si>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</si>
  <si>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</si>
  <si>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</si>
  <si>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</si>
  <si>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</si>
  <si>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</si>
  <si>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</si>
  <si>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</si>
  <si>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</si>
  <si>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</si>
  <si>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</si>
  <si>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</si>
  <si>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</si>
  <si>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</si>
  <si>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</si>
  <si>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</si>
  <si>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</si>
  <si>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</si>
  <si>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</si>
  <si>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</si>
  <si>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</si>
  <si>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</si>
  <si>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</si>
  <si>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</si>
  <si>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</si>
  <si>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</si>
  <si>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</si>
  <si>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</si>
  <si>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</si>
  <si>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</si>
  <si>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</si>
  <si>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</si>
  <si>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</si>
  <si>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</si>
  <si>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</si>
  <si>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</si>
  <si>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</si>
  <si>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</si>
  <si>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Revenue</t>
  </si>
  <si>
    <t>Cost of Revenues</t>
  </si>
  <si>
    <t>Gross Profit</t>
  </si>
  <si>
    <t>Gross Profit Margin</t>
  </si>
  <si>
    <t>R&amp;D Expenses</t>
  </si>
  <si>
    <t>General &amp; Admin Expense</t>
  </si>
  <si>
    <t>Other Expense</t>
  </si>
  <si>
    <t>Operating Expenses</t>
  </si>
  <si>
    <t>Operating Income</t>
  </si>
  <si>
    <t>Net Interest Expenses</t>
  </si>
  <si>
    <t>Income Tax Expense</t>
  </si>
  <si>
    <t>Net Income to Company</t>
  </si>
  <si>
    <t>Net Income to Stockholders</t>
  </si>
  <si>
    <t>Basic EPS</t>
  </si>
  <si>
    <t>Diluted EPS</t>
  </si>
  <si>
    <t>Revenue Growth y/y</t>
  </si>
  <si>
    <t>(in Millions)</t>
  </si>
  <si>
    <t>EBT, Unusual Items</t>
  </si>
  <si>
    <t>Current Price</t>
  </si>
  <si>
    <t>CAGR</t>
  </si>
  <si>
    <t>Intrinsic Value</t>
  </si>
  <si>
    <t>(5-year 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</si>
</sst>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_-* #,##0.00_-;\(#,##0.00\)_-;_-* &quot;-&quot;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  <font>
      <sz val="11"/>
      <color rgb="FF00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0" xfId="0" applyNumberFormat="1" applyFill="1" applyBorder="1"/>
    <xf numFmtId="0" fontId="0" fillId="0" borderId="1" xfId="0" applyNumberFormat="1" applyBorder="1"/>
    <xf numFmtId="0" fontId="0" fillId="0" borderId="6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9" fontId="0" fillId="0" borderId="6" xfId="1" applyFont="1" applyBorder="1"/>
    <xf numFmtId="9" fontId="0" fillId="0" borderId="5" xfId="1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166" fontId="7" fillId="0" borderId="3" xfId="1" applyNumberFormat="1" applyFont="1" applyBorder="1"/>
    <xf numFmtId="166" fontId="7" fillId="0" borderId="1" xfId="1" applyNumberFormat="1" applyFont="1" applyBorder="1"/>
    <xf numFmtId="164" fontId="7" fillId="0" borderId="2" xfId="0" applyNumberFormat="1" applyFont="1" applyBorder="1"/>
    <xf numFmtId="164" fontId="7" fillId="0" borderId="0" xfId="0" applyNumberFormat="1" applyFont="1"/>
    <xf numFmtId="164" fontId="7" fillId="0" borderId="3" xfId="0" applyNumberFormat="1" applyFont="1" applyBorder="1"/>
    <xf numFmtId="164" fontId="7" fillId="0" borderId="1" xfId="0" applyNumberFormat="1" applyFont="1" applyBorder="1"/>
    <xf numFmtId="164" fontId="7" fillId="0" borderId="8" xfId="0" applyNumberFormat="1" applyFont="1" applyBorder="1"/>
    <xf numFmtId="164" fontId="7" fillId="0" borderId="7" xfId="0" applyNumberFormat="1" applyFont="1" applyBorder="1"/>
    <xf numFmtId="165" fontId="7" fillId="0" borderId="5" xfId="0" applyNumberFormat="1" applyFont="1" applyBorder="1"/>
    <xf numFmtId="165" fontId="7" fillId="0" borderId="6" xfId="0" applyNumberFormat="1" applyFont="1" applyBorder="1"/>
    <xf numFmtId="165" fontId="7" fillId="0" borderId="3" xfId="0" applyNumberFormat="1" applyFont="1" applyBorder="1"/>
    <xf numFmtId="165" fontId="7" fillId="0" borderId="1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8F44-453E-4BC8-8068-53C0A18A7DEC}">
  <dimension ref="B2:N30"/>
  <sheetViews>
    <sheetView showGridLines="0" topLeftCell="A7" workbookViewId="0">
      <selection activeCell="R6" sqref="R6"/>
    </sheetView>
  </sheetViews>
  <sheetFormatPr defaultRowHeight="15" x14ac:dyDescent="0.25"/>
  <cols>
    <col min="5" max="5" width="9.5703125" bestFit="1" customWidth="1"/>
    <col min="6" max="9" width="9.7109375" bestFit="1" customWidth="1"/>
  </cols>
  <sheetData>
    <row r="2" spans="2:14" x14ac:dyDescent="0.25">
      <c r="B2" s="10" t="s">
        <v>0</v>
      </c>
      <c r="C2" s="11"/>
      <c r="D2" s="11"/>
      <c r="E2" s="4"/>
      <c r="F2" s="3"/>
      <c r="G2" s="3"/>
      <c r="H2" s="3"/>
      <c r="I2" s="3"/>
      <c r="J2" s="4"/>
      <c r="K2" s="3"/>
      <c r="L2" s="3"/>
      <c r="M2" s="3"/>
      <c r="N2" s="3"/>
    </row>
    <row r="3" spans="2:14" x14ac:dyDescent="0.25">
      <c r="B3" s="10" t="s">
        <v>2</v>
      </c>
      <c r="C3" s="11"/>
      <c r="D3" s="11"/>
      <c r="E3" s="74" t="s">
        <v>3</v>
      </c>
      <c r="F3" s="75"/>
      <c r="G3" s="75"/>
      <c r="H3" s="75"/>
      <c r="I3" s="76"/>
      <c r="J3" s="74" t="s">
        <v>7</v>
      </c>
      <c r="K3" s="75"/>
      <c r="L3" s="75"/>
      <c r="M3" s="75"/>
      <c r="N3" s="75"/>
    </row>
    <row r="4" spans="2:14" x14ac:dyDescent="0.25">
      <c r="B4" s="3"/>
      <c r="C4" s="3"/>
      <c r="D4" s="3"/>
      <c r="E4" s="74"/>
      <c r="F4" s="75"/>
      <c r="G4" s="75"/>
      <c r="H4" s="75"/>
      <c r="I4" s="76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2:14" x14ac:dyDescent="0.25">
      <c r="B5" s="14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2:14" x14ac:dyDescent="0.25">
      <c r="B6" s="54" t="s">
        <v>50</v>
      </c>
      <c r="C6" s="55"/>
      <c r="D6" s="55"/>
      <c r="E6" s="60">
        <v>229234</v>
      </c>
      <c r="F6" s="61">
        <v>265595</v>
      </c>
      <c r="G6" s="61">
        <v>260174</v>
      </c>
      <c r="H6" s="61">
        <v>274515</v>
      </c>
      <c r="I6" s="61">
        <v>365817</v>
      </c>
      <c r="J6" s="56"/>
      <c r="K6" s="55"/>
      <c r="L6" s="55"/>
      <c r="M6" s="55"/>
      <c r="N6" s="55"/>
    </row>
    <row r="7" spans="2:14" x14ac:dyDescent="0.25">
      <c r="B7" s="53" t="s">
        <v>65</v>
      </c>
      <c r="C7" s="1"/>
      <c r="D7" s="1"/>
      <c r="E7" s="62">
        <v>6.3E-2</v>
      </c>
      <c r="F7" s="63">
        <v>0.159</v>
      </c>
      <c r="G7" s="63">
        <v>-0.02</v>
      </c>
      <c r="H7" s="63">
        <v>5.5E-2</v>
      </c>
      <c r="I7" s="63">
        <v>0.33300000000000002</v>
      </c>
      <c r="J7" s="57"/>
      <c r="K7" s="1"/>
      <c r="L7" s="1"/>
      <c r="M7" s="1"/>
      <c r="N7" s="1"/>
    </row>
    <row r="8" spans="2:14" x14ac:dyDescent="0.25">
      <c r="B8" s="50"/>
      <c r="C8" s="3"/>
      <c r="D8" s="3"/>
      <c r="E8" s="64"/>
      <c r="F8" s="65"/>
      <c r="G8" s="65"/>
      <c r="H8" s="65"/>
      <c r="I8" s="65"/>
      <c r="J8" s="4"/>
      <c r="K8" s="3"/>
      <c r="L8" s="3"/>
      <c r="M8" s="3"/>
      <c r="N8" s="3"/>
    </row>
    <row r="9" spans="2:14" x14ac:dyDescent="0.25">
      <c r="B9" s="58" t="s">
        <v>51</v>
      </c>
      <c r="C9" s="58"/>
      <c r="D9" s="58"/>
      <c r="E9" s="60">
        <v>-141048</v>
      </c>
      <c r="F9" s="61">
        <v>-163756</v>
      </c>
      <c r="G9" s="61">
        <v>-161782</v>
      </c>
      <c r="H9" s="61">
        <v>-169559</v>
      </c>
      <c r="I9" s="61">
        <v>-212981</v>
      </c>
      <c r="J9" s="59"/>
      <c r="K9" s="58"/>
      <c r="L9" s="58"/>
      <c r="M9" s="58"/>
      <c r="N9" s="58"/>
    </row>
    <row r="10" spans="2:14" x14ac:dyDescent="0.25">
      <c r="B10" s="50" t="s">
        <v>52</v>
      </c>
      <c r="C10" s="3"/>
      <c r="D10" s="3"/>
      <c r="E10" s="64">
        <v>88186</v>
      </c>
      <c r="F10" s="65">
        <v>101839</v>
      </c>
      <c r="G10" s="65">
        <v>98392</v>
      </c>
      <c r="H10" s="65">
        <v>104956</v>
      </c>
      <c r="I10" s="65">
        <v>152836</v>
      </c>
      <c r="J10" s="4"/>
      <c r="K10" s="3"/>
      <c r="L10" s="3"/>
      <c r="M10" s="3"/>
      <c r="N10" s="3"/>
    </row>
    <row r="11" spans="2:14" x14ac:dyDescent="0.25">
      <c r="B11" s="53" t="s">
        <v>53</v>
      </c>
      <c r="C11" s="1"/>
      <c r="D11" s="1"/>
      <c r="E11" s="62">
        <v>0.38500000000000001</v>
      </c>
      <c r="F11" s="63">
        <v>0.38300000000000001</v>
      </c>
      <c r="G11" s="63">
        <v>0.378</v>
      </c>
      <c r="H11" s="63">
        <v>0.38200000000000001</v>
      </c>
      <c r="I11" s="63">
        <v>0.41799999999999998</v>
      </c>
      <c r="J11" s="57"/>
      <c r="K11" s="1"/>
      <c r="L11" s="1"/>
      <c r="M11" s="1"/>
      <c r="N11" s="1"/>
    </row>
    <row r="12" spans="2:14" x14ac:dyDescent="0.25">
      <c r="B12" s="50"/>
      <c r="C12" s="3"/>
      <c r="D12" s="3"/>
      <c r="E12" s="64"/>
      <c r="F12" s="65"/>
      <c r="G12" s="65"/>
      <c r="H12" s="65"/>
      <c r="I12" s="65"/>
      <c r="J12" s="4"/>
      <c r="K12" s="3"/>
      <c r="L12" s="3"/>
      <c r="M12" s="3"/>
      <c r="N12" s="3"/>
    </row>
    <row r="13" spans="2:14" x14ac:dyDescent="0.25">
      <c r="B13" s="54" t="s">
        <v>54</v>
      </c>
      <c r="C13" s="55"/>
      <c r="D13" s="55"/>
      <c r="E13" s="60">
        <v>-11581</v>
      </c>
      <c r="F13" s="61">
        <v>-14236</v>
      </c>
      <c r="G13" s="61">
        <v>-16217</v>
      </c>
      <c r="H13" s="61">
        <v>-18752</v>
      </c>
      <c r="I13" s="61">
        <v>-21914</v>
      </c>
      <c r="J13" s="56"/>
      <c r="K13" s="55"/>
      <c r="L13" s="55"/>
      <c r="M13" s="55"/>
      <c r="N13" s="55"/>
    </row>
    <row r="14" spans="2:14" x14ac:dyDescent="0.25">
      <c r="B14" s="50" t="s">
        <v>55</v>
      </c>
      <c r="C14" s="3"/>
      <c r="D14" s="3"/>
      <c r="E14" s="64">
        <v>-15261</v>
      </c>
      <c r="F14" s="65">
        <v>-16705</v>
      </c>
      <c r="G14" s="65">
        <v>-18245</v>
      </c>
      <c r="H14" s="65">
        <v>-19916</v>
      </c>
      <c r="I14" s="65">
        <v>-21973</v>
      </c>
      <c r="J14" s="4"/>
      <c r="K14" s="3"/>
      <c r="L14" s="3"/>
      <c r="M14" s="3"/>
      <c r="N14" s="3"/>
    </row>
    <row r="15" spans="2:14" x14ac:dyDescent="0.25">
      <c r="B15" s="50" t="s">
        <v>56</v>
      </c>
      <c r="C15" s="3"/>
      <c r="D15" s="3"/>
      <c r="E15" s="64">
        <v>-133</v>
      </c>
      <c r="F15" s="65">
        <v>-441</v>
      </c>
      <c r="G15" s="65">
        <v>442</v>
      </c>
      <c r="H15" s="65">
        <v>-87</v>
      </c>
      <c r="I15" s="65">
        <v>60</v>
      </c>
      <c r="J15" s="4"/>
      <c r="K15" s="3"/>
      <c r="L15" s="3"/>
      <c r="M15" s="3"/>
      <c r="N15" s="3"/>
    </row>
    <row r="16" spans="2:14" x14ac:dyDescent="0.25">
      <c r="B16" s="50" t="s">
        <v>57</v>
      </c>
      <c r="C16" s="3"/>
      <c r="D16" s="3"/>
      <c r="E16" s="64">
        <v>-26975</v>
      </c>
      <c r="F16" s="65">
        <v>-31382</v>
      </c>
      <c r="G16" s="65">
        <v>-34040</v>
      </c>
      <c r="H16" s="65">
        <v>-38755</v>
      </c>
      <c r="I16" s="65">
        <v>-43827</v>
      </c>
      <c r="J16" s="4"/>
      <c r="K16" s="3"/>
      <c r="L16" s="3"/>
      <c r="M16" s="3"/>
      <c r="N16" s="3"/>
    </row>
    <row r="17" spans="2:14" x14ac:dyDescent="0.25">
      <c r="B17" s="53" t="s">
        <v>58</v>
      </c>
      <c r="C17" s="1"/>
      <c r="D17" s="1"/>
      <c r="E17" s="66">
        <v>61211</v>
      </c>
      <c r="F17" s="67">
        <v>70457</v>
      </c>
      <c r="G17" s="67">
        <v>64352</v>
      </c>
      <c r="H17" s="67">
        <v>66201</v>
      </c>
      <c r="I17" s="67">
        <v>109009</v>
      </c>
      <c r="J17" s="57"/>
      <c r="K17" s="1"/>
      <c r="L17" s="1"/>
      <c r="M17" s="1"/>
      <c r="N17" s="1"/>
    </row>
    <row r="18" spans="2:14" x14ac:dyDescent="0.25">
      <c r="B18" s="50"/>
      <c r="C18" s="3"/>
      <c r="D18" s="3"/>
      <c r="E18" s="64"/>
      <c r="F18" s="65"/>
      <c r="G18" s="65"/>
      <c r="H18" s="65"/>
      <c r="I18" s="65"/>
      <c r="J18" s="4"/>
      <c r="K18" s="3"/>
      <c r="L18" s="3"/>
      <c r="M18" s="3"/>
      <c r="N18" s="3"/>
    </row>
    <row r="19" spans="2:14" x14ac:dyDescent="0.25">
      <c r="B19" s="54" t="s">
        <v>59</v>
      </c>
      <c r="C19" s="55"/>
      <c r="D19" s="55"/>
      <c r="E19" s="60">
        <v>2878</v>
      </c>
      <c r="F19" s="61">
        <v>2446</v>
      </c>
      <c r="G19" s="61">
        <v>1385</v>
      </c>
      <c r="H19" s="61">
        <v>890</v>
      </c>
      <c r="I19" s="61">
        <v>198</v>
      </c>
      <c r="J19" s="56"/>
      <c r="K19" s="55"/>
      <c r="L19" s="55"/>
      <c r="M19" s="55"/>
      <c r="N19" s="55"/>
    </row>
    <row r="20" spans="2:14" x14ac:dyDescent="0.25">
      <c r="B20" s="50" t="s">
        <v>67</v>
      </c>
      <c r="C20" s="3"/>
      <c r="D20" s="3"/>
      <c r="E20" s="64">
        <v>64089</v>
      </c>
      <c r="F20" s="65">
        <v>72903</v>
      </c>
      <c r="G20" s="65">
        <v>65737</v>
      </c>
      <c r="H20" s="65">
        <v>67091</v>
      </c>
      <c r="I20" s="65">
        <v>109207</v>
      </c>
      <c r="J20" s="4"/>
      <c r="K20" s="3"/>
      <c r="L20" s="3"/>
      <c r="M20" s="3"/>
      <c r="N20" s="3"/>
    </row>
    <row r="21" spans="2:14" x14ac:dyDescent="0.25">
      <c r="B21" s="50" t="s">
        <v>60</v>
      </c>
      <c r="C21" s="3"/>
      <c r="D21" s="3"/>
      <c r="E21" s="64">
        <v>-15738</v>
      </c>
      <c r="F21" s="65">
        <v>-13372</v>
      </c>
      <c r="G21" s="65">
        <v>-10481</v>
      </c>
      <c r="H21" s="65">
        <v>-9680</v>
      </c>
      <c r="I21" s="65">
        <v>-14527</v>
      </c>
      <c r="J21" s="4"/>
      <c r="K21" s="3"/>
      <c r="L21" s="3"/>
      <c r="M21" s="3"/>
      <c r="N21" s="3"/>
    </row>
    <row r="22" spans="2:14" x14ac:dyDescent="0.25">
      <c r="B22" s="53" t="s">
        <v>61</v>
      </c>
      <c r="C22" s="1"/>
      <c r="D22" s="1"/>
      <c r="E22" s="66">
        <v>48351</v>
      </c>
      <c r="F22" s="67">
        <v>59531</v>
      </c>
      <c r="G22" s="67">
        <v>55256</v>
      </c>
      <c r="H22" s="67">
        <v>57411</v>
      </c>
      <c r="I22" s="67">
        <v>94680</v>
      </c>
      <c r="J22" s="57"/>
      <c r="K22" s="1"/>
      <c r="L22" s="1"/>
      <c r="M22" s="1"/>
      <c r="N22" s="1"/>
    </row>
    <row r="23" spans="2:14" x14ac:dyDescent="0.25">
      <c r="B23" s="50"/>
      <c r="C23" s="3"/>
      <c r="D23" s="3"/>
      <c r="E23" s="64"/>
      <c r="F23" s="65"/>
      <c r="G23" s="65"/>
      <c r="H23" s="65"/>
      <c r="I23" s="65"/>
      <c r="J23" s="4"/>
      <c r="K23" s="3"/>
      <c r="L23" s="3"/>
      <c r="M23" s="3"/>
      <c r="N23" s="3"/>
    </row>
    <row r="24" spans="2:14" x14ac:dyDescent="0.25">
      <c r="B24" s="51" t="s">
        <v>62</v>
      </c>
      <c r="C24" s="7"/>
      <c r="D24" s="7"/>
      <c r="E24" s="68">
        <v>48351</v>
      </c>
      <c r="F24" s="69">
        <v>59531</v>
      </c>
      <c r="G24" s="69">
        <v>55256</v>
      </c>
      <c r="H24" s="69">
        <v>57411</v>
      </c>
      <c r="I24" s="69">
        <v>94680</v>
      </c>
      <c r="J24" s="6"/>
      <c r="K24" s="7"/>
      <c r="L24" s="7"/>
      <c r="M24" s="7"/>
      <c r="N24" s="7"/>
    </row>
    <row r="25" spans="2:14" x14ac:dyDescent="0.25">
      <c r="B25" s="50"/>
      <c r="C25" s="3"/>
      <c r="D25" s="3"/>
      <c r="E25" s="64"/>
      <c r="F25" s="65"/>
      <c r="G25" s="65"/>
      <c r="H25" s="65"/>
      <c r="I25" s="65"/>
      <c r="J25" s="4"/>
      <c r="K25" s="3"/>
      <c r="L25" s="3"/>
      <c r="M25" s="3"/>
      <c r="N25" s="3"/>
    </row>
    <row r="26" spans="2:14" x14ac:dyDescent="0.25">
      <c r="B26" s="54" t="s">
        <v>63</v>
      </c>
      <c r="C26" s="55"/>
      <c r="D26" s="55"/>
      <c r="E26" s="70">
        <v>2.3199999999999998</v>
      </c>
      <c r="F26" s="71">
        <v>3</v>
      </c>
      <c r="G26" s="71">
        <v>2.99</v>
      </c>
      <c r="H26" s="71">
        <v>3.31</v>
      </c>
      <c r="I26" s="71">
        <v>5.67</v>
      </c>
      <c r="J26" s="56"/>
      <c r="K26" s="55"/>
      <c r="L26" s="55"/>
      <c r="M26" s="55"/>
      <c r="N26" s="55"/>
    </row>
    <row r="27" spans="2:14" x14ac:dyDescent="0.25">
      <c r="B27" s="53" t="s">
        <v>64</v>
      </c>
      <c r="C27" s="1"/>
      <c r="D27" s="1"/>
      <c r="E27" s="72">
        <v>2.2999999999999998</v>
      </c>
      <c r="F27" s="73">
        <v>2.98</v>
      </c>
      <c r="G27" s="73">
        <v>2.97</v>
      </c>
      <c r="H27" s="73">
        <v>3.28</v>
      </c>
      <c r="I27" s="73">
        <v>5.61</v>
      </c>
      <c r="J27" s="57"/>
      <c r="K27" s="1"/>
      <c r="L27" s="1"/>
      <c r="M27" s="1"/>
      <c r="N27" s="1"/>
    </row>
    <row r="28" spans="2:14" x14ac:dyDescent="0.25">
      <c r="B28" s="51"/>
      <c r="C28" s="7"/>
      <c r="D28" s="7"/>
      <c r="E28" s="68"/>
      <c r="F28" s="69"/>
      <c r="G28" s="69"/>
      <c r="H28" s="69"/>
      <c r="I28" s="69"/>
      <c r="J28" s="6"/>
      <c r="K28" s="7"/>
      <c r="L28" s="7"/>
      <c r="M28" s="7"/>
      <c r="N28" s="7"/>
    </row>
    <row r="29" spans="2:14" x14ac:dyDescent="0.25">
      <c r="B29" s="50" t="s">
        <v>15</v>
      </c>
      <c r="C29" s="3"/>
      <c r="D29" s="3"/>
      <c r="E29" s="64">
        <v>61344</v>
      </c>
      <c r="F29" s="65">
        <v>70898</v>
      </c>
      <c r="G29" s="65">
        <v>63930</v>
      </c>
      <c r="H29" s="65">
        <v>66288</v>
      </c>
      <c r="I29" s="65">
        <v>108949</v>
      </c>
      <c r="J29" s="4"/>
      <c r="K29" s="3"/>
      <c r="L29" s="3"/>
      <c r="M29" s="3"/>
      <c r="N29" s="3"/>
    </row>
    <row r="30" spans="2:14" x14ac:dyDescent="0.25">
      <c r="B30" s="53" t="s">
        <v>35</v>
      </c>
      <c r="C30" s="1"/>
      <c r="D30" s="1"/>
      <c r="E30" s="66">
        <v>71501</v>
      </c>
      <c r="F30" s="67">
        <v>81801</v>
      </c>
      <c r="G30" s="67">
        <v>76477</v>
      </c>
      <c r="H30" s="67">
        <v>77344</v>
      </c>
      <c r="I30" s="67">
        <v>120233</v>
      </c>
      <c r="J30" s="57"/>
      <c r="K30" s="1"/>
      <c r="L30" s="1"/>
      <c r="M30" s="1"/>
      <c r="N30" s="1"/>
    </row>
  </sheetData>
  <mergeCells count="3">
    <mergeCell ref="E3:I3"/>
    <mergeCell ref="J3:N3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78"/>
  <sheetViews>
    <sheetView showGridLines="0" topLeftCell="A3" workbookViewId="0">
      <selection activeCell="E18" sqref="E1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9"/>
      <c r="E1" s="4"/>
      <c r="J1" s="4"/>
    </row>
    <row r="2" spans="1:14" x14ac:dyDescent="0.25">
      <c r="B2" s="10" t="s">
        <v>0</v>
      </c>
      <c r="C2" s="11"/>
      <c r="D2" s="11"/>
      <c r="E2" s="4"/>
      <c r="J2" s="4"/>
    </row>
    <row r="3" spans="1:14" x14ac:dyDescent="0.25">
      <c r="B3" s="10" t="s">
        <v>2</v>
      </c>
      <c r="C3" s="11"/>
      <c r="D3" s="11"/>
      <c r="E3" s="74" t="s">
        <v>3</v>
      </c>
      <c r="F3" s="75"/>
      <c r="G3" s="75"/>
      <c r="H3" s="75"/>
      <c r="I3" s="76"/>
      <c r="J3" s="74" t="s">
        <v>7</v>
      </c>
      <c r="K3" s="75"/>
      <c r="L3" s="75"/>
      <c r="M3" s="75"/>
      <c r="N3" s="75"/>
    </row>
    <row r="4" spans="1:14" x14ac:dyDescent="0.25">
      <c r="E4" s="74"/>
      <c r="F4" s="75"/>
      <c r="G4" s="75"/>
      <c r="H4" s="75"/>
      <c r="I4" s="76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2" t="s">
        <v>66</v>
      </c>
      <c r="C5" s="12"/>
      <c r="D5" s="12"/>
      <c r="E5" s="13">
        <v>2017</v>
      </c>
      <c r="F5" s="14">
        <v>2018</v>
      </c>
      <c r="G5" s="14">
        <v>2019</v>
      </c>
      <c r="H5" s="14">
        <v>2020</v>
      </c>
      <c r="I5" s="14">
        <v>2021</v>
      </c>
      <c r="J5" s="13">
        <v>2022</v>
      </c>
      <c r="K5" s="14">
        <v>2023</v>
      </c>
      <c r="L5" s="14">
        <v>2024</v>
      </c>
      <c r="M5" s="14">
        <v>2025</v>
      </c>
      <c r="N5" s="14">
        <v>2026</v>
      </c>
    </row>
    <row r="6" spans="1:14" x14ac:dyDescent="0.25">
      <c r="B6" s="49" t="s">
        <v>1</v>
      </c>
      <c r="C6" s="5"/>
      <c r="D6" s="5"/>
      <c r="E6" s="2">
        <v>61344</v>
      </c>
      <c r="F6" s="38">
        <v>70898</v>
      </c>
      <c r="G6" s="38">
        <v>63930</v>
      </c>
      <c r="H6" s="38">
        <v>66288</v>
      </c>
      <c r="I6" s="38">
        <v>108900</v>
      </c>
      <c r="J6" s="39"/>
      <c r="K6" s="38"/>
      <c r="L6" s="38"/>
      <c r="M6" s="38"/>
      <c r="N6" s="38"/>
    </row>
    <row r="7" spans="1:14" x14ac:dyDescent="0.25">
      <c r="B7" s="50" t="s">
        <v>12</v>
      </c>
      <c r="E7" s="2"/>
      <c r="F7" s="40"/>
      <c r="G7" s="40"/>
      <c r="H7" s="40"/>
      <c r="I7" s="40"/>
      <c r="J7" s="39">
        <v>122700</v>
      </c>
      <c r="K7" s="38">
        <v>133500</v>
      </c>
      <c r="L7" s="38">
        <v>135700</v>
      </c>
      <c r="M7" s="38">
        <v>142200</v>
      </c>
      <c r="N7" s="38">
        <v>153300</v>
      </c>
    </row>
    <row r="8" spans="1:14" x14ac:dyDescent="0.25">
      <c r="B8" s="50" t="s">
        <v>4</v>
      </c>
      <c r="E8" s="2"/>
      <c r="F8" s="40"/>
      <c r="G8" s="40"/>
      <c r="H8" s="40"/>
      <c r="I8" s="40"/>
      <c r="J8" s="39">
        <v>119500</v>
      </c>
      <c r="K8" s="40">
        <v>122500</v>
      </c>
      <c r="L8" s="40">
        <v>125700</v>
      </c>
      <c r="M8" s="40"/>
      <c r="N8" s="40">
        <v>141000</v>
      </c>
    </row>
    <row r="9" spans="1:14" x14ac:dyDescent="0.25">
      <c r="B9" s="50" t="s">
        <v>5</v>
      </c>
      <c r="E9" s="2"/>
      <c r="F9" s="40"/>
      <c r="G9" s="40"/>
      <c r="H9" s="40"/>
      <c r="I9" s="40"/>
      <c r="J9" s="39">
        <v>116500</v>
      </c>
      <c r="K9" s="40">
        <v>109300</v>
      </c>
      <c r="L9" s="40">
        <v>112900</v>
      </c>
      <c r="M9" s="40">
        <v>122700</v>
      </c>
      <c r="N9" s="40">
        <v>128900</v>
      </c>
    </row>
    <row r="10" spans="1:14" x14ac:dyDescent="0.25">
      <c r="B10" s="51" t="s">
        <v>6</v>
      </c>
      <c r="C10" s="7"/>
      <c r="D10" s="7"/>
      <c r="E10" s="6">
        <f>24.6%*E6</f>
        <v>15090.624000000002</v>
      </c>
      <c r="F10" s="7">
        <f>18.3%*F6</f>
        <v>12974.333999999999</v>
      </c>
      <c r="G10" s="7">
        <f>15.9%*G6</f>
        <v>10164.870000000001</v>
      </c>
      <c r="H10" s="7">
        <f>14.4%*H6</f>
        <v>9545.4720000000016</v>
      </c>
      <c r="I10" s="8">
        <f>13.3%*I6</f>
        <v>14483.7</v>
      </c>
      <c r="J10" s="7">
        <f>18%*J8</f>
        <v>21510</v>
      </c>
      <c r="K10" s="7">
        <f t="shared" ref="K10:N10" si="0">18%*K8</f>
        <v>22050</v>
      </c>
      <c r="L10" s="7">
        <f t="shared" si="0"/>
        <v>22626</v>
      </c>
      <c r="M10" s="7">
        <f t="shared" si="0"/>
        <v>0</v>
      </c>
      <c r="N10" s="7">
        <f t="shared" si="0"/>
        <v>25380</v>
      </c>
    </row>
    <row r="11" spans="1:14" x14ac:dyDescent="0.25">
      <c r="B11" s="51" t="s">
        <v>9</v>
      </c>
      <c r="C11" s="7"/>
      <c r="D11" s="7"/>
      <c r="E11" s="41">
        <v>10157</v>
      </c>
      <c r="F11" s="42">
        <v>10903</v>
      </c>
      <c r="G11" s="42">
        <v>12547</v>
      </c>
      <c r="H11" s="42">
        <v>11056</v>
      </c>
      <c r="I11" s="42">
        <v>11284</v>
      </c>
      <c r="J11" s="41">
        <v>11796</v>
      </c>
      <c r="K11" s="42">
        <v>11789</v>
      </c>
      <c r="L11" s="42">
        <v>12101</v>
      </c>
      <c r="M11" s="42">
        <v>17427</v>
      </c>
      <c r="N11" s="42">
        <v>13159</v>
      </c>
    </row>
    <row r="12" spans="1:14" x14ac:dyDescent="0.25">
      <c r="B12" s="52" t="s">
        <v>11</v>
      </c>
      <c r="E12" s="43">
        <v>12451</v>
      </c>
      <c r="F12" s="40">
        <v>13313</v>
      </c>
      <c r="G12" s="40">
        <v>10495</v>
      </c>
      <c r="H12" s="40">
        <v>7309</v>
      </c>
      <c r="I12" s="44">
        <v>11085</v>
      </c>
      <c r="J12" s="43"/>
      <c r="K12" s="40"/>
      <c r="L12" s="40"/>
      <c r="M12" s="40"/>
      <c r="N12" s="40"/>
    </row>
    <row r="13" spans="1:14" x14ac:dyDescent="0.25">
      <c r="B13" s="50" t="s">
        <v>12</v>
      </c>
      <c r="E13" s="2"/>
      <c r="F13" s="40"/>
      <c r="G13" s="40"/>
      <c r="H13" s="40"/>
      <c r="I13" s="40"/>
      <c r="J13" s="2">
        <v>12173</v>
      </c>
      <c r="K13" s="40">
        <v>20282</v>
      </c>
      <c r="L13" s="40">
        <v>19363</v>
      </c>
      <c r="M13" s="40">
        <v>20428</v>
      </c>
      <c r="N13" s="40">
        <v>21882</v>
      </c>
    </row>
    <row r="14" spans="1:14" x14ac:dyDescent="0.25">
      <c r="B14" s="50" t="s">
        <v>4</v>
      </c>
      <c r="E14" s="2"/>
      <c r="F14" s="40"/>
      <c r="G14" s="40"/>
      <c r="H14" s="40"/>
      <c r="I14" s="40"/>
      <c r="J14" s="2">
        <v>10731</v>
      </c>
      <c r="K14" s="40">
        <v>12415</v>
      </c>
      <c r="L14" s="40">
        <v>13295</v>
      </c>
      <c r="M14" s="40">
        <v>15436</v>
      </c>
      <c r="N14" s="40">
        <v>15385</v>
      </c>
    </row>
    <row r="15" spans="1:14" x14ac:dyDescent="0.25">
      <c r="B15" s="53" t="s">
        <v>5</v>
      </c>
      <c r="C15" s="1"/>
      <c r="D15" s="1"/>
      <c r="E15" s="45"/>
      <c r="F15" s="46"/>
      <c r="G15" s="46"/>
      <c r="H15" s="46"/>
      <c r="I15" s="46"/>
      <c r="J15" s="45">
        <v>9540</v>
      </c>
      <c r="K15" s="46">
        <v>10000</v>
      </c>
      <c r="L15" s="46">
        <v>10686</v>
      </c>
      <c r="M15" s="46">
        <v>11010</v>
      </c>
      <c r="N15" s="46">
        <v>11120</v>
      </c>
    </row>
    <row r="16" spans="1:14" x14ac:dyDescent="0.25">
      <c r="B16" s="51" t="s">
        <v>13</v>
      </c>
      <c r="C16" s="7"/>
      <c r="D16" s="7"/>
      <c r="E16" s="43">
        <v>27877</v>
      </c>
      <c r="F16" s="42">
        <v>30143</v>
      </c>
      <c r="G16" s="42">
        <v>27216</v>
      </c>
      <c r="H16" s="42">
        <v>37393</v>
      </c>
      <c r="I16" s="42">
        <v>36143</v>
      </c>
      <c r="J16" s="43">
        <v>33324</v>
      </c>
      <c r="K16" s="42">
        <v>31591</v>
      </c>
      <c r="L16" s="42">
        <v>30233</v>
      </c>
      <c r="M16" s="42">
        <v>29205</v>
      </c>
      <c r="N16" s="42">
        <v>26080</v>
      </c>
    </row>
    <row r="17" spans="2:14" x14ac:dyDescent="0.25">
      <c r="B17" s="50"/>
      <c r="E17" s="55"/>
      <c r="J17" s="55"/>
    </row>
    <row r="18" spans="2:14" x14ac:dyDescent="0.25"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2:14" x14ac:dyDescent="0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x14ac:dyDescent="0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x14ac:dyDescent="0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x14ac:dyDescent="0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x14ac:dyDescent="0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x14ac:dyDescent="0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x14ac:dyDescent="0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x14ac:dyDescent="0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x14ac:dyDescent="0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x14ac:dyDescent="0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x14ac:dyDescent="0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x14ac:dyDescent="0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x14ac:dyDescent="0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x14ac:dyDescent="0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x14ac:dyDescent="0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x14ac:dyDescent="0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x14ac:dyDescent="0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x14ac:dyDescent="0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x14ac:dyDescent="0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x14ac:dyDescent="0.25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2:14" x14ac:dyDescent="0.2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2:14" x14ac:dyDescent="0.25">
      <c r="B43" s="50"/>
    </row>
    <row r="44" spans="2:14" x14ac:dyDescent="0.25">
      <c r="B44" s="50"/>
    </row>
    <row r="45" spans="2:14" x14ac:dyDescent="0.25">
      <c r="B45" s="50"/>
    </row>
    <row r="46" spans="2:14" x14ac:dyDescent="0.25">
      <c r="B46" s="50"/>
    </row>
    <row r="47" spans="2:14" x14ac:dyDescent="0.25">
      <c r="B47" s="50"/>
    </row>
    <row r="48" spans="2:14" x14ac:dyDescent="0.25">
      <c r="B48" s="50"/>
    </row>
    <row r="49" spans="2:2" x14ac:dyDescent="0.25">
      <c r="B49" s="50"/>
    </row>
    <row r="50" spans="2:2" x14ac:dyDescent="0.25">
      <c r="B50" s="50"/>
    </row>
    <row r="51" spans="2:2" x14ac:dyDescent="0.25">
      <c r="B51" s="50"/>
    </row>
    <row r="52" spans="2:2" x14ac:dyDescent="0.25">
      <c r="B52" s="50"/>
    </row>
    <row r="53" spans="2:2" x14ac:dyDescent="0.25">
      <c r="B53" s="50"/>
    </row>
    <row r="54" spans="2:2" x14ac:dyDescent="0.25">
      <c r="B54" s="50"/>
    </row>
    <row r="55" spans="2:2" x14ac:dyDescent="0.25">
      <c r="B55" s="50"/>
    </row>
    <row r="56" spans="2:2" x14ac:dyDescent="0.25">
      <c r="B56" s="50"/>
    </row>
    <row r="57" spans="2:2" x14ac:dyDescent="0.25">
      <c r="B57" s="50"/>
    </row>
    <row r="58" spans="2:2" x14ac:dyDescent="0.25">
      <c r="B58" s="50"/>
    </row>
    <row r="59" spans="2:2" x14ac:dyDescent="0.25">
      <c r="B59" s="50"/>
    </row>
    <row r="60" spans="2:2" x14ac:dyDescent="0.25">
      <c r="B60" s="50"/>
    </row>
    <row r="61" spans="2:2" x14ac:dyDescent="0.25">
      <c r="B61" s="50"/>
    </row>
    <row r="62" spans="2:2" x14ac:dyDescent="0.25">
      <c r="B62" s="50"/>
    </row>
    <row r="63" spans="2:2" x14ac:dyDescent="0.25">
      <c r="B63" s="50"/>
    </row>
    <row r="64" spans="2:2" x14ac:dyDescent="0.25">
      <c r="B64" s="50"/>
    </row>
    <row r="65" spans="2:2" x14ac:dyDescent="0.25">
      <c r="B65" s="50"/>
    </row>
    <row r="66" spans="2:2" x14ac:dyDescent="0.25">
      <c r="B66" s="50"/>
    </row>
    <row r="67" spans="2:2" x14ac:dyDescent="0.25">
      <c r="B67" s="50"/>
    </row>
    <row r="68" spans="2:2" x14ac:dyDescent="0.25">
      <c r="B68" s="50"/>
    </row>
    <row r="69" spans="2:2" x14ac:dyDescent="0.25">
      <c r="B69" s="50"/>
    </row>
    <row r="70" spans="2:2" x14ac:dyDescent="0.25">
      <c r="B70" s="50"/>
    </row>
    <row r="71" spans="2:2" x14ac:dyDescent="0.25">
      <c r="B71" s="50"/>
    </row>
    <row r="72" spans="2:2" x14ac:dyDescent="0.25">
      <c r="B72" s="50"/>
    </row>
    <row r="73" spans="2:2" x14ac:dyDescent="0.25">
      <c r="B73" s="50"/>
    </row>
    <row r="74" spans="2:2" x14ac:dyDescent="0.25">
      <c r="B74" s="50"/>
    </row>
    <row r="75" spans="2:2" x14ac:dyDescent="0.25">
      <c r="B75" s="50"/>
    </row>
    <row r="76" spans="2:2" x14ac:dyDescent="0.25">
      <c r="B76" s="50"/>
    </row>
    <row r="77" spans="2:2" x14ac:dyDescent="0.25">
      <c r="B77" s="50"/>
    </row>
    <row r="78" spans="2:2" x14ac:dyDescent="0.25">
      <c r="B78" s="50"/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6"/>
  <sheetViews>
    <sheetView showGridLines="0" topLeftCell="A19" workbookViewId="0">
      <selection activeCell="R21" sqref="R21"/>
    </sheetView>
  </sheetViews>
  <sheetFormatPr defaultRowHeight="15.75" x14ac:dyDescent="0.25"/>
  <cols>
    <col min="1" max="5" width="9.140625" style="9"/>
    <col min="6" max="7" width="11.5703125" style="9" bestFit="1" customWidth="1"/>
    <col min="8" max="10" width="9.85546875" style="9" bestFit="1" customWidth="1"/>
    <col min="11" max="11" width="11.5703125" style="9" bestFit="1" customWidth="1"/>
    <col min="12" max="15" width="9.85546875" style="9" bestFit="1" customWidth="1"/>
    <col min="16" max="16384" width="9.140625" style="9"/>
  </cols>
  <sheetData>
    <row r="2" spans="2:15" x14ac:dyDescent="0.25">
      <c r="B2" s="15" t="s">
        <v>0</v>
      </c>
      <c r="C2" s="16"/>
      <c r="D2" s="16"/>
    </row>
    <row r="3" spans="2:15" x14ac:dyDescent="0.25">
      <c r="B3" s="15" t="s">
        <v>2</v>
      </c>
      <c r="C3" s="16"/>
      <c r="D3" s="16"/>
    </row>
    <row r="5" spans="2:15" x14ac:dyDescent="0.25">
      <c r="B5" s="77" t="s">
        <v>14</v>
      </c>
      <c r="C5" s="77"/>
      <c r="D5" s="77"/>
      <c r="E5" s="77"/>
      <c r="F5" s="77"/>
      <c r="G5" s="77"/>
      <c r="I5" s="20" t="s">
        <v>18</v>
      </c>
      <c r="J5" s="19">
        <v>0</v>
      </c>
      <c r="K5" s="19">
        <v>1</v>
      </c>
      <c r="L5" s="19">
        <v>2</v>
      </c>
      <c r="M5" s="19">
        <v>3</v>
      </c>
      <c r="N5" s="19">
        <v>4</v>
      </c>
      <c r="O5" s="19">
        <v>5</v>
      </c>
    </row>
    <row r="6" spans="2:15" x14ac:dyDescent="0.25">
      <c r="B6" s="26"/>
      <c r="C6" s="26"/>
      <c r="D6" s="26"/>
      <c r="E6" s="26"/>
      <c r="F6" s="26"/>
      <c r="G6" s="26"/>
      <c r="I6" s="21" t="s">
        <v>15</v>
      </c>
      <c r="J6" s="36">
        <f>'Street Estimates'!I6</f>
        <v>108900</v>
      </c>
      <c r="K6" s="36">
        <f>'Street Estimates'!J8</f>
        <v>119500</v>
      </c>
      <c r="L6" s="36">
        <f>'Street Estimates'!K8</f>
        <v>122500</v>
      </c>
      <c r="M6" s="36">
        <f>'Street Estimates'!L8</f>
        <v>125700</v>
      </c>
      <c r="N6" s="36">
        <f>'Street Estimates'!M8</f>
        <v>0</v>
      </c>
      <c r="O6" s="36">
        <f>'Street Estimates'!N8</f>
        <v>141000</v>
      </c>
    </row>
    <row r="7" spans="2:15" x14ac:dyDescent="0.25">
      <c r="B7" s="27" t="s">
        <v>20</v>
      </c>
      <c r="C7" s="27"/>
      <c r="D7" s="27"/>
      <c r="E7" s="27"/>
      <c r="F7" s="27"/>
      <c r="G7" s="27"/>
      <c r="I7" s="21" t="s">
        <v>16</v>
      </c>
      <c r="J7" s="9">
        <f>-'Street Estimates'!I10</f>
        <v>-14483.7</v>
      </c>
      <c r="K7" s="9">
        <f>-'Street Estimates'!J10</f>
        <v>-21510</v>
      </c>
      <c r="L7" s="9">
        <f>-'Street Estimates'!K10</f>
        <v>-22050</v>
      </c>
      <c r="M7" s="9">
        <f>-'Street Estimates'!L10</f>
        <v>-22626</v>
      </c>
      <c r="N7" s="9">
        <f>-'Street Estimates'!M10</f>
        <v>0</v>
      </c>
      <c r="O7" s="9">
        <f>-'Street Estimates'!N10</f>
        <v>-25380</v>
      </c>
    </row>
    <row r="8" spans="2:15" x14ac:dyDescent="0.25">
      <c r="B8" s="26" t="s">
        <v>22</v>
      </c>
      <c r="C8" s="26"/>
      <c r="D8" s="26"/>
      <c r="E8" s="26"/>
      <c r="F8" s="26"/>
      <c r="G8" s="25">
        <v>1.11E-2</v>
      </c>
      <c r="I8" s="21" t="s">
        <v>8</v>
      </c>
      <c r="J8" s="36">
        <f>'Street Estimates'!I11</f>
        <v>11284</v>
      </c>
      <c r="K8" s="36">
        <f>'Street Estimates'!J11</f>
        <v>11796</v>
      </c>
      <c r="L8" s="36">
        <f>'Street Estimates'!K11</f>
        <v>11789</v>
      </c>
      <c r="M8" s="36">
        <f>'Street Estimates'!L11</f>
        <v>12101</v>
      </c>
      <c r="N8" s="36">
        <f>'Street Estimates'!M11</f>
        <v>17427</v>
      </c>
      <c r="O8" s="36">
        <f>'Street Estimates'!N11</f>
        <v>13159</v>
      </c>
    </row>
    <row r="9" spans="2:15" x14ac:dyDescent="0.25">
      <c r="B9" s="26" t="s">
        <v>21</v>
      </c>
      <c r="C9" s="26"/>
      <c r="D9" s="26"/>
      <c r="E9" s="26"/>
      <c r="F9" s="26"/>
      <c r="G9" s="26">
        <v>20.6</v>
      </c>
      <c r="I9" s="21" t="s">
        <v>10</v>
      </c>
      <c r="J9" s="36">
        <f>-('Street Estimates'!I12)</f>
        <v>-11085</v>
      </c>
      <c r="K9" s="36">
        <f>-'Street Estimates'!J14</f>
        <v>-10731</v>
      </c>
      <c r="L9" s="36">
        <f>-'Street Estimates'!K14</f>
        <v>-12415</v>
      </c>
      <c r="M9" s="36">
        <f>-'Street Estimates'!L14</f>
        <v>-13295</v>
      </c>
      <c r="N9" s="36">
        <f>-'Street Estimates'!M14</f>
        <v>-15436</v>
      </c>
      <c r="O9" s="36">
        <f>-'Street Estimates'!N14</f>
        <v>-15385</v>
      </c>
    </row>
    <row r="10" spans="2:15" x14ac:dyDescent="0.25">
      <c r="B10" s="26" t="s">
        <v>23</v>
      </c>
      <c r="C10" s="26"/>
      <c r="D10" s="26"/>
      <c r="E10" s="26"/>
      <c r="F10" s="26"/>
      <c r="G10" s="25">
        <v>4.8000000000000001E-2</v>
      </c>
      <c r="I10" s="22" t="s">
        <v>17</v>
      </c>
      <c r="J10" s="37">
        <f>'Street Estimates'!I16</f>
        <v>36143</v>
      </c>
      <c r="K10" s="37">
        <f>'Street Estimates'!J16</f>
        <v>33324</v>
      </c>
      <c r="L10" s="37">
        <f>'Street Estimates'!K16</f>
        <v>31591</v>
      </c>
      <c r="M10" s="37">
        <f>'Street Estimates'!L16</f>
        <v>30233</v>
      </c>
      <c r="N10" s="37">
        <f>'Street Estimates'!M16</f>
        <v>29205</v>
      </c>
      <c r="O10" s="37">
        <f>'Street Estimates'!N16</f>
        <v>26080</v>
      </c>
    </row>
    <row r="11" spans="2:15" x14ac:dyDescent="0.25">
      <c r="B11" s="26" t="s">
        <v>24</v>
      </c>
      <c r="C11" s="26"/>
      <c r="D11" s="26"/>
      <c r="E11" s="26"/>
      <c r="F11" s="26"/>
      <c r="G11" s="25">
        <v>0.13300000000000001</v>
      </c>
      <c r="I11" s="23" t="s">
        <v>19</v>
      </c>
      <c r="J11" s="9">
        <f>SUM(J6:J10)</f>
        <v>130758.3</v>
      </c>
      <c r="K11" s="9">
        <f t="shared" ref="K11:O11" si="0">SUM(K6:K10)</f>
        <v>132379</v>
      </c>
      <c r="L11" s="9">
        <f t="shared" si="0"/>
        <v>131415</v>
      </c>
      <c r="M11" s="9">
        <f t="shared" si="0"/>
        <v>132113</v>
      </c>
      <c r="N11" s="9">
        <f t="shared" si="0"/>
        <v>31196</v>
      </c>
      <c r="O11" s="9">
        <f t="shared" si="0"/>
        <v>139474</v>
      </c>
    </row>
    <row r="12" spans="2:15" x14ac:dyDescent="0.25">
      <c r="B12" s="26" t="s">
        <v>25</v>
      </c>
      <c r="C12" s="26"/>
      <c r="D12" s="26"/>
      <c r="E12" s="26"/>
      <c r="F12" s="26"/>
      <c r="G12" s="25">
        <v>3.0800000000000001E-2</v>
      </c>
    </row>
    <row r="13" spans="2:15" x14ac:dyDescent="0.25">
      <c r="B13" s="26"/>
      <c r="C13" s="26"/>
      <c r="D13" s="26"/>
      <c r="E13" s="26"/>
      <c r="F13" s="26"/>
      <c r="G13" s="26"/>
    </row>
    <row r="14" spans="2:15" x14ac:dyDescent="0.25">
      <c r="B14" s="26" t="s">
        <v>26</v>
      </c>
      <c r="C14" s="26"/>
      <c r="D14" s="26"/>
      <c r="E14" s="26"/>
      <c r="F14" s="26"/>
      <c r="G14" s="26">
        <v>1.19</v>
      </c>
    </row>
    <row r="15" spans="2:15" x14ac:dyDescent="0.25">
      <c r="B15" s="26" t="s">
        <v>27</v>
      </c>
      <c r="C15" s="26"/>
      <c r="D15" s="26"/>
      <c r="E15" s="26"/>
      <c r="F15" s="26"/>
      <c r="G15" s="25">
        <v>7.0000000000000007E-2</v>
      </c>
    </row>
    <row r="16" spans="2:15" x14ac:dyDescent="0.25">
      <c r="B16" s="26" t="s">
        <v>28</v>
      </c>
      <c r="C16" s="26"/>
      <c r="D16" s="26"/>
      <c r="E16" s="26"/>
      <c r="F16" s="26"/>
      <c r="G16" s="9">
        <v>63090</v>
      </c>
    </row>
    <row r="17" spans="2:12" x14ac:dyDescent="0.25">
      <c r="B17" s="26" t="s">
        <v>29</v>
      </c>
      <c r="C17" s="26"/>
      <c r="D17" s="26"/>
      <c r="E17" s="26"/>
      <c r="F17" s="26"/>
      <c r="G17" s="9">
        <v>136500</v>
      </c>
    </row>
    <row r="18" spans="2:12" x14ac:dyDescent="0.25">
      <c r="B18" s="26"/>
      <c r="C18" s="26"/>
      <c r="D18" s="26"/>
      <c r="E18" s="26"/>
      <c r="F18" s="26"/>
      <c r="G18" s="26"/>
    </row>
    <row r="19" spans="2:12" x14ac:dyDescent="0.25">
      <c r="B19" s="31" t="s">
        <v>30</v>
      </c>
      <c r="C19" s="18"/>
      <c r="D19" s="18"/>
      <c r="E19" s="18"/>
      <c r="F19" s="18"/>
      <c r="G19" s="18"/>
    </row>
    <row r="20" spans="2:12" x14ac:dyDescent="0.25">
      <c r="B20" s="32" t="s">
        <v>31</v>
      </c>
      <c r="G20" s="25">
        <f>G12+G14*(G15-G12)</f>
        <v>7.7448000000000003E-2</v>
      </c>
    </row>
    <row r="21" spans="2:12" x14ac:dyDescent="0.25">
      <c r="B21" s="32" t="s">
        <v>32</v>
      </c>
      <c r="G21" s="25">
        <f>G17/SUM(G16:G17)</f>
        <v>0.68390199909815119</v>
      </c>
    </row>
    <row r="22" spans="2:12" x14ac:dyDescent="0.25">
      <c r="B22" s="32" t="s">
        <v>33</v>
      </c>
      <c r="G22" s="25">
        <f>G16/SUM(G16:G17)</f>
        <v>0.31609800090184881</v>
      </c>
    </row>
    <row r="23" spans="2:12" x14ac:dyDescent="0.25">
      <c r="B23" s="33" t="s">
        <v>30</v>
      </c>
      <c r="C23" s="30"/>
      <c r="D23" s="30"/>
      <c r="E23" s="30"/>
      <c r="F23" s="30"/>
      <c r="G23" s="34">
        <f>G22*G20+G21*G10*(1-G11)</f>
        <v>5.294242356831505E-2</v>
      </c>
    </row>
    <row r="25" spans="2:12" x14ac:dyDescent="0.25">
      <c r="B25" s="31" t="s">
        <v>34</v>
      </c>
      <c r="C25" s="18"/>
      <c r="D25" s="18"/>
      <c r="E25" s="18"/>
      <c r="F25" s="18"/>
      <c r="G25" s="18"/>
    </row>
    <row r="26" spans="2:12" x14ac:dyDescent="0.25">
      <c r="B26" s="32" t="s">
        <v>35</v>
      </c>
      <c r="G26" s="9">
        <f>O6+O8</f>
        <v>154159</v>
      </c>
    </row>
    <row r="27" spans="2:12" x14ac:dyDescent="0.25">
      <c r="B27" s="32" t="s">
        <v>21</v>
      </c>
      <c r="G27" s="9">
        <f>G26*G9</f>
        <v>3175675.4000000004</v>
      </c>
    </row>
    <row r="28" spans="2:12" x14ac:dyDescent="0.25">
      <c r="B28" s="32" t="s">
        <v>36</v>
      </c>
      <c r="G28" s="9">
        <f>O11*(1+G8)/(G23-G8)</f>
        <v>3370315.3253003317</v>
      </c>
    </row>
    <row r="29" spans="2:12" x14ac:dyDescent="0.25">
      <c r="B29" s="33" t="s">
        <v>37</v>
      </c>
      <c r="C29" s="30"/>
      <c r="D29" s="30"/>
      <c r="E29" s="30"/>
      <c r="F29" s="30"/>
      <c r="G29" s="30">
        <f>AVERAGE(G27:G28)</f>
        <v>3272995.3626501663</v>
      </c>
    </row>
    <row r="31" spans="2:12" x14ac:dyDescent="0.25">
      <c r="B31" s="31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/>
    </row>
    <row r="32" spans="2:12" x14ac:dyDescent="0.25">
      <c r="B32" s="32" t="s">
        <v>39</v>
      </c>
      <c r="G32" s="24">
        <f>1/(1+$G$23)^K5</f>
        <v>0.94971954554846538</v>
      </c>
      <c r="H32" s="24">
        <f>1/(1+$G$23)^L5</f>
        <v>0.90196721519678358</v>
      </c>
      <c r="I32" s="24">
        <f>1/(1+$G$23)^M5</f>
        <v>0.85661589371630409</v>
      </c>
      <c r="J32" s="24">
        <f>1/(1+$G$23)^N5</f>
        <v>0.81354485728984083</v>
      </c>
      <c r="K32" s="24">
        <f>1/(1+$G$23)^O5</f>
        <v>0.77263945214859875</v>
      </c>
      <c r="L32" s="24"/>
    </row>
    <row r="33" spans="2:11" x14ac:dyDescent="0.25">
      <c r="B33" s="32" t="s">
        <v>40</v>
      </c>
      <c r="G33" s="9">
        <f>K11*G32</f>
        <v>125722.9237201603</v>
      </c>
      <c r="H33" s="9">
        <f t="shared" ref="H33:K33" si="1">L11*H32</f>
        <v>118532.02158508531</v>
      </c>
      <c r="I33" s="9">
        <f t="shared" si="1"/>
        <v>113170.09556654208</v>
      </c>
      <c r="J33" s="9">
        <f t="shared" si="1"/>
        <v>25379.345368013874</v>
      </c>
      <c r="K33" s="9">
        <f t="shared" si="1"/>
        <v>107763.11494897366</v>
      </c>
    </row>
    <row r="34" spans="2:11" x14ac:dyDescent="0.25">
      <c r="B34" s="32" t="s">
        <v>41</v>
      </c>
      <c r="K34" s="9">
        <f>K32*G29</f>
        <v>2528845.3438829286</v>
      </c>
    </row>
    <row r="35" spans="2:11" x14ac:dyDescent="0.25">
      <c r="B35" s="33" t="s">
        <v>42</v>
      </c>
      <c r="C35" s="30"/>
      <c r="D35" s="30"/>
      <c r="E35" s="30"/>
      <c r="F35" s="29">
        <f>SUM(G33:K34)</f>
        <v>3019412.8450717037</v>
      </c>
    </row>
    <row r="37" spans="2:11" x14ac:dyDescent="0.25">
      <c r="B37" s="31" t="s">
        <v>43</v>
      </c>
      <c r="C37" s="19"/>
      <c r="D37" s="19"/>
      <c r="E37" s="19"/>
      <c r="F37" s="19"/>
    </row>
    <row r="38" spans="2:11" x14ac:dyDescent="0.25">
      <c r="B38" s="32" t="s">
        <v>44</v>
      </c>
      <c r="F38" s="47">
        <v>62640</v>
      </c>
    </row>
    <row r="39" spans="2:11" x14ac:dyDescent="0.25">
      <c r="B39" s="32" t="s">
        <v>45</v>
      </c>
      <c r="F39" s="47"/>
    </row>
    <row r="40" spans="2:11" x14ac:dyDescent="0.25">
      <c r="B40" s="32" t="s">
        <v>46</v>
      </c>
      <c r="F40" s="47">
        <v>6000</v>
      </c>
    </row>
    <row r="41" spans="2:11" x14ac:dyDescent="0.25">
      <c r="B41" s="48" t="s">
        <v>47</v>
      </c>
      <c r="C41" s="17"/>
      <c r="D41" s="17"/>
      <c r="E41" s="17"/>
      <c r="F41" s="37">
        <v>109100</v>
      </c>
    </row>
    <row r="42" spans="2:11" x14ac:dyDescent="0.25">
      <c r="B42" s="35" t="s">
        <v>28</v>
      </c>
      <c r="C42" s="47"/>
      <c r="F42" s="28">
        <f>F35+F38-F40-F41</f>
        <v>2966952.8450717037</v>
      </c>
    </row>
    <row r="44" spans="2:11" x14ac:dyDescent="0.25">
      <c r="B44" s="17" t="s">
        <v>48</v>
      </c>
      <c r="C44" s="17"/>
      <c r="D44" s="17"/>
      <c r="E44" s="17"/>
      <c r="F44" s="37">
        <v>16530</v>
      </c>
    </row>
    <row r="45" spans="2:11" x14ac:dyDescent="0.25">
      <c r="B45" s="9" t="s">
        <v>28</v>
      </c>
      <c r="F45" s="24">
        <f>F42/F44</f>
        <v>179.48898034311577</v>
      </c>
    </row>
    <row r="46" spans="2:11" x14ac:dyDescent="0.25">
      <c r="B46" s="9" t="s">
        <v>49</v>
      </c>
      <c r="F46" s="24">
        <f>F45-147.02</f>
        <v>32.46898034311576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2CD5-AB56-4D55-B27E-4CE775C80393}">
  <dimension ref="A1:G3"/>
  <sheetViews>
    <sheetView tabSelected="1" workbookViewId="0">
      <selection activeCell="G20" sqref="G20"/>
    </sheetView>
  </sheetViews>
  <sheetFormatPr defaultRowHeight="15" x14ac:dyDescent="0.25"/>
  <cols>
    <col min="1" max="1" width="9.7109375" bestFit="1" customWidth="1"/>
    <col min="2" max="2" width="12.5703125" bestFit="1" customWidth="1"/>
    <col min="3" max="3" width="13.85546875" bestFit="1" customWidth="1"/>
    <col min="7" max="7" width="17.42578125" bestFit="1" customWidth="1"/>
  </cols>
  <sheetData>
    <row r="1" spans="1:7" x14ac:dyDescent="0.25">
      <c r="B1" t="s">
        <v>68</v>
      </c>
      <c r="C1" t="s">
        <v>70</v>
      </c>
      <c r="D1" t="s">
        <v>49</v>
      </c>
      <c r="E1" t="s">
        <v>69</v>
      </c>
      <c r="G1" t="s">
        <v>71</v>
      </c>
    </row>
    <row r="2" spans="1:7" x14ac:dyDescent="0.25">
      <c r="A2" s="78">
        <v>44765</v>
      </c>
      <c r="B2">
        <v>154.09</v>
      </c>
      <c r="C2" s="80">
        <v>241.7</v>
      </c>
      <c r="D2">
        <v>87.61</v>
      </c>
      <c r="E2" s="79">
        <v>9.4200000000000006E-2</v>
      </c>
    </row>
    <row r="3" spans="1:7" x14ac:dyDescent="0.25">
      <c r="A3" s="78">
        <v>44774</v>
      </c>
      <c r="B3">
        <v>161.51</v>
      </c>
      <c r="C3">
        <v>179.49</v>
      </c>
      <c r="D3">
        <v>17.98</v>
      </c>
      <c r="E3" s="79">
        <v>2.1299999999999999E-2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</vt:lpstr>
      <vt:lpstr>Street Estimates</vt:lpstr>
      <vt:lpstr>DCF Model</vt:lpstr>
      <vt:lpstr>Historical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2022-08-02T01:56:00Z</dcterms:modified>
</cp:coreProperties>
</file>