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7A8AC5CC-C884-45BC-BAEA-94278A9E005B}" xr6:coauthVersionLast="47" xr6:coauthVersionMax="47" xr10:uidLastSave="{00000000-0000-0000-0000-000000000000}"/>
  <bookViews>
    <workbookView xWindow="23880" yWindow="-7830" windowWidth="24240" windowHeight="18240" activeTab="2" xr2:uid="{A3E34BEC-3060-4EA5-9DCA-0D4090F72745}"/>
  </bookViews>
  <sheets>
    <sheet name="Historical Data and Projections" sheetId="1" r:id="rId1"/>
    <sheet name="Street Estimates" sheetId="2" r:id="rId2"/>
    <sheet name="DCF Model (discarded)" sheetId="3" r:id="rId3"/>
    <sheet name="DD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4" l="1"/>
  <c r="H30" i="4" s="1"/>
  <c r="I30" i="4" s="1"/>
  <c r="F30" i="4"/>
  <c r="G22" i="4"/>
  <c r="G23" i="4" s="1"/>
  <c r="G21" i="4"/>
  <c r="G20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N11" i="4" s="1"/>
  <c r="M7" i="4"/>
  <c r="M11" i="4" s="1"/>
  <c r="L7" i="4"/>
  <c r="K7" i="4"/>
  <c r="J7" i="4"/>
  <c r="J11" i="4" s="1"/>
  <c r="O6" i="4"/>
  <c r="O11" i="4" s="1"/>
  <c r="N6" i="4"/>
  <c r="M6" i="4"/>
  <c r="L6" i="4"/>
  <c r="L11" i="4" s="1"/>
  <c r="K6" i="4"/>
  <c r="K11" i="4" s="1"/>
  <c r="J6" i="4"/>
  <c r="F45" i="3"/>
  <c r="F42" i="3"/>
  <c r="K33" i="3"/>
  <c r="J33" i="3"/>
  <c r="I33" i="3"/>
  <c r="H33" i="3"/>
  <c r="G33" i="3"/>
  <c r="K32" i="3"/>
  <c r="J32" i="3"/>
  <c r="I32" i="3"/>
  <c r="H32" i="3"/>
  <c r="G32" i="3"/>
  <c r="G28" i="3"/>
  <c r="G27" i="3"/>
  <c r="G29" i="3" s="1"/>
  <c r="K34" i="3" s="1"/>
  <c r="F35" i="3" s="1"/>
  <c r="O9" i="3"/>
  <c r="N9" i="3"/>
  <c r="M9" i="3"/>
  <c r="M11" i="3" s="1"/>
  <c r="L9" i="3"/>
  <c r="L11" i="3" s="1"/>
  <c r="K9" i="3"/>
  <c r="G26" i="3"/>
  <c r="G23" i="3"/>
  <c r="G22" i="3"/>
  <c r="G21" i="3"/>
  <c r="G20" i="3"/>
  <c r="J6" i="3"/>
  <c r="O11" i="3"/>
  <c r="N11" i="3"/>
  <c r="K11" i="3"/>
  <c r="J11" i="3"/>
  <c r="O10" i="3"/>
  <c r="N10" i="3"/>
  <c r="M10" i="3"/>
  <c r="L10" i="3"/>
  <c r="K10" i="3"/>
  <c r="O7" i="3"/>
  <c r="N7" i="3"/>
  <c r="M7" i="3"/>
  <c r="L7" i="3"/>
  <c r="K7" i="3"/>
  <c r="O8" i="3"/>
  <c r="N8" i="3"/>
  <c r="M8" i="3"/>
  <c r="L8" i="3"/>
  <c r="K8" i="3"/>
  <c r="O6" i="3"/>
  <c r="N6" i="3"/>
  <c r="M6" i="3"/>
  <c r="L6" i="3"/>
  <c r="K6" i="3"/>
  <c r="J10" i="3"/>
  <c r="J9" i="3"/>
  <c r="J7" i="3"/>
  <c r="J8" i="3"/>
  <c r="L16" i="2"/>
  <c r="M16" i="2" s="1"/>
  <c r="N16" i="2" s="1"/>
  <c r="K16" i="2"/>
  <c r="J16" i="2"/>
  <c r="N14" i="2"/>
  <c r="M14" i="2"/>
  <c r="L14" i="2"/>
  <c r="K14" i="2"/>
  <c r="J14" i="2"/>
  <c r="M11" i="2"/>
  <c r="N11" i="2" s="1"/>
  <c r="L11" i="2"/>
  <c r="K11" i="2"/>
  <c r="N10" i="2"/>
  <c r="M10" i="2"/>
  <c r="L10" i="2"/>
  <c r="K10" i="2"/>
  <c r="J10" i="2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<sst xmlns="http://schemas.openxmlformats.org/spreadsheetml/2006/main" count="132" uniqueCount="92">
  <si>
    <t>Ticker: GS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</si>
  <si>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</si>
  <si>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</si>
  <si>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</si>
  <si>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</si>
  <si>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</si>
  <si>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</si>
  <si>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</si>
  <si>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</si>
  <si>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</si>
  <si>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</si>
  <si>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</si>
  <si>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</si>
  <si>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</si>
  <si>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</si>
  <si>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</si>
  <si>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</si>
  <si>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</si>
  <si>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</si>
  <si>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</si>
  <si>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</si>
  <si>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</si>
  <si>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</si>
  <si>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</si>
  <si>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</si>
  <si>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</si>
  <si>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</si>
  <si>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</si>
  <si>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</si>
  <si>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</si>
  <si>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</si>
  <si>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</si>
  <si>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</si>
  <si>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</si>
  <si>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</si>
  <si>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</si>
  <si>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</si>
  <si>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</si>
  <si>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</si>
  <si>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</si>
  <si>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</si>
  <si>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</si>
  <si>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</si>
  <si>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</si>
  <si>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</si>
  <si>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</si>
  <si>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</si>
  <si>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</si>
  <si>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</si>
  <si>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</si>
  <si>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</si>
  <si>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</si>
  <si>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</si>
  <si>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</si>
  <si>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</si>
  <si>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</si>
  <si>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</si>
  <si>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Debt Value</t>
  </si>
  <si>
    <t>Equity Value</t>
  </si>
  <si>
    <t>WACC:</t>
  </si>
  <si>
    <t>FCF</t>
  </si>
  <si>
    <t>Period</t>
  </si>
  <si>
    <t>EBIT</t>
  </si>
  <si>
    <t>Tax</t>
  </si>
  <si>
    <t>D&amp;A</t>
  </si>
  <si>
    <t>NWC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</si>
  <si>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</si>
  <si>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</si>
  <si>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</si>
  <si>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</si>
  <si>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</si>
  <si>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</si>
  <si>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</si>
  <si>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</si>
  <si>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</si>
  <si>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</si>
  <si>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</si>
  <si>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</si>
  <si>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</si>
  <si>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</si>
  <si>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</si>
  <si>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</si>
  <si>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Long-term Debt</t>
  </si>
  <si>
    <t>Short-term Debt</t>
  </si>
  <si>
    <t>Shares Outstanding</t>
  </si>
  <si>
    <t>Assumptions</t>
  </si>
  <si>
    <t>Current DPS</t>
  </si>
  <si>
    <t>Dividend Discount Model:</t>
  </si>
  <si>
    <t>Discounted Cash Flow Model:</t>
  </si>
  <si>
    <t>DPS</t>
  </si>
  <si>
    <t>PV of Dividend</t>
  </si>
  <si>
    <t>Current Price: $349.27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</si>
</sst>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-* #,##0_-;\(#,##0\)_-;_-* &quot;-&quot;_-;_-@_-"/>
    <numFmt numFmtId="166" formatCode="_-* #,##0.00_-;\(#,##0.00\)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0" fillId="2" borderId="1" xfId="0" applyFill="1" applyBorder="1"/>
    <xf numFmtId="9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0" fontId="0" fillId="0" borderId="0" xfId="0" applyNumberFormat="1"/>
    <xf numFmtId="10" fontId="0" fillId="0" borderId="0" xfId="1" applyNumberFormat="1" applyFont="1"/>
    <xf numFmtId="9" fontId="1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43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0" fontId="0" fillId="3" borderId="0" xfId="0" applyFill="1"/>
    <xf numFmtId="0" fontId="4" fillId="3" borderId="0" xfId="0" applyFont="1" applyFill="1"/>
    <xf numFmtId="8" fontId="0" fillId="0" borderId="0" xfId="0" applyNumberFormat="1"/>
    <xf numFmtId="6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Net Income to Shareholders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Projections'!$E$28:$I$28</c:f>
              <c:numCache>
                <c:formatCode>_-* #,##0_-;\(#,##0\)_-;_-* "-"_-;_-@_-</c:formatCode>
                <c:ptCount val="5"/>
                <c:pt idx="0">
                  <c:v>4286</c:v>
                </c:pt>
                <c:pt idx="1">
                  <c:v>10459</c:v>
                </c:pt>
                <c:pt idx="2">
                  <c:v>8466</c:v>
                </c:pt>
                <c:pt idx="3">
                  <c:v>9459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ED-9B2F-A4BAC0D2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90992"/>
        <c:axId val="1876211056"/>
      </c:barChart>
      <c:catAx>
        <c:axId val="1376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056"/>
        <c:crosses val="autoZero"/>
        <c:auto val="1"/>
        <c:lblAlgn val="ctr"/>
        <c:lblOffset val="100"/>
        <c:noMultiLvlLbl val="0"/>
      </c:catAx>
      <c:valAx>
        <c:axId val="1876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85725</xdr:rowOff>
    </xdr:from>
    <xdr:to>
      <xdr:col>22</xdr:col>
      <xdr:colOff>304800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83B8F-6C88-3F7A-B5DB-62638207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shwat%20Sharma/Documents/Dow%20Valuation/Dow%2030/Home%20Depot/Home%20Dep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 Data and Projections"/>
      <sheetName val="Street Estimates"/>
      <sheetName val="DCF Model"/>
    </sheetNames>
    <sheetDataSet>
      <sheetData sheetId="0">
        <row r="6">
          <cell r="E6">
            <v>100904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workbookViewId="0">
      <selection activeCell="N2" sqref="N2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91</v>
      </c>
      <c r="C3" s="1"/>
      <c r="D3" s="1"/>
      <c r="E3" s="77" t="s">
        <v>14</v>
      </c>
      <c r="F3" s="78"/>
      <c r="G3" s="78"/>
      <c r="H3" s="78"/>
      <c r="I3" s="79"/>
      <c r="J3" s="77" t="s">
        <v>15</v>
      </c>
      <c r="K3" s="78"/>
      <c r="L3" s="78"/>
      <c r="M3" s="78"/>
      <c r="N3" s="78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1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2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3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16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17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18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19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4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5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6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7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8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9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10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11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12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13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11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20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21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22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23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24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25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26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27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28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29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30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31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32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33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35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34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36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37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38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39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P16"/>
  <sheetViews>
    <sheetView showGridLines="0" workbookViewId="0">
      <selection activeCell="B2" sqref="B2:N16"/>
    </sheetView>
  </sheetViews>
  <sheetFormatPr defaultRowHeight="15" x14ac:dyDescent="0.25"/>
  <cols>
    <col min="5" max="5" width="9.7109375" bestFit="1" customWidth="1"/>
    <col min="6" max="9" width="9.28515625" bestFit="1" customWidth="1"/>
    <col min="10" max="10" width="9.42578125" customWidth="1"/>
    <col min="11" max="11" width="9.85546875" bestFit="1" customWidth="1"/>
    <col min="12" max="14" width="9.7109375" bestFit="1" customWidth="1"/>
  </cols>
  <sheetData>
    <row r="1" spans="2:16" x14ac:dyDescent="0.25">
      <c r="E1" s="5"/>
      <c r="J1" s="5"/>
    </row>
    <row r="2" spans="2:16" x14ac:dyDescent="0.25">
      <c r="B2" s="2" t="s">
        <v>0</v>
      </c>
      <c r="C2" s="1"/>
      <c r="D2" s="1"/>
      <c r="E2" s="5"/>
      <c r="J2" s="5"/>
    </row>
    <row r="3" spans="2:16" x14ac:dyDescent="0.25">
      <c r="B3" s="2" t="s">
        <v>40</v>
      </c>
      <c r="C3" s="1"/>
      <c r="D3" s="1"/>
      <c r="E3" s="77" t="s">
        <v>14</v>
      </c>
      <c r="F3" s="78"/>
      <c r="G3" s="78"/>
      <c r="H3" s="78"/>
      <c r="I3" s="79"/>
      <c r="J3" s="77" t="s">
        <v>15</v>
      </c>
      <c r="K3" s="78"/>
      <c r="L3" s="78"/>
      <c r="M3" s="78"/>
      <c r="N3" s="78"/>
    </row>
    <row r="4" spans="2:16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6" x14ac:dyDescent="0.25">
      <c r="B5" s="4" t="s">
        <v>1</v>
      </c>
      <c r="C5" s="49"/>
      <c r="D5" s="49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6" x14ac:dyDescent="0.25">
      <c r="B6" t="s">
        <v>41</v>
      </c>
      <c r="E6" s="53"/>
      <c r="F6" s="54"/>
      <c r="G6" s="54"/>
      <c r="H6" s="54"/>
      <c r="I6" s="18">
        <v>27044</v>
      </c>
      <c r="J6" s="53"/>
      <c r="K6" s="54"/>
      <c r="L6" s="54"/>
      <c r="M6" s="54"/>
      <c r="N6" s="54"/>
    </row>
    <row r="7" spans="2:16" x14ac:dyDescent="0.25">
      <c r="B7" t="s">
        <v>42</v>
      </c>
      <c r="E7" s="53"/>
      <c r="F7" s="54"/>
      <c r="G7" s="54"/>
      <c r="H7" s="54"/>
      <c r="I7" s="54"/>
      <c r="J7" s="17">
        <v>17805</v>
      </c>
      <c r="K7" s="18">
        <v>19869</v>
      </c>
      <c r="L7" s="18">
        <v>21699</v>
      </c>
      <c r="M7" s="18">
        <v>19969</v>
      </c>
      <c r="N7" s="18">
        <v>20653</v>
      </c>
    </row>
    <row r="8" spans="2:16" x14ac:dyDescent="0.25">
      <c r="B8" t="s">
        <v>43</v>
      </c>
      <c r="E8" s="53"/>
      <c r="F8" s="54"/>
      <c r="G8" s="54"/>
      <c r="H8" s="54"/>
      <c r="I8" s="54"/>
      <c r="J8" s="17">
        <v>17259</v>
      </c>
      <c r="K8" s="18">
        <v>17983</v>
      </c>
      <c r="L8" s="18">
        <v>20349</v>
      </c>
      <c r="M8" s="18">
        <v>19969</v>
      </c>
      <c r="N8" s="18">
        <v>20653</v>
      </c>
    </row>
    <row r="9" spans="2:16" x14ac:dyDescent="0.25">
      <c r="B9" t="s">
        <v>44</v>
      </c>
      <c r="E9" s="53"/>
      <c r="F9" s="54"/>
      <c r="G9" s="54"/>
      <c r="H9" s="54"/>
      <c r="I9" s="54"/>
      <c r="J9" s="17">
        <v>15217</v>
      </c>
      <c r="K9" s="18">
        <v>16486</v>
      </c>
      <c r="L9" s="18">
        <v>17940</v>
      </c>
      <c r="M9" s="18">
        <v>19969</v>
      </c>
      <c r="N9" s="18">
        <v>20653</v>
      </c>
    </row>
    <row r="10" spans="2:16" x14ac:dyDescent="0.25">
      <c r="B10" s="10" t="s">
        <v>45</v>
      </c>
      <c r="C10" s="10"/>
      <c r="D10" s="10"/>
      <c r="E10" s="42">
        <v>6846</v>
      </c>
      <c r="F10" s="43">
        <v>2022</v>
      </c>
      <c r="G10" s="43">
        <v>2117</v>
      </c>
      <c r="H10" s="43">
        <v>3020</v>
      </c>
      <c r="I10" s="43">
        <v>5409</v>
      </c>
      <c r="J10" s="51">
        <f>22%*J8</f>
        <v>3796.98</v>
      </c>
      <c r="K10" s="52">
        <f>22%*K8</f>
        <v>3956.26</v>
      </c>
      <c r="L10" s="52">
        <f t="shared" ref="L10:N10" si="0">22%*L8</f>
        <v>4476.78</v>
      </c>
      <c r="M10" s="52">
        <f t="shared" si="0"/>
        <v>4393.18</v>
      </c>
      <c r="N10" s="52">
        <f t="shared" si="0"/>
        <v>4543.66</v>
      </c>
    </row>
    <row r="11" spans="2:16" x14ac:dyDescent="0.25">
      <c r="B11" s="10" t="s">
        <v>46</v>
      </c>
      <c r="C11" s="10"/>
      <c r="D11" s="10"/>
      <c r="E11" s="42">
        <v>1152</v>
      </c>
      <c r="F11" s="43">
        <v>1328</v>
      </c>
      <c r="G11" s="43">
        <v>1704</v>
      </c>
      <c r="H11" s="43">
        <v>1902</v>
      </c>
      <c r="I11" s="43">
        <v>2015</v>
      </c>
      <c r="J11" s="42">
        <v>1920</v>
      </c>
      <c r="K11" s="52">
        <f>1.01*J11</f>
        <v>1939.2</v>
      </c>
      <c r="L11" s="52">
        <f t="shared" ref="L11:N11" si="1">1.01*K11</f>
        <v>1958.5920000000001</v>
      </c>
      <c r="M11" s="52">
        <f t="shared" si="1"/>
        <v>1978.1779200000001</v>
      </c>
      <c r="N11" s="52">
        <f t="shared" si="1"/>
        <v>1997.9596992000002</v>
      </c>
      <c r="P11" s="50"/>
    </row>
    <row r="12" spans="2:16" x14ac:dyDescent="0.25">
      <c r="B12" s="8" t="s">
        <v>47</v>
      </c>
      <c r="C12" s="8"/>
      <c r="D12" s="8"/>
      <c r="E12" s="26">
        <v>3184</v>
      </c>
      <c r="F12" s="27">
        <v>7982</v>
      </c>
      <c r="G12" s="27">
        <v>8443</v>
      </c>
      <c r="H12" s="27">
        <v>6309</v>
      </c>
      <c r="I12" s="27">
        <v>4667</v>
      </c>
      <c r="J12" s="55"/>
      <c r="K12" s="56"/>
      <c r="L12" s="56"/>
      <c r="M12" s="56"/>
      <c r="N12" s="56"/>
    </row>
    <row r="13" spans="2:16" x14ac:dyDescent="0.25">
      <c r="B13" t="s">
        <v>42</v>
      </c>
      <c r="E13" s="53"/>
      <c r="F13" s="54"/>
      <c r="G13" s="54"/>
      <c r="H13" s="54"/>
      <c r="I13" s="54"/>
      <c r="J13" s="53"/>
      <c r="K13" s="54"/>
      <c r="L13" s="54"/>
      <c r="M13" s="54"/>
      <c r="N13" s="54"/>
    </row>
    <row r="14" spans="2:16" x14ac:dyDescent="0.25">
      <c r="B14" t="s">
        <v>43</v>
      </c>
      <c r="E14" s="53"/>
      <c r="F14" s="54"/>
      <c r="G14" s="54"/>
      <c r="H14" s="54"/>
      <c r="I14" s="54"/>
      <c r="J14" s="53">
        <f>1.387*I12</f>
        <v>6473.1289999999999</v>
      </c>
      <c r="K14" s="54">
        <f>1.05*J14</f>
        <v>6796.7854500000003</v>
      </c>
      <c r="L14" s="54">
        <f>1.029*K14</f>
        <v>6993.8922280500001</v>
      </c>
      <c r="M14" s="54">
        <f>1.001*L14</f>
        <v>7000.886120278049</v>
      </c>
      <c r="N14" s="54">
        <f>1.034*M14</f>
        <v>7238.9162483675027</v>
      </c>
    </row>
    <row r="15" spans="2:16" x14ac:dyDescent="0.25">
      <c r="B15" t="s">
        <v>44</v>
      </c>
      <c r="E15" s="53"/>
      <c r="F15" s="54"/>
      <c r="G15" s="54"/>
      <c r="H15" s="54"/>
      <c r="I15" s="54"/>
      <c r="J15" s="53"/>
      <c r="K15" s="54"/>
      <c r="L15" s="54"/>
      <c r="M15" s="54"/>
      <c r="N15" s="54"/>
    </row>
    <row r="16" spans="2:16" x14ac:dyDescent="0.25">
      <c r="B16" s="10" t="s">
        <v>48</v>
      </c>
      <c r="C16" s="10"/>
      <c r="D16" s="10"/>
      <c r="E16" s="42">
        <v>-108700</v>
      </c>
      <c r="F16" s="43">
        <v>-38971</v>
      </c>
      <c r="G16" s="43">
        <v>-2096</v>
      </c>
      <c r="H16" s="43">
        <v>8533</v>
      </c>
      <c r="I16" s="43">
        <v>-87129</v>
      </c>
      <c r="J16" s="51">
        <f>-0.197*I16+I16</f>
        <v>-69964.587</v>
      </c>
      <c r="K16" s="52">
        <f>1.05*J16</f>
        <v>-73462.816350000008</v>
      </c>
      <c r="L16" s="52">
        <f t="shared" ref="L16:N16" si="2">1.05*K16</f>
        <v>-77135.957167500019</v>
      </c>
      <c r="M16" s="52">
        <f t="shared" si="2"/>
        <v>-80992.755025875027</v>
      </c>
      <c r="N16" s="52">
        <f t="shared" si="2"/>
        <v>-85042.392777168789</v>
      </c>
    </row>
  </sheetData>
  <mergeCells count="2">
    <mergeCell ref="J3:N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0E3-9F48-4E46-8AFE-5EFCB118D169}">
  <dimension ref="B2:O45"/>
  <sheetViews>
    <sheetView showGridLines="0" tabSelected="1" topLeftCell="A7" workbookViewId="0">
      <selection activeCell="F45" sqref="F45"/>
    </sheetView>
  </sheetViews>
  <sheetFormatPr defaultRowHeight="15" x14ac:dyDescent="0.25"/>
  <cols>
    <col min="6" max="6" width="10.5703125" bestFit="1" customWidth="1"/>
    <col min="7" max="7" width="10.7109375" customWidth="1"/>
    <col min="8" max="11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1" t="s">
        <v>40</v>
      </c>
      <c r="C3" s="1"/>
      <c r="D3" s="1"/>
    </row>
    <row r="5" spans="2:15" x14ac:dyDescent="0.25">
      <c r="B5" s="80" t="s">
        <v>88</v>
      </c>
      <c r="C5" s="80"/>
      <c r="D5" s="80"/>
      <c r="E5" s="80"/>
      <c r="F5" s="80"/>
      <c r="G5" s="80"/>
      <c r="I5" s="49" t="s">
        <v>61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62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49</v>
      </c>
      <c r="C7" s="3"/>
      <c r="D7" s="3"/>
      <c r="E7" s="3"/>
      <c r="F7" s="3"/>
      <c r="G7" s="3"/>
      <c r="I7" t="s">
        <v>63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50</v>
      </c>
      <c r="G8" s="69">
        <v>-0.02</v>
      </c>
      <c r="I8" t="s">
        <v>64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51</v>
      </c>
      <c r="G9" s="20">
        <v>27.93</v>
      </c>
      <c r="I9" t="s">
        <v>26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52</v>
      </c>
      <c r="G10" s="69">
        <v>4.5999999999999999E-2</v>
      </c>
      <c r="I10" t="s">
        <v>65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53</v>
      </c>
      <c r="G11" s="70">
        <v>0.22</v>
      </c>
      <c r="I11" s="48" t="s">
        <v>60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54</v>
      </c>
      <c r="G12" s="69">
        <v>2.7900000000000001E-2</v>
      </c>
    </row>
    <row r="13" spans="2:15" x14ac:dyDescent="0.25">
      <c r="G13" s="20"/>
    </row>
    <row r="14" spans="2:15" x14ac:dyDescent="0.25">
      <c r="B14" t="s">
        <v>55</v>
      </c>
      <c r="G14" s="20">
        <v>1.39</v>
      </c>
    </row>
    <row r="15" spans="2:15" x14ac:dyDescent="0.25">
      <c r="B15" t="s">
        <v>56</v>
      </c>
      <c r="G15" s="69">
        <v>7.0000000000000007E-2</v>
      </c>
    </row>
    <row r="16" spans="2:15" x14ac:dyDescent="0.25">
      <c r="B16" t="s">
        <v>58</v>
      </c>
      <c r="G16" s="71">
        <v>99233</v>
      </c>
    </row>
    <row r="17" spans="2:11" x14ac:dyDescent="0.25">
      <c r="B17" t="s">
        <v>57</v>
      </c>
      <c r="G17" s="71">
        <v>586200</v>
      </c>
    </row>
    <row r="19" spans="2:11" x14ac:dyDescent="0.25">
      <c r="B19" s="4" t="s">
        <v>59</v>
      </c>
      <c r="C19" s="49"/>
      <c r="D19" s="49"/>
      <c r="E19" s="49"/>
      <c r="F19" s="49"/>
      <c r="G19" s="49"/>
    </row>
    <row r="20" spans="2:11" x14ac:dyDescent="0.25">
      <c r="B20" t="s">
        <v>66</v>
      </c>
      <c r="G20" s="59">
        <f>G12+G14*(G15-G12)</f>
        <v>8.6418999999999996E-2</v>
      </c>
    </row>
    <row r="21" spans="2:11" x14ac:dyDescent="0.25">
      <c r="B21" t="s">
        <v>67</v>
      </c>
      <c r="G21" s="60">
        <f>G17/SUM(G16:G17)</f>
        <v>0.85522582075855702</v>
      </c>
    </row>
    <row r="22" spans="2:11" x14ac:dyDescent="0.25">
      <c r="B22" t="s">
        <v>68</v>
      </c>
      <c r="G22" s="60">
        <f>G16/SUM(G16:G17)</f>
        <v>0.14477417924144301</v>
      </c>
    </row>
    <row r="23" spans="2:11" x14ac:dyDescent="0.25">
      <c r="B23" s="61" t="s">
        <v>69</v>
      </c>
      <c r="C23" s="62"/>
      <c r="D23" s="62"/>
      <c r="E23" s="62"/>
      <c r="F23" s="62"/>
      <c r="G23" s="63">
        <f>G22*G20+G21*G10*(1-G11)</f>
        <v>4.3196742244683291E-2</v>
      </c>
    </row>
    <row r="25" spans="2:11" x14ac:dyDescent="0.25">
      <c r="B25" s="4" t="s">
        <v>70</v>
      </c>
      <c r="C25" s="49"/>
      <c r="D25" s="49"/>
      <c r="E25" s="49"/>
      <c r="F25" s="49"/>
      <c r="G25" s="49"/>
    </row>
    <row r="26" spans="2:11" x14ac:dyDescent="0.25">
      <c r="B26" t="s">
        <v>71</v>
      </c>
      <c r="G26" s="54">
        <f>O6+O8</f>
        <v>22650.959699200001</v>
      </c>
    </row>
    <row r="27" spans="2:11" x14ac:dyDescent="0.25">
      <c r="B27" t="s">
        <v>51</v>
      </c>
      <c r="G27" s="54">
        <f>G26*G9</f>
        <v>632641.30439865601</v>
      </c>
    </row>
    <row r="28" spans="2:11" x14ac:dyDescent="0.25">
      <c r="B28" t="s">
        <v>72</v>
      </c>
      <c r="G28" s="66">
        <f>O11*(1+G8)/(G23-G8)</f>
        <v>1487300.7272989424</v>
      </c>
    </row>
    <row r="29" spans="2:11" x14ac:dyDescent="0.25">
      <c r="B29" s="48" t="s">
        <v>73</v>
      </c>
      <c r="C29" s="8"/>
      <c r="D29" s="8"/>
      <c r="E29" s="8"/>
      <c r="F29" s="8"/>
      <c r="G29" s="54">
        <f>AVERAGE(G27:G28)</f>
        <v>1059971.0158487991</v>
      </c>
    </row>
    <row r="30" spans="2:11" x14ac:dyDescent="0.25">
      <c r="G30" s="54"/>
    </row>
    <row r="31" spans="2:11" x14ac:dyDescent="0.25">
      <c r="B31" s="4" t="s">
        <v>74</v>
      </c>
      <c r="C31" s="49"/>
      <c r="D31" s="49"/>
      <c r="E31" s="49"/>
      <c r="F31" s="49"/>
      <c r="G31" s="49">
        <v>1</v>
      </c>
      <c r="H31" s="49">
        <v>2</v>
      </c>
      <c r="I31" s="49">
        <v>3</v>
      </c>
      <c r="J31" s="49">
        <v>4</v>
      </c>
      <c r="K31" s="49">
        <v>5</v>
      </c>
    </row>
    <row r="32" spans="2:11" x14ac:dyDescent="0.25">
      <c r="B32" t="s">
        <v>75</v>
      </c>
      <c r="G32" s="65">
        <f>1/(1+$G$23)^K5</f>
        <v>0.95859195059243063</v>
      </c>
      <c r="H32" s="65">
        <f t="shared" ref="H32:K32" si="1">1/(1+$G$23)^L5</f>
        <v>0.91889852774060088</v>
      </c>
      <c r="I32" s="65">
        <f t="shared" si="1"/>
        <v>0.88084873210337533</v>
      </c>
      <c r="J32" s="65">
        <f t="shared" si="1"/>
        <v>0.84437450428384386</v>
      </c>
      <c r="K32" s="65">
        <f t="shared" si="1"/>
        <v>0.80941060309196666</v>
      </c>
    </row>
    <row r="33" spans="2:11" x14ac:dyDescent="0.25">
      <c r="B33" t="s">
        <v>76</v>
      </c>
      <c r="G33" s="54">
        <f>K11*G32</f>
        <v>75607.481126029161</v>
      </c>
      <c r="H33" s="54">
        <f t="shared" ref="H33:K33" si="2">L11*H32</f>
        <v>75930.39640431419</v>
      </c>
      <c r="I33" s="54">
        <f t="shared" si="2"/>
        <v>77490.797111600812</v>
      </c>
      <c r="J33" s="54">
        <f t="shared" si="2"/>
        <v>77298.995920098241</v>
      </c>
      <c r="K33" s="54">
        <f t="shared" si="2"/>
        <v>77631.199229725171</v>
      </c>
    </row>
    <row r="34" spans="2:11" x14ac:dyDescent="0.25">
      <c r="B34" s="3" t="s">
        <v>77</v>
      </c>
      <c r="C34" s="3"/>
      <c r="D34" s="3"/>
      <c r="E34" s="3"/>
      <c r="F34" s="3"/>
      <c r="G34" s="54"/>
      <c r="H34" s="54"/>
      <c r="I34" s="54"/>
      <c r="J34" s="54"/>
      <c r="K34" s="54">
        <f>K32*G29</f>
        <v>857951.77919818112</v>
      </c>
    </row>
    <row r="35" spans="2:11" x14ac:dyDescent="0.25">
      <c r="B35" s="15" t="s">
        <v>78</v>
      </c>
      <c r="F35" s="54">
        <f>SUM(G33:K34)</f>
        <v>1241910.6489899487</v>
      </c>
      <c r="H35" s="54"/>
    </row>
    <row r="37" spans="2:11" x14ac:dyDescent="0.25">
      <c r="B37" s="4" t="s">
        <v>79</v>
      </c>
      <c r="C37" s="49"/>
      <c r="D37" s="49"/>
      <c r="E37" s="49"/>
      <c r="F37" s="49"/>
    </row>
    <row r="38" spans="2:11" x14ac:dyDescent="0.25">
      <c r="B38" t="s">
        <v>80</v>
      </c>
      <c r="F38" s="71">
        <v>1040000</v>
      </c>
    </row>
    <row r="39" spans="2:11" x14ac:dyDescent="0.25">
      <c r="B39" t="s">
        <v>81</v>
      </c>
      <c r="F39" s="20"/>
    </row>
    <row r="40" spans="2:11" x14ac:dyDescent="0.25">
      <c r="B40" t="s">
        <v>83</v>
      </c>
      <c r="F40" s="71">
        <v>302300</v>
      </c>
    </row>
    <row r="41" spans="2:11" x14ac:dyDescent="0.25">
      <c r="B41" s="3" t="s">
        <v>82</v>
      </c>
      <c r="C41" s="3"/>
      <c r="D41" s="3"/>
      <c r="E41" s="3"/>
      <c r="F41" s="72">
        <v>263500</v>
      </c>
    </row>
    <row r="42" spans="2:11" x14ac:dyDescent="0.25">
      <c r="B42" s="67" t="s">
        <v>58</v>
      </c>
      <c r="F42" s="68">
        <f>F35+F38-F40-F41</f>
        <v>1716110.6489899484</v>
      </c>
    </row>
    <row r="44" spans="2:11" x14ac:dyDescent="0.25">
      <c r="B44" s="3" t="s">
        <v>84</v>
      </c>
      <c r="C44" s="3"/>
      <c r="D44" s="3"/>
      <c r="E44" s="3"/>
      <c r="F44" s="72">
        <v>325</v>
      </c>
    </row>
    <row r="45" spans="2:11" x14ac:dyDescent="0.25">
      <c r="B45" s="13" t="s">
        <v>58</v>
      </c>
      <c r="F45" s="64">
        <f>F42/F44</f>
        <v>5280.3404584306109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A5C-304A-4E05-9218-C06B185D474E}">
  <dimension ref="B2:O32"/>
  <sheetViews>
    <sheetView showGridLines="0" workbookViewId="0">
      <selection activeCell="G26" sqref="G26"/>
    </sheetView>
  </sheetViews>
  <sheetFormatPr defaultRowHeight="15" x14ac:dyDescent="0.25"/>
  <sheetData>
    <row r="2" spans="2:15" x14ac:dyDescent="0.25">
      <c r="B2" s="2" t="s">
        <v>0</v>
      </c>
      <c r="C2" s="1"/>
      <c r="D2" s="1"/>
    </row>
    <row r="3" spans="2:15" x14ac:dyDescent="0.25">
      <c r="B3" s="1" t="s">
        <v>40</v>
      </c>
      <c r="C3" s="1"/>
      <c r="D3" s="1"/>
    </row>
    <row r="5" spans="2:15" x14ac:dyDescent="0.25">
      <c r="B5" s="80" t="s">
        <v>87</v>
      </c>
      <c r="C5" s="80"/>
      <c r="D5" s="80"/>
      <c r="E5" s="80"/>
      <c r="F5" s="80"/>
      <c r="G5" s="80"/>
      <c r="I5" s="49" t="s">
        <v>61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62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49</v>
      </c>
      <c r="C7" s="3"/>
      <c r="D7" s="3"/>
      <c r="E7" s="3"/>
      <c r="F7" s="3"/>
      <c r="G7" s="3"/>
      <c r="I7" t="s">
        <v>63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50</v>
      </c>
      <c r="G8" s="69">
        <v>-0.02</v>
      </c>
      <c r="I8" t="s">
        <v>64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51</v>
      </c>
      <c r="G9" s="20">
        <v>27.93</v>
      </c>
      <c r="I9" t="s">
        <v>26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52</v>
      </c>
      <c r="G10" s="69">
        <v>4.5999999999999999E-2</v>
      </c>
      <c r="I10" t="s">
        <v>65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53</v>
      </c>
      <c r="G11" s="70">
        <v>0.22</v>
      </c>
      <c r="I11" s="48" t="s">
        <v>60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54</v>
      </c>
      <c r="G12" s="69">
        <v>2.7900000000000001E-2</v>
      </c>
    </row>
    <row r="13" spans="2:15" x14ac:dyDescent="0.25">
      <c r="G13" s="20"/>
    </row>
    <row r="14" spans="2:15" x14ac:dyDescent="0.25">
      <c r="B14" t="s">
        <v>55</v>
      </c>
      <c r="G14" s="20">
        <v>1.39</v>
      </c>
    </row>
    <row r="15" spans="2:15" x14ac:dyDescent="0.25">
      <c r="B15" t="s">
        <v>56</v>
      </c>
      <c r="G15" s="69">
        <v>7.0000000000000007E-2</v>
      </c>
    </row>
    <row r="16" spans="2:15" x14ac:dyDescent="0.25">
      <c r="B16" t="s">
        <v>58</v>
      </c>
      <c r="G16" s="71">
        <v>99233</v>
      </c>
    </row>
    <row r="17" spans="2:9" x14ac:dyDescent="0.25">
      <c r="B17" t="s">
        <v>57</v>
      </c>
      <c r="G17" s="71">
        <v>586200</v>
      </c>
    </row>
    <row r="19" spans="2:9" x14ac:dyDescent="0.25">
      <c r="B19" s="4" t="s">
        <v>59</v>
      </c>
      <c r="C19" s="49"/>
      <c r="D19" s="49"/>
      <c r="E19" s="49"/>
      <c r="F19" s="49"/>
      <c r="G19" s="49"/>
    </row>
    <row r="20" spans="2:9" x14ac:dyDescent="0.25">
      <c r="B20" t="s">
        <v>66</v>
      </c>
      <c r="G20" s="59">
        <f>G12+G14*(G15-G12)</f>
        <v>8.6418999999999996E-2</v>
      </c>
    </row>
    <row r="21" spans="2:9" x14ac:dyDescent="0.25">
      <c r="B21" t="s">
        <v>67</v>
      </c>
      <c r="G21" s="60">
        <f>G17/SUM(G16:G17)</f>
        <v>0.85522582075855702</v>
      </c>
    </row>
    <row r="22" spans="2:9" x14ac:dyDescent="0.25">
      <c r="B22" t="s">
        <v>68</v>
      </c>
      <c r="G22" s="60">
        <f>G16/SUM(G16:G17)</f>
        <v>0.14477417924144301</v>
      </c>
    </row>
    <row r="23" spans="2:9" x14ac:dyDescent="0.25">
      <c r="B23" s="61" t="s">
        <v>69</v>
      </c>
      <c r="C23" s="62"/>
      <c r="D23" s="62"/>
      <c r="E23" s="62"/>
      <c r="F23" s="62"/>
      <c r="G23" s="63">
        <f>G22*G20+G21*G10*(1-G11)</f>
        <v>4.3196742244683291E-2</v>
      </c>
    </row>
    <row r="25" spans="2:9" x14ac:dyDescent="0.25">
      <c r="B25" s="74" t="s">
        <v>85</v>
      </c>
      <c r="C25" s="73"/>
      <c r="D25" s="73"/>
      <c r="E25" s="73"/>
      <c r="F25" s="73"/>
      <c r="G25" s="73"/>
    </row>
    <row r="26" spans="2:9" x14ac:dyDescent="0.25">
      <c r="B26" t="s">
        <v>86</v>
      </c>
      <c r="F26" s="75"/>
      <c r="G26" s="75">
        <v>8</v>
      </c>
    </row>
    <row r="27" spans="2:9" x14ac:dyDescent="0.25">
      <c r="B27" t="s">
        <v>66</v>
      </c>
      <c r="G27" s="59">
        <v>8.6400000000000005E-2</v>
      </c>
    </row>
    <row r="29" spans="2:9" x14ac:dyDescent="0.25">
      <c r="B29" s="74"/>
      <c r="C29" s="74"/>
      <c r="D29" s="74">
        <v>0</v>
      </c>
      <c r="E29" s="74">
        <v>1</v>
      </c>
      <c r="F29" s="74">
        <v>2</v>
      </c>
      <c r="G29" s="74">
        <v>3</v>
      </c>
      <c r="H29" s="74">
        <v>4</v>
      </c>
      <c r="I29" s="74">
        <v>5</v>
      </c>
    </row>
    <row r="30" spans="2:9" x14ac:dyDescent="0.25">
      <c r="B30" t="s">
        <v>89</v>
      </c>
      <c r="D30" s="76">
        <v>8</v>
      </c>
      <c r="E30" s="76">
        <v>8</v>
      </c>
      <c r="F30" s="75">
        <f>E30*1.02</f>
        <v>8.16</v>
      </c>
      <c r="G30" s="75">
        <f t="shared" ref="G30:I30" si="1">F30*1.02</f>
        <v>8.3231999999999999</v>
      </c>
      <c r="H30" s="75">
        <f t="shared" si="1"/>
        <v>8.4896639999999994</v>
      </c>
      <c r="I30" s="75">
        <f t="shared" si="1"/>
        <v>8.6594572799999998</v>
      </c>
    </row>
    <row r="31" spans="2:9" x14ac:dyDescent="0.25">
      <c r="B31" s="3" t="s">
        <v>66</v>
      </c>
      <c r="C31" s="3"/>
      <c r="D31" s="3"/>
      <c r="E31" s="3"/>
      <c r="F31" s="3"/>
      <c r="G31" s="3"/>
      <c r="H31" s="3"/>
      <c r="I31" s="3"/>
    </row>
    <row r="32" spans="2:9" x14ac:dyDescent="0.25">
      <c r="B32" s="13" t="s">
        <v>90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 and Projections</vt:lpstr>
      <vt:lpstr>Street Estimates</vt:lpstr>
      <vt:lpstr>DCF Model (discarded)</vt:lpstr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2022-08-22T20:50:08Z</dcterms:modified>
</cp:coreProperties>
</file>