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n\Desktop\shashwat\DCF\Dow 30\Amgen\"/>
    </mc:Choice>
  </mc:AlternateContent>
  <xr:revisionPtr revIDLastSave="0" documentId="13_ncr:1_{55B8D6EA-B211-4BC3-BC32-5DC69636E949}" xr6:coauthVersionLast="47" xr6:coauthVersionMax="47" xr10:uidLastSave="{00000000-0000-0000-0000-000000000000}"/>
  <bookViews>
    <workbookView xWindow="-120" yWindow="-120" windowWidth="29040" windowHeight="15840" activeTab="1" xr2:uid="{5A64D7A2-53DB-40AE-A032-E61759EBA28B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G23" i="2"/>
  <c r="G32" i="2"/>
  <c r="G33" i="2"/>
  <c r="H32" i="2"/>
  <c r="H33" i="2"/>
  <c r="I32" i="2"/>
  <c r="I33" i="2"/>
  <c r="J32" i="2"/>
  <c r="J33" i="2"/>
  <c r="K32" i="2"/>
  <c r="K33" i="2"/>
  <c r="K34" i="2"/>
  <c r="F35" i="2"/>
  <c r="F42" i="2"/>
  <c r="F45" i="2"/>
  <c r="F46" i="2"/>
  <c r="O6" i="2"/>
  <c r="O8" i="2"/>
  <c r="G26" i="2"/>
  <c r="G27" i="2"/>
  <c r="G29" i="2"/>
  <c r="K6" i="2"/>
  <c r="K7" i="2"/>
  <c r="K8" i="2"/>
  <c r="K9" i="2"/>
  <c r="K10" i="2"/>
  <c r="K11" i="2"/>
  <c r="L6" i="2"/>
  <c r="L7" i="2"/>
  <c r="L8" i="2"/>
  <c r="L9" i="2"/>
  <c r="L10" i="2"/>
  <c r="L11" i="2"/>
  <c r="M6" i="2"/>
  <c r="M7" i="2"/>
  <c r="M8" i="2"/>
  <c r="M9" i="2"/>
  <c r="M10" i="2"/>
  <c r="M11" i="2"/>
  <c r="N6" i="2"/>
  <c r="N7" i="2"/>
  <c r="N8" i="2"/>
  <c r="N9" i="2"/>
  <c r="N10" i="2"/>
  <c r="N11" i="2"/>
  <c r="O7" i="2"/>
  <c r="O9" i="2"/>
  <c r="O10" i="2"/>
  <c r="O11" i="2"/>
  <c r="J6" i="2"/>
  <c r="J7" i="2"/>
  <c r="J8" i="2"/>
  <c r="J9" i="2"/>
  <c r="J10" i="2"/>
  <c r="J11" i="2"/>
  <c r="U9" i="2"/>
  <c r="T9" i="2"/>
  <c r="S9" i="2"/>
  <c r="R9" i="2"/>
  <c r="Q9" i="2"/>
  <c r="U7" i="2"/>
  <c r="T7" i="2"/>
  <c r="S7" i="2"/>
  <c r="R7" i="2"/>
  <c r="Q7" i="2"/>
  <c r="U6" i="2"/>
  <c r="U8" i="2"/>
  <c r="U10" i="2"/>
  <c r="U11" i="2"/>
  <c r="T6" i="2"/>
  <c r="T8" i="2"/>
  <c r="T10" i="2"/>
  <c r="T11" i="2"/>
  <c r="S6" i="2"/>
  <c r="S8" i="2"/>
  <c r="S10" i="2"/>
  <c r="S11" i="2"/>
  <c r="R6" i="2"/>
  <c r="R8" i="2"/>
  <c r="R10" i="2"/>
  <c r="R11" i="2"/>
  <c r="Q6" i="2"/>
  <c r="Q8" i="2"/>
  <c r="Q10" i="2"/>
  <c r="Q11" i="2"/>
  <c r="N16" i="1"/>
  <c r="M16" i="1"/>
  <c r="L16" i="1"/>
  <c r="K16" i="1"/>
  <c r="J16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<sst xmlns="http://schemas.openxmlformats.org/spreadsheetml/2006/main" count="61" uniqueCount="52">
  <si>
    <t>Income Statement:</t>
  </si>
  <si>
    <t>Projected</t>
  </si>
  <si>
    <t>Historical</t>
  </si>
  <si>
    <t>EBIT:</t>
  </si>
  <si>
    <t>High Consensus</t>
  </si>
  <si>
    <t>Base</t>
  </si>
  <si>
    <t>Conservative</t>
  </si>
  <si>
    <t>Tax:</t>
  </si>
  <si>
    <t>D&amp;A:</t>
  </si>
  <si>
    <t>CapEx</t>
  </si>
  <si>
    <t>NWC:</t>
  </si>
  <si>
    <t>CapEx:</t>
  </si>
  <si>
    <t>Ticker: AMGN</t>
  </si>
  <si>
    <t>Current Price: $248.48</t>
  </si>
  <si>
    <t>D&amp;A</t>
  </si>
  <si>
    <t>Discounted Cash Flow 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</si>
  <si>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</si>
  <si>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</si>
  <si>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</si>
  <si>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</si>
  <si>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</si>
  <si>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</si>
  <si>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</si>
  <si>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</si>
  <si>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</si>
  <si>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</si>
  <si>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</si>
  <si>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</si>
  <si>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</si>
  <si>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NWC</t>
  </si>
  <si>
    <t>FCF</t>
  </si>
  <si>
    <t>WACC</t>
  </si>
  <si>
    <t>Cost of Equity</t>
  </si>
  <si>
    <t>D/D+E</t>
  </si>
  <si>
    <t>E/D+E</t>
  </si>
  <si>
    <t>Discounting</t>
  </si>
  <si>
    <t>Discount Factor</t>
  </si>
  <si>
    <t>PV of FCF</t>
  </si>
  <si>
    <t>PV of TV</t>
  </si>
  <si>
    <t>Enterprise Value</t>
  </si>
  <si>
    <t>Terminal Value</t>
  </si>
  <si>
    <t>EBITDA</t>
  </si>
  <si>
    <t>Perpetuity Growth</t>
  </si>
  <si>
    <t>Average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</si>
  <si>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</si>
  <si>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</si>
  <si>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</si>
  <si>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</si>
  <si>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</si>
  <si>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</si>
  <si>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CAGR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</si>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</sst>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0" xfId="0" applyFont="1"/>
    <xf numFmtId="0" fontId="3" fillId="3" borderId="0" xfId="0" applyFont="1" applyFill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5" xfId="0" applyBorder="1"/>
    <xf numFmtId="0" fontId="3" fillId="0" borderId="2" xfId="0" applyFont="1" applyBorder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0" fillId="0" borderId="6" xfId="0" applyNumberFormat="1" applyBorder="1"/>
    <xf numFmtId="164" fontId="0" fillId="0" borderId="5" xfId="0" applyNumberFormat="1" applyBorder="1"/>
    <xf numFmtId="164" fontId="3" fillId="3" borderId="3" xfId="0" applyNumberFormat="1" applyFont="1" applyFill="1" applyBorder="1"/>
    <xf numFmtId="164" fontId="3" fillId="3" borderId="1" xfId="0" applyNumberFormat="1" applyFont="1" applyFill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1" xfId="0" applyNumberFormat="1" applyBorder="1"/>
    <xf numFmtId="164" fontId="2" fillId="2" borderId="0" xfId="2" applyNumberFormat="1"/>
    <xf numFmtId="164" fontId="2" fillId="2" borderId="1" xfId="2" applyNumberFormat="1" applyBorder="1"/>
    <xf numFmtId="10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0" fontId="0" fillId="0" borderId="1" xfId="1" applyNumberFormat="1" applyFont="1" applyBorder="1"/>
    <xf numFmtId="43" fontId="0" fillId="0" borderId="0" xfId="0" applyNumberFormat="1"/>
    <xf numFmtId="0" fontId="0" fillId="0" borderId="1" xfId="0" applyFont="1" applyFill="1" applyBorder="1"/>
    <xf numFmtId="164" fontId="0" fillId="0" borderId="0" xfId="1" applyNumberFormat="1" applyFont="1"/>
    <xf numFmtId="164" fontId="3" fillId="0" borderId="0" xfId="0" applyNumberFormat="1" applyFont="1"/>
    <xf numFmtId="3" fontId="0" fillId="0" borderId="1" xfId="0" applyNumberFormat="1" applyBorder="1"/>
    <xf numFmtId="10" fontId="3" fillId="0" borderId="0" xfId="0" applyNumberFormat="1" applyFont="1"/>
    <xf numFmtId="43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0BBE-9534-4CE5-BB20-2650490C09BE}">
  <dimension ref="B1:N16"/>
  <sheetViews>
    <sheetView showGridLines="0" workbookViewId="0">
      <selection activeCell="B2" sqref="B2:D3"/>
    </sheetView>
  </sheetViews>
  <sheetFormatPr defaultRowHeight="15" x14ac:dyDescent="0.25"/>
  <cols>
    <col min="10" max="10" width="9.5703125" bestFit="1" customWidth="1"/>
  </cols>
  <sheetData>
    <row r="1" spans="2:14" x14ac:dyDescent="0.25">
      <c r="E1" s="1"/>
      <c r="J1" s="1"/>
    </row>
    <row r="2" spans="2:14" x14ac:dyDescent="0.25">
      <c r="B2" s="5" t="s">
        <v>12</v>
      </c>
      <c r="C2" s="9"/>
      <c r="D2" s="9"/>
      <c r="E2" s="1"/>
      <c r="J2" s="1"/>
    </row>
    <row r="3" spans="2:14" x14ac:dyDescent="0.25">
      <c r="B3" s="5" t="s">
        <v>13</v>
      </c>
      <c r="C3" s="9"/>
      <c r="D3" s="9"/>
      <c r="E3" s="42" t="s">
        <v>2</v>
      </c>
      <c r="F3" s="43"/>
      <c r="G3" s="43"/>
      <c r="H3" s="43"/>
      <c r="I3" s="44"/>
      <c r="J3" s="42" t="s">
        <v>1</v>
      </c>
      <c r="K3" s="43"/>
      <c r="L3" s="43"/>
      <c r="M3" s="43"/>
      <c r="N3" s="43"/>
    </row>
    <row r="4" spans="2:14" x14ac:dyDescent="0.25">
      <c r="E4" s="16"/>
      <c r="F4" s="7"/>
      <c r="G4" s="7"/>
      <c r="H4" s="7"/>
      <c r="I4" s="7"/>
      <c r="J4" s="16">
        <v>1</v>
      </c>
      <c r="K4" s="7">
        <v>2</v>
      </c>
      <c r="L4" s="7">
        <v>3</v>
      </c>
      <c r="M4" s="7">
        <v>4</v>
      </c>
      <c r="N4" s="7">
        <v>5</v>
      </c>
    </row>
    <row r="5" spans="2:14" x14ac:dyDescent="0.25">
      <c r="B5" s="2" t="s">
        <v>0</v>
      </c>
      <c r="C5" s="10"/>
      <c r="D5" s="10"/>
      <c r="E5" s="3">
        <v>2017</v>
      </c>
      <c r="F5" s="2">
        <v>2018</v>
      </c>
      <c r="G5" s="2">
        <v>2019</v>
      </c>
      <c r="H5" s="2">
        <v>2020</v>
      </c>
      <c r="I5" s="2">
        <v>2021</v>
      </c>
      <c r="J5" s="3">
        <v>2022</v>
      </c>
      <c r="K5" s="2">
        <v>2023</v>
      </c>
      <c r="L5" s="2">
        <v>2024</v>
      </c>
      <c r="M5" s="2">
        <v>2025</v>
      </c>
      <c r="N5" s="2">
        <v>2026</v>
      </c>
    </row>
    <row r="6" spans="2:14" x14ac:dyDescent="0.25">
      <c r="B6" t="s">
        <v>3</v>
      </c>
      <c r="E6" s="17">
        <v>10340</v>
      </c>
      <c r="F6" s="18">
        <v>10551</v>
      </c>
      <c r="G6" s="18">
        <v>9740</v>
      </c>
      <c r="H6" s="18">
        <v>9328</v>
      </c>
      <c r="I6" s="18">
        <v>9338</v>
      </c>
      <c r="J6" s="17"/>
      <c r="K6" s="18"/>
      <c r="L6" s="18"/>
      <c r="M6" s="18"/>
      <c r="N6" s="18"/>
    </row>
    <row r="7" spans="2:14" x14ac:dyDescent="0.25">
      <c r="B7" t="s">
        <v>4</v>
      </c>
      <c r="E7" s="17"/>
      <c r="F7" s="18"/>
      <c r="G7" s="18"/>
      <c r="H7" s="18"/>
      <c r="I7" s="18"/>
      <c r="J7" s="17">
        <v>12866</v>
      </c>
      <c r="K7" s="18">
        <v>13724</v>
      </c>
      <c r="L7" s="18">
        <v>16448</v>
      </c>
      <c r="M7" s="18">
        <v>16098</v>
      </c>
      <c r="N7" s="18">
        <v>15956</v>
      </c>
    </row>
    <row r="8" spans="2:14" x14ac:dyDescent="0.25">
      <c r="B8" t="s">
        <v>5</v>
      </c>
      <c r="E8" s="17"/>
      <c r="F8" s="18"/>
      <c r="G8" s="18"/>
      <c r="H8" s="18"/>
      <c r="I8" s="18"/>
      <c r="J8" s="17">
        <v>12483</v>
      </c>
      <c r="K8" s="18">
        <v>12866</v>
      </c>
      <c r="L8" s="18">
        <v>13567</v>
      </c>
      <c r="M8" s="18">
        <v>13714</v>
      </c>
      <c r="N8" s="18">
        <v>13648</v>
      </c>
    </row>
    <row r="9" spans="2:14" x14ac:dyDescent="0.25">
      <c r="B9" s="11" t="s">
        <v>6</v>
      </c>
      <c r="C9" s="11"/>
      <c r="D9" s="11"/>
      <c r="E9" s="19"/>
      <c r="F9" s="20"/>
      <c r="G9" s="20"/>
      <c r="H9" s="20"/>
      <c r="I9" s="20"/>
      <c r="J9" s="19">
        <v>11909</v>
      </c>
      <c r="K9" s="20">
        <v>11922</v>
      </c>
      <c r="L9" s="20">
        <v>11959</v>
      </c>
      <c r="M9" s="20">
        <v>11777</v>
      </c>
      <c r="N9" s="20">
        <v>10166</v>
      </c>
    </row>
    <row r="10" spans="2:14" x14ac:dyDescent="0.25">
      <c r="B10" s="14" t="s">
        <v>7</v>
      </c>
      <c r="C10" s="15"/>
      <c r="D10" s="15"/>
      <c r="E10" s="21">
        <f>79.4%*E6</f>
        <v>8209.9600000000009</v>
      </c>
      <c r="F10" s="22">
        <f>12.1%*F6</f>
        <v>1276.671</v>
      </c>
      <c r="G10" s="22">
        <f>14.2%*G6</f>
        <v>1383.08</v>
      </c>
      <c r="H10" s="22">
        <f>10.7%*H6</f>
        <v>998.096</v>
      </c>
      <c r="I10" s="22">
        <f>12.1%*I6</f>
        <v>1129.8979999999999</v>
      </c>
      <c r="J10" s="21">
        <f>13%*J8</f>
        <v>1622.79</v>
      </c>
      <c r="K10" s="22">
        <f>K8*13%</f>
        <v>1672.5800000000002</v>
      </c>
      <c r="L10" s="22">
        <f t="shared" ref="L10:N10" si="0">L8*13%</f>
        <v>1763.71</v>
      </c>
      <c r="M10" s="22">
        <f t="shared" si="0"/>
        <v>1782.8200000000002</v>
      </c>
      <c r="N10" s="22">
        <f t="shared" si="0"/>
        <v>1774.24</v>
      </c>
    </row>
    <row r="11" spans="2:14" x14ac:dyDescent="0.25">
      <c r="B11" s="13" t="s">
        <v>8</v>
      </c>
      <c r="C11" s="11"/>
      <c r="D11" s="11"/>
      <c r="E11" s="19">
        <v>1904</v>
      </c>
      <c r="F11" s="20">
        <v>1930</v>
      </c>
      <c r="G11" s="20">
        <v>2035</v>
      </c>
      <c r="H11" s="20">
        <v>3440</v>
      </c>
      <c r="I11" s="20">
        <v>3244</v>
      </c>
      <c r="J11" s="19">
        <v>3455</v>
      </c>
      <c r="K11" s="20">
        <v>3287</v>
      </c>
      <c r="L11" s="20">
        <v>2939</v>
      </c>
      <c r="M11" s="20">
        <v>2526</v>
      </c>
      <c r="N11" s="20">
        <v>2157</v>
      </c>
    </row>
    <row r="12" spans="2:14" x14ac:dyDescent="0.25">
      <c r="B12" s="12" t="s">
        <v>11</v>
      </c>
      <c r="E12" s="17">
        <v>664</v>
      </c>
      <c r="F12" s="18">
        <v>738</v>
      </c>
      <c r="G12" s="18">
        <v>618</v>
      </c>
      <c r="H12" s="18">
        <v>608</v>
      </c>
      <c r="I12" s="18">
        <v>880</v>
      </c>
      <c r="J12" s="17"/>
      <c r="K12" s="18"/>
      <c r="L12" s="18"/>
      <c r="M12" s="18"/>
      <c r="N12" s="18"/>
    </row>
    <row r="13" spans="2:14" x14ac:dyDescent="0.25">
      <c r="B13" s="12" t="s">
        <v>4</v>
      </c>
      <c r="E13" s="17"/>
      <c r="F13" s="18"/>
      <c r="G13" s="18"/>
      <c r="H13" s="18"/>
      <c r="I13" s="18"/>
      <c r="J13" s="17">
        <v>954</v>
      </c>
      <c r="K13" s="18">
        <v>1131</v>
      </c>
      <c r="L13" s="18">
        <v>1223</v>
      </c>
      <c r="M13" s="18">
        <v>1315</v>
      </c>
      <c r="N13" s="18">
        <v>1390</v>
      </c>
    </row>
    <row r="14" spans="2:14" x14ac:dyDescent="0.25">
      <c r="B14" s="12" t="s">
        <v>5</v>
      </c>
      <c r="E14" s="17"/>
      <c r="F14" s="18"/>
      <c r="G14" s="18"/>
      <c r="H14" s="18"/>
      <c r="I14" s="18"/>
      <c r="J14" s="17">
        <v>932</v>
      </c>
      <c r="K14" s="18">
        <v>881</v>
      </c>
      <c r="L14" s="18">
        <v>908</v>
      </c>
      <c r="M14" s="18">
        <v>907</v>
      </c>
      <c r="N14" s="18">
        <v>988</v>
      </c>
    </row>
    <row r="15" spans="2:14" x14ac:dyDescent="0.25">
      <c r="B15" s="13" t="s">
        <v>6</v>
      </c>
      <c r="C15" s="11"/>
      <c r="D15" s="11"/>
      <c r="E15" s="19"/>
      <c r="F15" s="20"/>
      <c r="G15" s="20"/>
      <c r="H15" s="20"/>
      <c r="I15" s="20"/>
      <c r="J15" s="19">
        <v>895</v>
      </c>
      <c r="K15" s="20">
        <v>600</v>
      </c>
      <c r="L15" s="20">
        <v>600</v>
      </c>
      <c r="M15" s="20">
        <v>600</v>
      </c>
      <c r="N15" s="20">
        <v>745</v>
      </c>
    </row>
    <row r="16" spans="2:14" x14ac:dyDescent="0.25">
      <c r="B16" s="12" t="s">
        <v>10</v>
      </c>
      <c r="E16" s="17">
        <v>70</v>
      </c>
      <c r="F16" s="18">
        <v>755</v>
      </c>
      <c r="G16" s="18">
        <v>213</v>
      </c>
      <c r="H16" s="18">
        <v>912</v>
      </c>
      <c r="I16" s="18">
        <v>604</v>
      </c>
      <c r="J16" s="17">
        <f>-(0.8%*I16)+I16</f>
        <v>599.16800000000001</v>
      </c>
      <c r="K16" s="18">
        <f>-(3.8%*J16)+J16</f>
        <v>576.39961600000004</v>
      </c>
      <c r="L16" s="18">
        <f>-(3.9%*K16)+K16</f>
        <v>553.92003097600002</v>
      </c>
      <c r="M16" s="18">
        <f>-(2.4%*L16)+L16</f>
        <v>540.62595023257597</v>
      </c>
      <c r="N16" s="18">
        <f>-(0.9%*M16)+M16</f>
        <v>535.76031668048279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2B78-1311-41BA-8B77-E57E89FD7212}">
  <dimension ref="B2:U47"/>
  <sheetViews>
    <sheetView showGridLines="0" tabSelected="1" topLeftCell="A10" workbookViewId="0">
      <selection activeCell="I35" sqref="I35"/>
    </sheetView>
  </sheetViews>
  <sheetFormatPr defaultRowHeight="15" x14ac:dyDescent="0.25"/>
  <cols>
    <col min="6" max="6" width="10.5703125" bestFit="1" customWidth="1"/>
    <col min="7" max="7" width="15.28515625" bestFit="1" customWidth="1"/>
  </cols>
  <sheetData>
    <row r="2" spans="2:21" x14ac:dyDescent="0.25">
      <c r="B2" s="5" t="s">
        <v>12</v>
      </c>
      <c r="C2" s="9"/>
      <c r="D2" s="9"/>
    </row>
    <row r="3" spans="2:21" x14ac:dyDescent="0.25">
      <c r="B3" s="5" t="s">
        <v>13</v>
      </c>
      <c r="C3" s="9"/>
      <c r="D3" s="9"/>
    </row>
    <row r="5" spans="2:21" x14ac:dyDescent="0.25">
      <c r="B5" s="45" t="s">
        <v>15</v>
      </c>
      <c r="C5" s="45"/>
      <c r="D5" s="45"/>
      <c r="E5" s="45"/>
      <c r="F5" s="45"/>
      <c r="G5" s="45"/>
      <c r="I5" s="2" t="s">
        <v>26</v>
      </c>
      <c r="J5" s="23">
        <v>0</v>
      </c>
      <c r="K5" s="24">
        <v>1</v>
      </c>
      <c r="L5" s="24">
        <v>2</v>
      </c>
      <c r="M5" s="24">
        <v>3</v>
      </c>
      <c r="N5" s="24">
        <v>4</v>
      </c>
      <c r="O5" s="24">
        <v>5</v>
      </c>
      <c r="Q5" s="9">
        <v>2017</v>
      </c>
      <c r="R5" s="9">
        <v>2018</v>
      </c>
      <c r="S5" s="9">
        <v>2019</v>
      </c>
      <c r="T5" s="9">
        <v>2020</v>
      </c>
      <c r="U5" s="9">
        <v>2021</v>
      </c>
    </row>
    <row r="6" spans="2:21" x14ac:dyDescent="0.25">
      <c r="I6" s="4" t="s">
        <v>27</v>
      </c>
      <c r="J6" s="25">
        <f>'Street Estimates'!I6</f>
        <v>9338</v>
      </c>
      <c r="K6" s="26">
        <f>'Street Estimates'!J8</f>
        <v>12483</v>
      </c>
      <c r="L6" s="26">
        <f>'Street Estimates'!K8</f>
        <v>12866</v>
      </c>
      <c r="M6" s="26">
        <f>'Street Estimates'!L8</f>
        <v>13567</v>
      </c>
      <c r="N6" s="26">
        <f>'Street Estimates'!M8</f>
        <v>13714</v>
      </c>
      <c r="O6" s="26">
        <f>'Street Estimates'!N8</f>
        <v>13648</v>
      </c>
      <c r="Q6" s="26">
        <f>'Street Estimates'!E6</f>
        <v>10340</v>
      </c>
      <c r="R6" s="26">
        <f>'Street Estimates'!F6</f>
        <v>10551</v>
      </c>
      <c r="S6" s="26">
        <f>'Street Estimates'!G6</f>
        <v>9740</v>
      </c>
      <c r="T6" s="26">
        <f>'Street Estimates'!H6</f>
        <v>9328</v>
      </c>
      <c r="U6" s="26">
        <f>'Street Estimates'!I6</f>
        <v>9338</v>
      </c>
    </row>
    <row r="7" spans="2:21" x14ac:dyDescent="0.25">
      <c r="B7" s="11" t="s">
        <v>16</v>
      </c>
      <c r="C7" s="11"/>
      <c r="D7" s="11"/>
      <c r="E7" s="11"/>
      <c r="F7" s="11"/>
      <c r="G7" s="11"/>
      <c r="I7" t="s">
        <v>28</v>
      </c>
      <c r="J7" s="25">
        <f>-'Street Estimates'!I10</f>
        <v>-1129.8979999999999</v>
      </c>
      <c r="K7" s="26">
        <f>-'Street Estimates'!J10</f>
        <v>-1622.79</v>
      </c>
      <c r="L7" s="26">
        <f>-'Street Estimates'!K10</f>
        <v>-1672.5800000000002</v>
      </c>
      <c r="M7" s="26">
        <f>-'Street Estimates'!L10</f>
        <v>-1763.71</v>
      </c>
      <c r="N7" s="26">
        <f>-'Street Estimates'!M10</f>
        <v>-1782.8200000000002</v>
      </c>
      <c r="O7" s="26">
        <f>-'Street Estimates'!N10</f>
        <v>-1774.24</v>
      </c>
      <c r="Q7" s="26">
        <f>-'Street Estimates'!E10</f>
        <v>-8209.9600000000009</v>
      </c>
      <c r="R7" s="26">
        <f>-'Street Estimates'!F10</f>
        <v>-1276.671</v>
      </c>
      <c r="S7" s="26">
        <f>-'Street Estimates'!G10</f>
        <v>-1383.08</v>
      </c>
      <c r="T7" s="26">
        <f>-'Street Estimates'!H10</f>
        <v>-998.096</v>
      </c>
      <c r="U7" s="26">
        <f>-'Street Estimates'!I10</f>
        <v>-1129.8979999999999</v>
      </c>
    </row>
    <row r="8" spans="2:21" x14ac:dyDescent="0.25">
      <c r="B8" t="s">
        <v>17</v>
      </c>
      <c r="G8" s="31">
        <v>3.9699999999999999E-2</v>
      </c>
      <c r="I8" t="s">
        <v>14</v>
      </c>
      <c r="J8" s="25">
        <f>'Street Estimates'!I11</f>
        <v>3244</v>
      </c>
      <c r="K8" s="26">
        <f>'Street Estimates'!J11</f>
        <v>3455</v>
      </c>
      <c r="L8" s="26">
        <f>'Street Estimates'!K11</f>
        <v>3287</v>
      </c>
      <c r="M8" s="26">
        <f>'Street Estimates'!L11</f>
        <v>2939</v>
      </c>
      <c r="N8" s="26">
        <f>'Street Estimates'!M11</f>
        <v>2526</v>
      </c>
      <c r="O8" s="26">
        <f>'Street Estimates'!N11</f>
        <v>2157</v>
      </c>
      <c r="Q8" s="26">
        <f>'Street Estimates'!E11</f>
        <v>1904</v>
      </c>
      <c r="R8" s="26">
        <f>'Street Estimates'!F11</f>
        <v>1930</v>
      </c>
      <c r="S8" s="26">
        <f>'Street Estimates'!G11</f>
        <v>2035</v>
      </c>
      <c r="T8" s="26">
        <f>'Street Estimates'!H11</f>
        <v>3440</v>
      </c>
      <c r="U8" s="26">
        <f>'Street Estimates'!I11</f>
        <v>3244</v>
      </c>
    </row>
    <row r="9" spans="2:21" x14ac:dyDescent="0.25">
      <c r="B9" t="s">
        <v>18</v>
      </c>
      <c r="G9">
        <v>12.4</v>
      </c>
      <c r="I9" t="s">
        <v>9</v>
      </c>
      <c r="J9" s="25">
        <f>-'Street Estimates'!I12</f>
        <v>-880</v>
      </c>
      <c r="K9" s="26">
        <f>-'Street Estimates'!J14</f>
        <v>-932</v>
      </c>
      <c r="L9" s="26">
        <f>-'Street Estimates'!K14</f>
        <v>-881</v>
      </c>
      <c r="M9" s="26">
        <f>-'Street Estimates'!L14</f>
        <v>-908</v>
      </c>
      <c r="N9" s="26">
        <f>-'Street Estimates'!M14</f>
        <v>-907</v>
      </c>
      <c r="O9" s="26">
        <f>-'Street Estimates'!N14</f>
        <v>-988</v>
      </c>
      <c r="Q9" s="26">
        <f>-'Street Estimates'!E12</f>
        <v>-664</v>
      </c>
      <c r="R9" s="26">
        <f>-'Street Estimates'!F12</f>
        <v>-738</v>
      </c>
      <c r="S9" s="26">
        <f>-'Street Estimates'!G12</f>
        <v>-618</v>
      </c>
      <c r="T9" s="26">
        <f>-'Street Estimates'!H12</f>
        <v>-608</v>
      </c>
      <c r="U9" s="26">
        <f>-'Street Estimates'!I12</f>
        <v>-880</v>
      </c>
    </row>
    <row r="10" spans="2:21" x14ac:dyDescent="0.25">
      <c r="B10" t="s">
        <v>19</v>
      </c>
      <c r="G10" s="31">
        <v>3.2800000000000003E-2</v>
      </c>
      <c r="I10" s="11" t="s">
        <v>29</v>
      </c>
      <c r="J10" s="27">
        <f>'Street Estimates'!I16</f>
        <v>604</v>
      </c>
      <c r="K10" s="28">
        <f>'Street Estimates'!J16</f>
        <v>599.16800000000001</v>
      </c>
      <c r="L10" s="28">
        <f>'Street Estimates'!K16</f>
        <v>576.39961600000004</v>
      </c>
      <c r="M10" s="28">
        <f>'Street Estimates'!L16</f>
        <v>553.92003097600002</v>
      </c>
      <c r="N10" s="28">
        <f>'Street Estimates'!M16</f>
        <v>540.62595023257597</v>
      </c>
      <c r="O10" s="28">
        <f>'Street Estimates'!N16</f>
        <v>535.76031668048279</v>
      </c>
      <c r="Q10" s="28">
        <f>'Street Estimates'!E16</f>
        <v>70</v>
      </c>
      <c r="R10" s="28">
        <f>'Street Estimates'!F16</f>
        <v>755</v>
      </c>
      <c r="S10" s="28">
        <f>'Street Estimates'!G16</f>
        <v>213</v>
      </c>
      <c r="T10" s="28">
        <f>'Street Estimates'!H16</f>
        <v>912</v>
      </c>
      <c r="U10" s="28">
        <f>'Street Estimates'!I16</f>
        <v>604</v>
      </c>
    </row>
    <row r="11" spans="2:21" x14ac:dyDescent="0.25">
      <c r="B11" t="s">
        <v>20</v>
      </c>
      <c r="G11" s="31">
        <v>0.13</v>
      </c>
      <c r="I11" s="7" t="s">
        <v>30</v>
      </c>
      <c r="J11" s="25">
        <f>SUM(J6:J10)</f>
        <v>11176.102000000001</v>
      </c>
      <c r="K11" s="26">
        <f>SUM(K6:K10)</f>
        <v>13982.377999999999</v>
      </c>
      <c r="L11" s="26">
        <f t="shared" ref="L11:O11" si="0">SUM(L6:L10)</f>
        <v>14175.819616000001</v>
      </c>
      <c r="M11" s="26">
        <f t="shared" si="0"/>
        <v>14388.210030976001</v>
      </c>
      <c r="N11" s="26">
        <f t="shared" si="0"/>
        <v>14090.805950232576</v>
      </c>
      <c r="O11" s="26">
        <f t="shared" si="0"/>
        <v>13578.520316680482</v>
      </c>
      <c r="Q11" s="29">
        <f>SUM(Q6:Q10)</f>
        <v>3440.0399999999991</v>
      </c>
      <c r="R11" s="26">
        <f t="shared" ref="R11:U11" si="1">SUM(R6:R10)</f>
        <v>11221.329</v>
      </c>
      <c r="S11" s="26">
        <f t="shared" si="1"/>
        <v>9986.92</v>
      </c>
      <c r="T11" s="26">
        <f t="shared" si="1"/>
        <v>12073.904</v>
      </c>
      <c r="U11" s="26">
        <f t="shared" si="1"/>
        <v>11176.102000000001</v>
      </c>
    </row>
    <row r="12" spans="2:21" x14ac:dyDescent="0.25">
      <c r="B12" t="s">
        <v>21</v>
      </c>
      <c r="G12" s="31">
        <v>3.0800000000000001E-2</v>
      </c>
    </row>
    <row r="14" spans="2:21" x14ac:dyDescent="0.25">
      <c r="B14" t="s">
        <v>22</v>
      </c>
      <c r="G14">
        <v>0.57999999999999996</v>
      </c>
    </row>
    <row r="15" spans="2:21" x14ac:dyDescent="0.25">
      <c r="B15" t="s">
        <v>23</v>
      </c>
      <c r="G15" s="31">
        <v>1.6799999999999999E-2</v>
      </c>
    </row>
    <row r="16" spans="2:21" x14ac:dyDescent="0.25">
      <c r="B16" t="s">
        <v>24</v>
      </c>
      <c r="G16" s="32">
        <v>6700</v>
      </c>
    </row>
    <row r="17" spans="2:11" x14ac:dyDescent="0.25">
      <c r="B17" t="s">
        <v>25</v>
      </c>
      <c r="G17" s="32">
        <v>33979</v>
      </c>
    </row>
    <row r="19" spans="2:11" x14ac:dyDescent="0.25">
      <c r="B19" s="2" t="s">
        <v>31</v>
      </c>
      <c r="C19" s="10"/>
      <c r="D19" s="10"/>
      <c r="E19" s="10"/>
      <c r="F19" s="10"/>
      <c r="G19" s="10"/>
    </row>
    <row r="20" spans="2:11" x14ac:dyDescent="0.25">
      <c r="B20" t="s">
        <v>32</v>
      </c>
      <c r="G20" s="31">
        <f>G12+G14*(G15-G12)</f>
        <v>2.2679999999999999E-2</v>
      </c>
    </row>
    <row r="21" spans="2:11" x14ac:dyDescent="0.25">
      <c r="B21" t="s">
        <v>33</v>
      </c>
      <c r="G21" s="33">
        <f>G17/SUM(G16:G17)</f>
        <v>0.8352958528970722</v>
      </c>
    </row>
    <row r="22" spans="2:11" x14ac:dyDescent="0.25">
      <c r="B22" s="11" t="s">
        <v>34</v>
      </c>
      <c r="C22" s="11"/>
      <c r="D22" s="11"/>
      <c r="E22" s="11"/>
      <c r="F22" s="11"/>
      <c r="G22" s="34">
        <f>G16/SUM(G16:G17)</f>
        <v>0.1647041471029278</v>
      </c>
    </row>
    <row r="23" spans="2:11" x14ac:dyDescent="0.25">
      <c r="B23" s="8" t="s">
        <v>31</v>
      </c>
      <c r="G23" s="31">
        <f>G22*G20+G21*G10*(1-G11)</f>
        <v>2.7571492514565255E-2</v>
      </c>
    </row>
    <row r="24" spans="2:11" x14ac:dyDescent="0.25">
      <c r="B24" s="8"/>
      <c r="G24" s="31"/>
    </row>
    <row r="25" spans="2:11" x14ac:dyDescent="0.25">
      <c r="B25" s="2" t="s">
        <v>40</v>
      </c>
      <c r="C25" s="10"/>
      <c r="D25" s="10"/>
      <c r="E25" s="10"/>
      <c r="F25" s="10"/>
      <c r="G25" s="10"/>
    </row>
    <row r="26" spans="2:11" x14ac:dyDescent="0.25">
      <c r="B26" s="6" t="s">
        <v>41</v>
      </c>
      <c r="G26" s="26">
        <f>O6+O8</f>
        <v>15805</v>
      </c>
    </row>
    <row r="27" spans="2:11" x14ac:dyDescent="0.25">
      <c r="B27" s="6" t="s">
        <v>18</v>
      </c>
      <c r="G27" s="37">
        <f>G26*G9</f>
        <v>195982</v>
      </c>
    </row>
    <row r="28" spans="2:11" x14ac:dyDescent="0.25">
      <c r="B28" s="36" t="s">
        <v>42</v>
      </c>
      <c r="C28" s="11"/>
      <c r="D28" s="11"/>
      <c r="E28" s="11"/>
      <c r="F28" s="11"/>
      <c r="G28" s="30">
        <v>360336</v>
      </c>
    </row>
    <row r="29" spans="2:11" x14ac:dyDescent="0.25">
      <c r="B29" s="8" t="s">
        <v>43</v>
      </c>
      <c r="G29" s="26">
        <f>AVERAGE(G27:G28)</f>
        <v>278159</v>
      </c>
    </row>
    <row r="31" spans="2:11" x14ac:dyDescent="0.25">
      <c r="B31" s="2" t="s">
        <v>35</v>
      </c>
      <c r="C31" s="10"/>
      <c r="D31" s="10"/>
      <c r="E31" s="10"/>
      <c r="F31" s="10"/>
      <c r="G31" s="2">
        <v>1</v>
      </c>
      <c r="H31" s="2">
        <v>2</v>
      </c>
      <c r="I31" s="2">
        <v>3</v>
      </c>
      <c r="J31" s="2">
        <v>4</v>
      </c>
      <c r="K31" s="2">
        <v>5</v>
      </c>
    </row>
    <row r="32" spans="2:11" x14ac:dyDescent="0.25">
      <c r="B32" t="s">
        <v>36</v>
      </c>
      <c r="G32" s="35">
        <f>1/(1+$G$23)^K5</f>
        <v>0.97316829756818668</v>
      </c>
      <c r="H32" s="35">
        <f t="shared" ref="H32:K32" si="2">1/(1+$G$23)^L5</f>
        <v>0.94705653539176271</v>
      </c>
      <c r="I32" s="35">
        <f t="shared" si="2"/>
        <v>0.92164539624802688</v>
      </c>
      <c r="J32" s="35">
        <f t="shared" si="2"/>
        <v>0.89691608122824906</v>
      </c>
      <c r="K32" s="35">
        <f t="shared" si="2"/>
        <v>0.87285029583042451</v>
      </c>
    </row>
    <row r="33" spans="2:11" x14ac:dyDescent="0.25">
      <c r="B33" t="s">
        <v>37</v>
      </c>
      <c r="G33" s="26">
        <f>K11*G32</f>
        <v>13607.206994214866</v>
      </c>
      <c r="H33" s="26">
        <f t="shared" ref="H33:K33" si="3">L11*H32</f>
        <v>13425.302611867548</v>
      </c>
      <c r="I33" s="26">
        <f t="shared" si="3"/>
        <v>13260.827535298711</v>
      </c>
      <c r="J33" s="26">
        <f t="shared" si="3"/>
        <v>12638.270454230296</v>
      </c>
      <c r="K33" s="26">
        <f t="shared" si="3"/>
        <v>11852.015475353988</v>
      </c>
    </row>
    <row r="34" spans="2:11" x14ac:dyDescent="0.25">
      <c r="B34" s="11" t="s">
        <v>38</v>
      </c>
      <c r="C34" s="11"/>
      <c r="D34" s="11"/>
      <c r="E34" s="11"/>
      <c r="F34" s="11"/>
      <c r="K34">
        <f>K32*G29</f>
        <v>242791.16543789505</v>
      </c>
    </row>
    <row r="35" spans="2:11" x14ac:dyDescent="0.25">
      <c r="B35" s="7" t="s">
        <v>39</v>
      </c>
      <c r="F35" s="38">
        <f>SUM(G33:K34)</f>
        <v>307574.78850886045</v>
      </c>
    </row>
    <row r="37" spans="2:11" x14ac:dyDescent="0.25">
      <c r="B37" s="2" t="s">
        <v>44</v>
      </c>
      <c r="C37" s="10"/>
      <c r="D37" s="10"/>
      <c r="E37" s="10"/>
      <c r="F37" s="10"/>
    </row>
    <row r="38" spans="2:11" x14ac:dyDescent="0.25">
      <c r="B38" t="s">
        <v>45</v>
      </c>
      <c r="F38" s="32">
        <v>6528</v>
      </c>
    </row>
    <row r="39" spans="2:11" x14ac:dyDescent="0.25">
      <c r="B39" t="s">
        <v>46</v>
      </c>
    </row>
    <row r="40" spans="2:11" x14ac:dyDescent="0.25">
      <c r="B40" t="s">
        <v>47</v>
      </c>
      <c r="F40">
        <v>844</v>
      </c>
    </row>
    <row r="41" spans="2:11" x14ac:dyDescent="0.25">
      <c r="B41" s="11" t="s">
        <v>48</v>
      </c>
      <c r="C41" s="11"/>
      <c r="D41" s="11"/>
      <c r="E41" s="11"/>
      <c r="F41" s="39">
        <v>36010</v>
      </c>
    </row>
    <row r="42" spans="2:11" x14ac:dyDescent="0.25">
      <c r="B42" s="7" t="s">
        <v>24</v>
      </c>
      <c r="F42" s="38">
        <f>F35+F38-F41-F40</f>
        <v>277248.78850886045</v>
      </c>
    </row>
    <row r="44" spans="2:11" x14ac:dyDescent="0.25">
      <c r="B44" s="11" t="s">
        <v>49</v>
      </c>
      <c r="C44" s="11"/>
      <c r="D44" s="11"/>
      <c r="E44" s="11"/>
      <c r="F44" s="11">
        <v>534.20000000000005</v>
      </c>
    </row>
    <row r="45" spans="2:11" x14ac:dyDescent="0.25">
      <c r="B45" s="8" t="s">
        <v>24</v>
      </c>
      <c r="F45" s="41">
        <f>F42/F44</f>
        <v>518.99810653100042</v>
      </c>
    </row>
    <row r="46" spans="2:11" x14ac:dyDescent="0.25">
      <c r="B46" s="8" t="s">
        <v>51</v>
      </c>
      <c r="F46" s="41">
        <f>F45-248.48</f>
        <v>270.5181065310004</v>
      </c>
    </row>
    <row r="47" spans="2:11" x14ac:dyDescent="0.25">
      <c r="B47" s="8" t="s">
        <v>50</v>
      </c>
      <c r="F47" s="40">
        <v>9.7699999999999995E-2</v>
      </c>
    </row>
  </sheetData>
  <mergeCells count="1">
    <mergeCell ref="B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bogdan</cp:lastModifiedBy>
  <dcterms:created xsi:type="dcterms:W3CDTF">2022-07-10T01:50:10Z</dcterms:created>
  <dcterms:modified xsi:type="dcterms:W3CDTF">2022-07-19T14:56:31Z</dcterms:modified>
</cp:coreProperties>
</file>