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shwat Sharma\Documents\Dow Valuation\Dow 30\Chevron\"/>
    </mc:Choice>
  </mc:AlternateContent>
  <xr:revisionPtr revIDLastSave="0" documentId="13_ncr:1_{08DF1FB2-80CF-4DB3-B3D7-3475280EAC6B}" xr6:coauthVersionLast="47" xr6:coauthVersionMax="47" xr10:uidLastSave="{00000000-0000-0000-0000-000000000000}"/>
  <bookViews>
    <workbookView xWindow="23880" yWindow="-7830" windowWidth="24240" windowHeight="18240" activeTab="2" xr2:uid="{3EEBB45A-3BF4-46FA-BF01-31D91672856F}"/>
  </bookViews>
  <sheets>
    <sheet name="Historical, Street Estimates" sheetId="1" r:id="rId1"/>
    <sheet name="DCF Model" sheetId="2" r:id="rId2"/>
    <sheet name="Historical Estimat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" i="3" l="1"/>
  <c r="O9" i="2" l="1"/>
  <c r="N9" i="2"/>
  <c r="M9" i="2"/>
  <c r="L9" i="2"/>
  <c r="O8" i="2"/>
  <c r="N8" i="2"/>
  <c r="M8" i="2"/>
  <c r="L8" i="2"/>
  <c r="O6" i="2"/>
  <c r="G26" i="2" s="1"/>
  <c r="G27" i="2" s="1"/>
  <c r="N6" i="2"/>
  <c r="M6" i="2"/>
  <c r="L6" i="2"/>
  <c r="K9" i="2"/>
  <c r="K8" i="2"/>
  <c r="K6" i="2"/>
  <c r="J9" i="2"/>
  <c r="J7" i="2"/>
  <c r="J10" i="2"/>
  <c r="J8" i="2"/>
  <c r="J6" i="2"/>
  <c r="J59" i="1"/>
  <c r="K59" i="1" s="1"/>
  <c r="L59" i="1" s="1"/>
  <c r="M59" i="1" s="1"/>
  <c r="N59" i="1" s="1"/>
  <c r="O10" i="2" s="1"/>
  <c r="N53" i="1"/>
  <c r="O7" i="2" s="1"/>
  <c r="M53" i="1"/>
  <c r="N7" i="2" s="1"/>
  <c r="L53" i="1"/>
  <c r="M7" i="2" s="1"/>
  <c r="K53" i="1"/>
  <c r="L7" i="2" s="1"/>
  <c r="J53" i="1"/>
  <c r="K7" i="2" s="1"/>
  <c r="F53" i="1"/>
  <c r="E53" i="1"/>
  <c r="K32" i="2"/>
  <c r="J32" i="2"/>
  <c r="I32" i="2"/>
  <c r="H32" i="2"/>
  <c r="G32" i="2"/>
  <c r="G23" i="2"/>
  <c r="G22" i="2"/>
  <c r="G21" i="2"/>
  <c r="G20" i="2"/>
  <c r="L10" i="2" l="1"/>
  <c r="K10" i="2"/>
  <c r="K11" i="2" s="1"/>
  <c r="G33" i="2" s="1"/>
  <c r="M10" i="2"/>
  <c r="M11" i="2" s="1"/>
  <c r="I33" i="2" s="1"/>
  <c r="N10" i="2"/>
  <c r="N11" i="2" s="1"/>
  <c r="J33" i="2" s="1"/>
  <c r="J11" i="2"/>
  <c r="L11" i="2"/>
  <c r="H33" i="2" s="1"/>
  <c r="O11" i="2"/>
  <c r="K33" i="2" l="1"/>
  <c r="G28" i="2"/>
  <c r="G29" i="2" s="1"/>
  <c r="K34" i="2" s="1"/>
  <c r="F35" i="2" l="1"/>
  <c r="F42" i="2" s="1"/>
  <c r="F45" i="2" s="1"/>
</calcChain>
</file>

<file path=xl/sharedStrings.xml><?xml version="1.0" encoding="utf-8"?>
<sst xmlns="http://schemas.openxmlformats.org/spreadsheetml/2006/main" count="99" uniqueCount="87">
  <si>
    <t>Ticker: CVX</t>
  </si>
  <si>
    <t>EBIT:</t>
  </si>
  <si>
    <t>High Consensus</t>
  </si>
  <si>
    <t>Base</t>
  </si>
  <si>
    <t>Conservative</t>
  </si>
  <si>
    <t>Tax:</t>
  </si>
  <si>
    <t>D&amp;A:</t>
  </si>
  <si>
    <t>CapEx:</t>
  </si>
  <si>
    <t>NWC:</t>
  </si>
  <si>
    <t>Projected</t>
  </si>
  <si>
    <t>Historical</t>
  </si>
  <si>
    <t>Operating Expense</t>
  </si>
  <si>
    <t>Operating Income</t>
  </si>
  <si>
    <t>Net Interest Expenses</t>
  </si>
  <si>
    <t>EBT, Incl. Unusual Items</t>
  </si>
  <si>
    <t>Income Tax Expense</t>
  </si>
  <si>
    <t>Net Income to Company</t>
  </si>
  <si>
    <t>Net Income to Stockholders</t>
  </si>
  <si>
    <t>Preferred Dividends</t>
  </si>
  <si>
    <t>Net Income to Extra Items</t>
  </si>
  <si>
    <t>Basic EPS</t>
  </si>
  <si>
    <t>Diluted EPS</t>
  </si>
  <si>
    <t>EBITDA</t>
  </si>
  <si>
    <t>Discounted Cash Flow Model</t>
  </si>
  <si>
    <t>Assumptions:</t>
  </si>
  <si>
    <t>Growth Rate</t>
  </si>
  <si>
    <t>EV / EBITDA</t>
  </si>
  <si>
    <t>Cost of Debt</t>
  </si>
  <si>
    <t>Tax Rate</t>
  </si>
  <si>
    <t>Risk Free Rate</t>
  </si>
  <si>
    <t>Beta</t>
  </si>
  <si>
    <t>Market Return</t>
  </si>
  <si>
    <t>Equity Value</t>
  </si>
  <si>
    <t>Debt Value</t>
  </si>
  <si>
    <t>Period</t>
  </si>
  <si>
    <t>EBIT</t>
  </si>
  <si>
    <t>Tax</t>
  </si>
  <si>
    <t>D&amp;A</t>
  </si>
  <si>
    <t>CapEx</t>
  </si>
  <si>
    <t>NWC</t>
  </si>
  <si>
    <t>FCF</t>
  </si>
  <si>
    <t>Cash From Operations</t>
  </si>
  <si>
    <t>Deferred Income Tax</t>
  </si>
  <si>
    <t>Changes in Working Capital</t>
  </si>
  <si>
    <t>Accounts Receivable</t>
  </si>
  <si>
    <t>Inventory</t>
  </si>
  <si>
    <t>Accounts Payable</t>
  </si>
  <si>
    <t>Other Working Capital</t>
  </si>
  <si>
    <t>Other Non-Cash Items</t>
  </si>
  <si>
    <t>Cash From Investing</t>
  </si>
  <si>
    <t>Investments in Equipment</t>
  </si>
  <si>
    <t>Acquisitions</t>
  </si>
  <si>
    <t>Purchase of Investments</t>
  </si>
  <si>
    <t>Sales Maturities of Investments</t>
  </si>
  <si>
    <t>Other Investing Activities</t>
  </si>
  <si>
    <t>Cash From Financing Activities</t>
  </si>
  <si>
    <t>Debt Repayment</t>
  </si>
  <si>
    <t>Common Stock Repurchased</t>
  </si>
  <si>
    <t>Dividends Paid</t>
  </si>
  <si>
    <t>Other Financing Activities</t>
  </si>
  <si>
    <t>(in Millions)</t>
  </si>
  <si>
    <t>WACC</t>
  </si>
  <si>
    <t>Cost of Equity</t>
  </si>
  <si>
    <t>D/D+E</t>
  </si>
  <si>
    <t>E/D+E</t>
  </si>
  <si>
    <t>Terminal Value</t>
  </si>
  <si>
    <t>Pereptuity Growth</t>
  </si>
  <si>
    <t>Average</t>
  </si>
  <si>
    <t>Discounting</t>
  </si>
  <si>
    <t>Discount Factor</t>
  </si>
  <si>
    <t>PV of TV</t>
  </si>
  <si>
    <t>PV of FCF</t>
  </si>
  <si>
    <t>Enterprise Value</t>
  </si>
  <si>
    <t>Enterprise Value to Equity Value</t>
  </si>
  <si>
    <t>Cash</t>
  </si>
  <si>
    <t>Marketable Securities</t>
  </si>
  <si>
    <t>Short-Term Debt</t>
  </si>
  <si>
    <t>Long-Term Debt</t>
  </si>
  <si>
    <t>Shares Outstanding</t>
  </si>
  <si>
    <t>Downside</t>
  </si>
  <si>
    <t>Current Price: $150.39</t>
  </si>
  <si>
    <t>CAGR</t>
  </si>
  <si>
    <t>Revenue</t>
  </si>
  <si>
    <t>Revenue Growth y/y</t>
  </si>
  <si>
    <t>Current Price</t>
  </si>
  <si>
    <t>Intrinsic Value</t>
  </si>
  <si>
    <t>Upside/Downside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</si>
</sst>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_-* #,##0_-;\(#,##0\)_-;_-* &quot;-&quot;_-;_-@_-"/>
    <numFmt numFmtId="166" formatCode="0.0%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2805FB"/>
      <name val="Calibri"/>
      <family val="2"/>
      <scheme val="minor"/>
    </font>
    <font>
      <sz val="11"/>
      <color rgb="FF0070C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65">
    <xf numFmtId="0" fontId="0" fillId="0" borderId="0" xfId="0"/>
    <xf numFmtId="0" fontId="0" fillId="2" borderId="0" xfId="0" applyFill="1"/>
    <xf numFmtId="0" fontId="1" fillId="2" borderId="0" xfId="0" applyFont="1" applyFill="1"/>
    <xf numFmtId="0" fontId="0" fillId="0" borderId="1" xfId="0" applyBorder="1"/>
    <xf numFmtId="0" fontId="1" fillId="2" borderId="2" xfId="0" applyFont="1" applyFill="1" applyBorder="1"/>
    <xf numFmtId="0" fontId="0" fillId="2" borderId="2" xfId="0" applyFill="1" applyBorder="1"/>
    <xf numFmtId="0" fontId="0" fillId="0" borderId="4" xfId="0" applyBorder="1"/>
    <xf numFmtId="0" fontId="0" fillId="0" borderId="6" xfId="0" applyBorder="1"/>
    <xf numFmtId="0" fontId="1" fillId="0" borderId="0" xfId="0" applyFont="1"/>
    <xf numFmtId="164" fontId="1" fillId="0" borderId="1" xfId="0" applyNumberFormat="1" applyFont="1" applyBorder="1"/>
    <xf numFmtId="164" fontId="1" fillId="0" borderId="0" xfId="0" applyNumberFormat="1" applyFont="1"/>
    <xf numFmtId="164" fontId="0" fillId="0" borderId="0" xfId="0" applyNumberFormat="1"/>
    <xf numFmtId="164" fontId="0" fillId="0" borderId="7" xfId="0" applyNumberFormat="1" applyBorder="1"/>
    <xf numFmtId="164" fontId="0" fillId="0" borderId="6" xfId="0" applyNumberFormat="1" applyBorder="1"/>
    <xf numFmtId="0" fontId="1" fillId="2" borderId="3" xfId="0" applyNumberFormat="1" applyFont="1" applyFill="1" applyBorder="1"/>
    <xf numFmtId="0" fontId="1" fillId="2" borderId="2" xfId="0" applyNumberFormat="1" applyFont="1" applyFill="1" applyBorder="1"/>
    <xf numFmtId="0" fontId="0" fillId="0" borderId="5" xfId="0" applyBorder="1"/>
    <xf numFmtId="0" fontId="0" fillId="0" borderId="3" xfId="0" applyBorder="1"/>
    <xf numFmtId="0" fontId="0" fillId="0" borderId="7" xfId="0" applyBorder="1"/>
    <xf numFmtId="0" fontId="0" fillId="0" borderId="2" xfId="0" applyBorder="1"/>
    <xf numFmtId="0" fontId="1" fillId="0" borderId="4" xfId="0" applyFont="1" applyBorder="1"/>
    <xf numFmtId="165" fontId="0" fillId="2" borderId="3" xfId="0" applyNumberFormat="1" applyFill="1" applyBorder="1"/>
    <xf numFmtId="165" fontId="0" fillId="2" borderId="2" xfId="0" applyNumberFormat="1" applyFill="1" applyBorder="1"/>
    <xf numFmtId="165" fontId="0" fillId="0" borderId="1" xfId="0" applyNumberFormat="1" applyBorder="1"/>
    <xf numFmtId="165" fontId="0" fillId="0" borderId="0" xfId="0" applyNumberFormat="1"/>
    <xf numFmtId="165" fontId="0" fillId="0" borderId="5" xfId="0" applyNumberFormat="1" applyBorder="1"/>
    <xf numFmtId="165" fontId="0" fillId="0" borderId="4" xfId="0" applyNumberFormat="1" applyBorder="1"/>
    <xf numFmtId="10" fontId="0" fillId="0" borderId="0" xfId="0" applyNumberFormat="1"/>
    <xf numFmtId="0" fontId="0" fillId="0" borderId="0" xfId="0" applyFill="1" applyBorder="1"/>
    <xf numFmtId="0" fontId="1" fillId="0" borderId="0" xfId="0" applyFont="1" applyFill="1" applyBorder="1"/>
    <xf numFmtId="10" fontId="0" fillId="0" borderId="0" xfId="1" applyNumberFormat="1" applyFont="1"/>
    <xf numFmtId="10" fontId="0" fillId="0" borderId="4" xfId="0" applyNumberFormat="1" applyBorder="1"/>
    <xf numFmtId="43" fontId="0" fillId="0" borderId="2" xfId="0" applyNumberFormat="1" applyBorder="1"/>
    <xf numFmtId="164" fontId="0" fillId="0" borderId="2" xfId="0" applyNumberFormat="1" applyBorder="1"/>
    <xf numFmtId="164" fontId="0" fillId="2" borderId="2" xfId="0" applyNumberFormat="1" applyFill="1" applyBorder="1"/>
    <xf numFmtId="43" fontId="1" fillId="0" borderId="0" xfId="0" applyNumberFormat="1" applyFont="1"/>
    <xf numFmtId="10" fontId="1" fillId="0" borderId="0" xfId="0" applyNumberFormat="1" applyFont="1"/>
    <xf numFmtId="164" fontId="3" fillId="0" borderId="1" xfId="0" applyNumberFormat="1" applyFont="1" applyBorder="1"/>
    <xf numFmtId="164" fontId="3" fillId="0" borderId="0" xfId="0" applyNumberFormat="1" applyFont="1"/>
    <xf numFmtId="164" fontId="3" fillId="0" borderId="5" xfId="0" applyNumberFormat="1" applyFont="1" applyBorder="1"/>
    <xf numFmtId="164" fontId="3" fillId="0" borderId="4" xfId="0" applyNumberFormat="1" applyFont="1" applyBorder="1"/>
    <xf numFmtId="164" fontId="3" fillId="0" borderId="6" xfId="0" applyNumberFormat="1" applyFont="1" applyBorder="1"/>
    <xf numFmtId="164" fontId="3" fillId="0" borderId="7" xfId="0" applyNumberFormat="1" applyFont="1" applyBorder="1"/>
    <xf numFmtId="10" fontId="3" fillId="0" borderId="0" xfId="0" applyNumberFormat="1" applyFont="1"/>
    <xf numFmtId="0" fontId="3" fillId="0" borderId="0" xfId="0" applyFont="1"/>
    <xf numFmtId="9" fontId="3" fillId="0" borderId="0" xfId="0" applyNumberFormat="1" applyFont="1"/>
    <xf numFmtId="3" fontId="3" fillId="0" borderId="0" xfId="0" applyNumberFormat="1" applyFont="1"/>
    <xf numFmtId="164" fontId="3" fillId="0" borderId="2" xfId="0" applyNumberFormat="1" applyFont="1" applyBorder="1"/>
    <xf numFmtId="164" fontId="3" fillId="0" borderId="3" xfId="0" applyNumberFormat="1" applyFont="1" applyBorder="1"/>
    <xf numFmtId="164" fontId="4" fillId="0" borderId="1" xfId="0" applyNumberFormat="1" applyFont="1" applyBorder="1"/>
    <xf numFmtId="164" fontId="4" fillId="0" borderId="0" xfId="0" applyNumberFormat="1" applyFont="1"/>
    <xf numFmtId="164" fontId="4" fillId="0" borderId="5" xfId="0" applyNumberFormat="1" applyFont="1" applyBorder="1"/>
    <xf numFmtId="164" fontId="4" fillId="0" borderId="4" xfId="0" applyNumberFormat="1" applyFont="1" applyBorder="1"/>
    <xf numFmtId="43" fontId="3" fillId="0" borderId="5" xfId="0" applyNumberFormat="1" applyFont="1" applyBorder="1"/>
    <xf numFmtId="43" fontId="3" fillId="0" borderId="4" xfId="0" applyNumberFormat="1" applyFont="1" applyBorder="1"/>
    <xf numFmtId="43" fontId="3" fillId="0" borderId="3" xfId="0" applyNumberFormat="1" applyFont="1" applyBorder="1"/>
    <xf numFmtId="43" fontId="3" fillId="0" borderId="2" xfId="0" applyNumberFormat="1" applyFont="1" applyBorder="1"/>
    <xf numFmtId="164" fontId="3" fillId="0" borderId="4" xfId="0" applyNumberFormat="1" applyFont="1" applyFill="1" applyBorder="1"/>
    <xf numFmtId="166" fontId="3" fillId="0" borderId="3" xfId="1" applyNumberFormat="1" applyFont="1" applyBorder="1"/>
    <xf numFmtId="166" fontId="3" fillId="0" borderId="2" xfId="1" applyNumberFormat="1" applyFont="1" applyBorder="1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2" borderId="0" xfId="0" applyFont="1" applyFill="1" applyAlignment="1">
      <alignment horizontal="center"/>
    </xf>
    <xf numFmtId="16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D1112-60B6-456B-9CE7-6427EF5C185C}">
  <dimension ref="B1:N59"/>
  <sheetViews>
    <sheetView showGridLines="0" topLeftCell="A37" workbookViewId="0">
      <selection activeCell="N50" sqref="N50"/>
    </sheetView>
  </sheetViews>
  <sheetFormatPr defaultRowHeight="15" x14ac:dyDescent="0.25"/>
  <cols>
    <col min="2" max="2" width="12.140625" customWidth="1"/>
  </cols>
  <sheetData>
    <row r="1" spans="2:14" x14ac:dyDescent="0.25">
      <c r="E1" s="3"/>
      <c r="J1" s="3"/>
    </row>
    <row r="2" spans="2:14" x14ac:dyDescent="0.25">
      <c r="B2" s="2" t="s">
        <v>0</v>
      </c>
      <c r="C2" s="1"/>
      <c r="D2" s="1"/>
      <c r="E2" s="3"/>
      <c r="J2" s="3"/>
    </row>
    <row r="3" spans="2:14" x14ac:dyDescent="0.25">
      <c r="B3" s="2" t="s">
        <v>80</v>
      </c>
      <c r="C3" s="1"/>
      <c r="D3" s="1"/>
      <c r="E3" s="60" t="s">
        <v>10</v>
      </c>
      <c r="F3" s="61"/>
      <c r="G3" s="61"/>
      <c r="H3" s="61"/>
      <c r="I3" s="62"/>
      <c r="J3" s="60" t="s">
        <v>9</v>
      </c>
      <c r="K3" s="61"/>
      <c r="L3" s="61"/>
      <c r="M3" s="61"/>
      <c r="N3" s="61"/>
    </row>
    <row r="4" spans="2:14" x14ac:dyDescent="0.25">
      <c r="E4" s="9"/>
      <c r="F4" s="10"/>
      <c r="G4" s="10"/>
      <c r="H4" s="10"/>
      <c r="I4" s="10"/>
      <c r="J4" s="9">
        <v>1</v>
      </c>
      <c r="K4" s="10">
        <v>2</v>
      </c>
      <c r="L4" s="10">
        <v>3</v>
      </c>
      <c r="M4" s="10">
        <v>4</v>
      </c>
      <c r="N4" s="10">
        <v>5</v>
      </c>
    </row>
    <row r="5" spans="2:14" x14ac:dyDescent="0.25">
      <c r="B5" s="4" t="s">
        <v>60</v>
      </c>
      <c r="C5" s="5"/>
      <c r="D5" s="5"/>
      <c r="E5" s="14">
        <v>2017</v>
      </c>
      <c r="F5" s="15">
        <v>2018</v>
      </c>
      <c r="G5" s="15">
        <v>2019</v>
      </c>
      <c r="H5" s="15">
        <v>2020</v>
      </c>
      <c r="I5" s="15">
        <v>2021</v>
      </c>
      <c r="J5" s="14">
        <v>2022</v>
      </c>
      <c r="K5" s="15">
        <v>2023</v>
      </c>
      <c r="L5" s="15">
        <v>2024</v>
      </c>
      <c r="M5" s="15">
        <v>2025</v>
      </c>
      <c r="N5" s="15">
        <v>2026</v>
      </c>
    </row>
    <row r="6" spans="2:14" x14ac:dyDescent="0.25">
      <c r="B6" t="s">
        <v>82</v>
      </c>
      <c r="E6" s="37">
        <v>127485</v>
      </c>
      <c r="F6" s="38">
        <v>158902</v>
      </c>
      <c r="G6" s="38">
        <v>139865</v>
      </c>
      <c r="H6" s="38">
        <v>94471</v>
      </c>
      <c r="I6" s="38">
        <v>155606</v>
      </c>
      <c r="J6" s="3"/>
    </row>
    <row r="7" spans="2:14" x14ac:dyDescent="0.25">
      <c r="B7" s="19" t="s">
        <v>83</v>
      </c>
      <c r="C7" s="19"/>
      <c r="D7" s="19"/>
      <c r="E7" s="58">
        <v>0.23400000000000001</v>
      </c>
      <c r="F7" s="59">
        <v>0.246</v>
      </c>
      <c r="G7" s="59">
        <v>-0.12</v>
      </c>
      <c r="H7" s="59">
        <v>-0.32500000000000001</v>
      </c>
      <c r="I7" s="59">
        <v>0.64700000000000002</v>
      </c>
      <c r="J7" s="17"/>
      <c r="K7" s="19"/>
      <c r="L7" s="19"/>
      <c r="M7" s="19"/>
      <c r="N7" s="19"/>
    </row>
    <row r="8" spans="2:14" x14ac:dyDescent="0.25">
      <c r="B8" s="7"/>
      <c r="C8" s="7"/>
      <c r="D8" s="7"/>
      <c r="E8" s="42"/>
      <c r="F8" s="41"/>
      <c r="G8" s="41"/>
      <c r="H8" s="41"/>
      <c r="I8" s="41"/>
      <c r="J8" s="18"/>
      <c r="K8" s="7"/>
      <c r="L8" s="7"/>
      <c r="M8" s="7"/>
      <c r="N8" s="7"/>
    </row>
    <row r="9" spans="2:14" x14ac:dyDescent="0.25">
      <c r="B9" t="s">
        <v>11</v>
      </c>
      <c r="E9" s="37">
        <v>-49381</v>
      </c>
      <c r="F9" s="38">
        <v>-43001</v>
      </c>
      <c r="G9" s="38">
        <v>-53418</v>
      </c>
      <c r="H9" s="38">
        <v>-50739</v>
      </c>
      <c r="I9" s="38">
        <v>-43883</v>
      </c>
      <c r="J9" s="3"/>
    </row>
    <row r="10" spans="2:14" x14ac:dyDescent="0.25">
      <c r="B10" t="s">
        <v>12</v>
      </c>
      <c r="E10" s="37">
        <v>9528</v>
      </c>
      <c r="F10" s="38">
        <v>21323</v>
      </c>
      <c r="G10" s="38">
        <v>6334</v>
      </c>
      <c r="H10" s="38">
        <v>-6756</v>
      </c>
      <c r="I10" s="38">
        <v>22351</v>
      </c>
      <c r="J10" s="3"/>
    </row>
    <row r="11" spans="2:14" x14ac:dyDescent="0.25">
      <c r="B11" s="6"/>
      <c r="C11" s="6"/>
      <c r="D11" s="6"/>
      <c r="E11" s="51"/>
      <c r="F11" s="52"/>
      <c r="G11" s="52"/>
      <c r="H11" s="52"/>
      <c r="I11" s="52"/>
      <c r="J11" s="16"/>
      <c r="K11" s="6"/>
      <c r="L11" s="6"/>
      <c r="M11" s="6"/>
      <c r="N11" s="6"/>
    </row>
    <row r="12" spans="2:14" x14ac:dyDescent="0.25">
      <c r="B12" s="6" t="s">
        <v>13</v>
      </c>
      <c r="C12" s="6"/>
      <c r="D12" s="6"/>
      <c r="E12" s="39">
        <v>-307</v>
      </c>
      <c r="F12" s="40">
        <v>-748</v>
      </c>
      <c r="G12" s="40">
        <v>-798</v>
      </c>
      <c r="H12" s="40">
        <v>-697</v>
      </c>
      <c r="I12" s="40">
        <v>-712</v>
      </c>
      <c r="J12" s="16"/>
      <c r="K12" s="6"/>
      <c r="L12" s="6"/>
      <c r="M12" s="6"/>
      <c r="N12" s="6"/>
    </row>
    <row r="13" spans="2:14" x14ac:dyDescent="0.25">
      <c r="B13" t="s">
        <v>14</v>
      </c>
      <c r="E13" s="37">
        <v>9221</v>
      </c>
      <c r="F13" s="38">
        <v>20575</v>
      </c>
      <c r="G13" s="38">
        <v>5536</v>
      </c>
      <c r="H13" s="38">
        <v>-7453</v>
      </c>
      <c r="I13" s="38">
        <v>21639</v>
      </c>
      <c r="J13" s="3"/>
    </row>
    <row r="14" spans="2:14" x14ac:dyDescent="0.25">
      <c r="B14" t="s">
        <v>15</v>
      </c>
      <c r="E14" s="37">
        <v>48</v>
      </c>
      <c r="F14" s="38">
        <v>-5715</v>
      </c>
      <c r="G14" s="38">
        <v>-2691</v>
      </c>
      <c r="H14" s="38">
        <v>1892</v>
      </c>
      <c r="I14" s="38">
        <v>-5950</v>
      </c>
      <c r="J14" s="3"/>
    </row>
    <row r="15" spans="2:14" x14ac:dyDescent="0.25">
      <c r="B15" t="s">
        <v>16</v>
      </c>
      <c r="E15" s="37">
        <v>9269</v>
      </c>
      <c r="F15" s="38">
        <v>14860</v>
      </c>
      <c r="G15" s="38">
        <v>2845</v>
      </c>
      <c r="H15" s="38">
        <v>-5561</v>
      </c>
      <c r="I15" s="38">
        <v>15689</v>
      </c>
      <c r="J15" s="3"/>
    </row>
    <row r="16" spans="2:14" x14ac:dyDescent="0.25">
      <c r="B16" s="19" t="s">
        <v>17</v>
      </c>
      <c r="C16" s="19"/>
      <c r="D16" s="19"/>
      <c r="E16" s="48">
        <v>9195</v>
      </c>
      <c r="F16" s="47">
        <v>14824</v>
      </c>
      <c r="G16" s="47">
        <v>2924</v>
      </c>
      <c r="H16" s="47">
        <v>-5543</v>
      </c>
      <c r="I16" s="47">
        <v>15625</v>
      </c>
      <c r="J16" s="17"/>
      <c r="K16" s="19"/>
      <c r="L16" s="19"/>
      <c r="M16" s="19"/>
      <c r="N16" s="19"/>
    </row>
    <row r="17" spans="2:14" x14ac:dyDescent="0.25">
      <c r="E17" s="49"/>
      <c r="F17" s="50"/>
      <c r="G17" s="50"/>
      <c r="H17" s="50"/>
      <c r="I17" s="50"/>
      <c r="J17" s="3"/>
    </row>
    <row r="18" spans="2:14" x14ac:dyDescent="0.25">
      <c r="B18" s="6" t="s">
        <v>18</v>
      </c>
      <c r="C18" s="6"/>
      <c r="D18" s="6"/>
      <c r="E18" s="39">
        <v>0</v>
      </c>
      <c r="F18" s="40">
        <v>0</v>
      </c>
      <c r="G18" s="40">
        <v>0</v>
      </c>
      <c r="H18" s="40">
        <v>0</v>
      </c>
      <c r="I18" s="40">
        <v>0</v>
      </c>
      <c r="J18" s="16"/>
      <c r="K18" s="6"/>
      <c r="L18" s="6"/>
      <c r="M18" s="6"/>
      <c r="N18" s="6"/>
    </row>
    <row r="19" spans="2:14" x14ac:dyDescent="0.25">
      <c r="B19" s="19" t="s">
        <v>19</v>
      </c>
      <c r="C19" s="19"/>
      <c r="D19" s="19"/>
      <c r="E19" s="48">
        <v>9195</v>
      </c>
      <c r="F19" s="47">
        <v>14824</v>
      </c>
      <c r="G19" s="47">
        <v>2924</v>
      </c>
      <c r="H19" s="47">
        <v>-5543</v>
      </c>
      <c r="I19" s="47">
        <v>15625</v>
      </c>
      <c r="J19" s="17"/>
      <c r="K19" s="19"/>
      <c r="L19" s="19"/>
      <c r="M19" s="19"/>
      <c r="N19" s="19"/>
    </row>
    <row r="20" spans="2:14" x14ac:dyDescent="0.25">
      <c r="E20" s="49"/>
      <c r="F20" s="50"/>
      <c r="G20" s="50"/>
      <c r="H20" s="50"/>
      <c r="I20" s="50"/>
      <c r="J20" s="3"/>
    </row>
    <row r="21" spans="2:14" x14ac:dyDescent="0.25">
      <c r="B21" s="6" t="s">
        <v>20</v>
      </c>
      <c r="C21" s="6"/>
      <c r="D21" s="6"/>
      <c r="E21" s="53">
        <v>4.88</v>
      </c>
      <c r="F21" s="54">
        <v>7.81</v>
      </c>
      <c r="G21" s="54">
        <v>1.55</v>
      </c>
      <c r="H21" s="54">
        <v>-2.96</v>
      </c>
      <c r="I21" s="54">
        <v>8.16</v>
      </c>
      <c r="J21" s="16"/>
      <c r="K21" s="6"/>
      <c r="L21" s="6"/>
      <c r="M21" s="6"/>
      <c r="N21" s="6"/>
    </row>
    <row r="22" spans="2:14" x14ac:dyDescent="0.25">
      <c r="B22" s="19" t="s">
        <v>21</v>
      </c>
      <c r="C22" s="19"/>
      <c r="D22" s="19"/>
      <c r="E22" s="55">
        <v>4.8499999999999996</v>
      </c>
      <c r="F22" s="56">
        <v>7.74</v>
      </c>
      <c r="G22" s="56">
        <v>1.54</v>
      </c>
      <c r="H22" s="56">
        <v>-2.96</v>
      </c>
      <c r="I22" s="56">
        <v>8.14</v>
      </c>
      <c r="J22" s="17"/>
      <c r="K22" s="19"/>
      <c r="L22" s="19"/>
      <c r="M22" s="19"/>
      <c r="N22" s="19"/>
    </row>
    <row r="23" spans="2:14" x14ac:dyDescent="0.25">
      <c r="E23" s="49"/>
      <c r="F23" s="50"/>
      <c r="G23" s="50"/>
      <c r="H23" s="50"/>
      <c r="I23" s="50"/>
      <c r="J23" s="3"/>
    </row>
    <row r="24" spans="2:14" x14ac:dyDescent="0.25">
      <c r="B24" s="7" t="s">
        <v>22</v>
      </c>
      <c r="C24" s="7"/>
      <c r="D24" s="7"/>
      <c r="E24" s="42">
        <v>21866</v>
      </c>
      <c r="F24" s="41">
        <v>33641</v>
      </c>
      <c r="G24" s="41">
        <v>29024</v>
      </c>
      <c r="H24" s="41">
        <v>13205</v>
      </c>
      <c r="I24" s="41">
        <v>33405</v>
      </c>
      <c r="J24" s="18"/>
      <c r="K24" s="7"/>
      <c r="L24" s="7"/>
      <c r="M24" s="7"/>
      <c r="N24" s="7"/>
    </row>
    <row r="25" spans="2:14" x14ac:dyDescent="0.25">
      <c r="E25" s="50"/>
      <c r="F25" s="50"/>
      <c r="G25" s="50"/>
      <c r="H25" s="50"/>
      <c r="I25" s="50"/>
    </row>
    <row r="26" spans="2:14" x14ac:dyDescent="0.25">
      <c r="B26" s="20" t="s">
        <v>41</v>
      </c>
      <c r="C26" s="6"/>
      <c r="D26" s="6"/>
      <c r="E26" s="39">
        <v>20515</v>
      </c>
      <c r="F26" s="40">
        <v>30618</v>
      </c>
      <c r="G26" s="40">
        <v>27314</v>
      </c>
      <c r="H26" s="40">
        <v>10577</v>
      </c>
      <c r="I26" s="40">
        <v>29187</v>
      </c>
      <c r="J26" s="16"/>
      <c r="K26" s="6"/>
      <c r="L26" s="6"/>
      <c r="M26" s="6"/>
      <c r="N26" s="6"/>
    </row>
    <row r="27" spans="2:14" x14ac:dyDescent="0.25">
      <c r="B27" t="s">
        <v>37</v>
      </c>
      <c r="E27" s="37">
        <v>19349</v>
      </c>
      <c r="F27" s="38">
        <v>19419</v>
      </c>
      <c r="G27" s="38">
        <v>29218</v>
      </c>
      <c r="H27" s="38">
        <v>19508</v>
      </c>
      <c r="I27" s="38">
        <v>17925</v>
      </c>
      <c r="J27" s="3"/>
    </row>
    <row r="28" spans="2:14" x14ac:dyDescent="0.25">
      <c r="B28" t="s">
        <v>42</v>
      </c>
      <c r="E28" s="37">
        <v>-3203</v>
      </c>
      <c r="F28" s="38">
        <v>1050</v>
      </c>
      <c r="G28" s="38">
        <v>-1966</v>
      </c>
      <c r="H28" s="38">
        <v>-3604</v>
      </c>
      <c r="I28" s="38">
        <v>700</v>
      </c>
      <c r="J28" s="3"/>
    </row>
    <row r="29" spans="2:14" x14ac:dyDescent="0.25">
      <c r="B29" t="s">
        <v>43</v>
      </c>
      <c r="E29" s="37">
        <v>476</v>
      </c>
      <c r="F29" s="38">
        <v>-718</v>
      </c>
      <c r="G29" s="38">
        <v>1494</v>
      </c>
      <c r="H29" s="38">
        <v>-1652</v>
      </c>
      <c r="I29" s="38">
        <v>-1361</v>
      </c>
      <c r="J29" s="3"/>
    </row>
    <row r="30" spans="2:14" x14ac:dyDescent="0.25">
      <c r="B30" t="s">
        <v>44</v>
      </c>
      <c r="E30" s="37">
        <v>0</v>
      </c>
      <c r="F30" s="38">
        <v>0</v>
      </c>
      <c r="G30" s="38">
        <v>0</v>
      </c>
      <c r="H30" s="38">
        <v>0</v>
      </c>
      <c r="I30" s="38">
        <v>0</v>
      </c>
      <c r="J30" s="3"/>
    </row>
    <row r="31" spans="2:14" x14ac:dyDescent="0.25">
      <c r="B31" t="s">
        <v>45</v>
      </c>
      <c r="E31" s="37">
        <v>-267</v>
      </c>
      <c r="F31" s="38">
        <v>-424</v>
      </c>
      <c r="G31" s="38">
        <v>7</v>
      </c>
      <c r="H31" s="38">
        <v>284</v>
      </c>
      <c r="I31" s="38">
        <v>-530</v>
      </c>
      <c r="J31" s="3"/>
    </row>
    <row r="32" spans="2:14" x14ac:dyDescent="0.25">
      <c r="B32" t="s">
        <v>46</v>
      </c>
      <c r="E32" s="37">
        <v>875</v>
      </c>
      <c r="F32" s="38">
        <v>-494</v>
      </c>
      <c r="G32" s="38">
        <v>-109</v>
      </c>
      <c r="H32" s="38">
        <v>-3576</v>
      </c>
      <c r="I32" s="38">
        <v>5475</v>
      </c>
      <c r="J32" s="3"/>
    </row>
    <row r="33" spans="2:14" x14ac:dyDescent="0.25">
      <c r="B33" t="s">
        <v>47</v>
      </c>
      <c r="E33" s="37">
        <v>-567</v>
      </c>
      <c r="F33" s="38">
        <v>418</v>
      </c>
      <c r="G33" s="38">
        <v>433</v>
      </c>
      <c r="H33" s="38">
        <v>48</v>
      </c>
      <c r="I33" s="38">
        <v>6947</v>
      </c>
      <c r="J33" s="3"/>
    </row>
    <row r="34" spans="2:14" x14ac:dyDescent="0.25">
      <c r="B34" s="19" t="s">
        <v>48</v>
      </c>
      <c r="C34" s="19"/>
      <c r="D34" s="19"/>
      <c r="E34" s="48">
        <v>-5302</v>
      </c>
      <c r="F34" s="47">
        <v>-3957</v>
      </c>
      <c r="G34" s="47">
        <v>-4356</v>
      </c>
      <c r="H34" s="47">
        <v>1868</v>
      </c>
      <c r="I34" s="47">
        <v>-3702</v>
      </c>
      <c r="J34" s="17"/>
      <c r="K34" s="19"/>
      <c r="L34" s="19"/>
      <c r="M34" s="19"/>
      <c r="N34" s="19"/>
    </row>
    <row r="35" spans="2:14" x14ac:dyDescent="0.25">
      <c r="E35" s="49"/>
      <c r="F35" s="50"/>
      <c r="G35" s="50"/>
      <c r="H35" s="50"/>
      <c r="I35" s="50"/>
      <c r="J35" s="3"/>
    </row>
    <row r="36" spans="2:14" x14ac:dyDescent="0.25">
      <c r="B36" s="20" t="s">
        <v>49</v>
      </c>
      <c r="C36" s="6"/>
      <c r="D36" s="6"/>
      <c r="E36" s="39">
        <v>-8201</v>
      </c>
      <c r="F36" s="40">
        <v>-12290</v>
      </c>
      <c r="G36" s="40">
        <v>-11458</v>
      </c>
      <c r="H36" s="40">
        <v>-6965</v>
      </c>
      <c r="I36" s="40">
        <v>-5865</v>
      </c>
      <c r="J36" s="16"/>
      <c r="K36" s="6"/>
      <c r="L36" s="6"/>
      <c r="M36" s="6"/>
      <c r="N36" s="6"/>
    </row>
    <row r="37" spans="2:14" x14ac:dyDescent="0.25">
      <c r="B37" t="s">
        <v>50</v>
      </c>
      <c r="E37" s="37">
        <v>0</v>
      </c>
      <c r="F37" s="38">
        <v>0</v>
      </c>
      <c r="G37" s="38">
        <v>0</v>
      </c>
      <c r="H37" s="38">
        <v>0</v>
      </c>
      <c r="I37" s="38">
        <v>0</v>
      </c>
      <c r="J37" s="3"/>
    </row>
    <row r="38" spans="2:14" x14ac:dyDescent="0.25">
      <c r="B38" t="s">
        <v>51</v>
      </c>
      <c r="E38" s="37">
        <v>0</v>
      </c>
      <c r="F38" s="38">
        <v>392</v>
      </c>
      <c r="G38" s="38">
        <v>142</v>
      </c>
      <c r="H38" s="38">
        <v>450</v>
      </c>
      <c r="I38" s="38">
        <v>439</v>
      </c>
      <c r="J38" s="3"/>
    </row>
    <row r="39" spans="2:14" x14ac:dyDescent="0.25">
      <c r="B39" t="s">
        <v>52</v>
      </c>
      <c r="E39" s="37">
        <v>35</v>
      </c>
      <c r="F39" s="38">
        <v>-1001</v>
      </c>
      <c r="G39" s="38">
        <v>-1</v>
      </c>
      <c r="H39" s="38">
        <v>0</v>
      </c>
      <c r="I39" s="38">
        <v>-4</v>
      </c>
      <c r="J39" s="3"/>
    </row>
    <row r="40" spans="2:14" x14ac:dyDescent="0.25">
      <c r="B40" t="s">
        <v>53</v>
      </c>
      <c r="E40" s="37">
        <v>7</v>
      </c>
      <c r="F40" s="38">
        <v>0</v>
      </c>
      <c r="G40" s="38">
        <v>954</v>
      </c>
      <c r="H40" s="38">
        <v>35</v>
      </c>
      <c r="I40" s="38">
        <v>3</v>
      </c>
      <c r="J40" s="3"/>
    </row>
    <row r="41" spans="2:14" x14ac:dyDescent="0.25">
      <c r="B41" s="19" t="s">
        <v>54</v>
      </c>
      <c r="C41" s="19"/>
      <c r="D41" s="19"/>
      <c r="E41" s="48">
        <v>-8173</v>
      </c>
      <c r="F41" s="47">
        <v>-11681</v>
      </c>
      <c r="G41" s="47">
        <v>-12552</v>
      </c>
      <c r="H41" s="47">
        <v>-7450</v>
      </c>
      <c r="I41" s="47">
        <v>-6303</v>
      </c>
      <c r="J41" s="17"/>
      <c r="K41" s="19"/>
      <c r="L41" s="19"/>
      <c r="M41" s="19"/>
      <c r="N41" s="19"/>
    </row>
    <row r="42" spans="2:14" x14ac:dyDescent="0.25">
      <c r="E42" s="49"/>
      <c r="F42" s="50"/>
      <c r="G42" s="50"/>
      <c r="H42" s="50"/>
      <c r="I42" s="50"/>
      <c r="J42" s="3"/>
    </row>
    <row r="43" spans="2:14" x14ac:dyDescent="0.25">
      <c r="B43" s="20" t="s">
        <v>55</v>
      </c>
      <c r="C43" s="6"/>
      <c r="D43" s="6"/>
      <c r="E43" s="39">
        <v>-14554</v>
      </c>
      <c r="F43" s="40">
        <v>-13699</v>
      </c>
      <c r="G43" s="40">
        <v>-19758</v>
      </c>
      <c r="H43" s="40">
        <v>-3736</v>
      </c>
      <c r="I43" s="40">
        <v>-23113</v>
      </c>
      <c r="J43" s="16"/>
      <c r="K43" s="6"/>
      <c r="L43" s="6"/>
      <c r="M43" s="6"/>
      <c r="N43" s="6"/>
    </row>
    <row r="44" spans="2:14" x14ac:dyDescent="0.25">
      <c r="B44" t="s">
        <v>56</v>
      </c>
      <c r="E44" s="37">
        <v>-11452</v>
      </c>
      <c r="F44" s="38">
        <v>-10877</v>
      </c>
      <c r="G44" s="38">
        <v>-10432</v>
      </c>
      <c r="H44" s="38">
        <v>-15684</v>
      </c>
      <c r="I44" s="38">
        <v>-17384</v>
      </c>
      <c r="J44" s="3"/>
    </row>
    <row r="45" spans="2:14" x14ac:dyDescent="0.25">
      <c r="B45" t="s">
        <v>57</v>
      </c>
      <c r="E45" s="37">
        <v>0</v>
      </c>
      <c r="F45" s="38">
        <v>-604</v>
      </c>
      <c r="G45" s="38">
        <v>-4039</v>
      </c>
      <c r="H45" s="38">
        <v>-1500</v>
      </c>
      <c r="I45" s="38">
        <v>0</v>
      </c>
      <c r="J45" s="3"/>
    </row>
    <row r="46" spans="2:14" x14ac:dyDescent="0.25">
      <c r="B46" t="s">
        <v>58</v>
      </c>
      <c r="E46" s="37">
        <v>-8132</v>
      </c>
      <c r="F46" s="38">
        <v>-8502</v>
      </c>
      <c r="G46" s="38">
        <v>-8959</v>
      </c>
      <c r="H46" s="38">
        <v>-9651</v>
      </c>
      <c r="I46" s="38">
        <v>-10179</v>
      </c>
      <c r="J46" s="3"/>
    </row>
    <row r="47" spans="2:14" x14ac:dyDescent="0.25">
      <c r="B47" s="19" t="s">
        <v>59</v>
      </c>
      <c r="C47" s="19"/>
      <c r="D47" s="19"/>
      <c r="E47" s="48">
        <v>3913</v>
      </c>
      <c r="F47" s="47">
        <v>6284</v>
      </c>
      <c r="G47" s="47">
        <v>3672</v>
      </c>
      <c r="H47" s="47">
        <v>23099</v>
      </c>
      <c r="I47" s="47"/>
      <c r="J47" s="17"/>
      <c r="K47" s="19"/>
      <c r="L47" s="19"/>
      <c r="M47" s="19"/>
      <c r="N47" s="19"/>
    </row>
    <row r="49" spans="2:14" x14ac:dyDescent="0.25">
      <c r="B49" s="6" t="s">
        <v>1</v>
      </c>
      <c r="C49" s="6"/>
      <c r="D49" s="6"/>
      <c r="E49" s="39">
        <v>3499</v>
      </c>
      <c r="F49" s="40">
        <v>14624</v>
      </c>
      <c r="G49" s="40">
        <v>10478</v>
      </c>
      <c r="H49" s="40">
        <v>-4178</v>
      </c>
      <c r="I49" s="40">
        <v>15860</v>
      </c>
      <c r="J49" s="39"/>
      <c r="K49" s="57"/>
      <c r="L49" s="57"/>
      <c r="M49" s="57"/>
      <c r="N49" s="57"/>
    </row>
    <row r="50" spans="2:14" x14ac:dyDescent="0.25">
      <c r="B50" t="s">
        <v>2</v>
      </c>
      <c r="E50" s="37"/>
      <c r="F50" s="38"/>
      <c r="G50" s="38"/>
      <c r="H50" s="38"/>
      <c r="I50" s="38"/>
      <c r="J50" s="37">
        <v>54026</v>
      </c>
      <c r="K50" s="38">
        <v>55433</v>
      </c>
      <c r="L50" s="38">
        <v>46864</v>
      </c>
      <c r="M50" s="38">
        <v>28416</v>
      </c>
      <c r="N50" s="38">
        <v>27710</v>
      </c>
    </row>
    <row r="51" spans="2:14" x14ac:dyDescent="0.25">
      <c r="B51" t="s">
        <v>3</v>
      </c>
      <c r="E51" s="37"/>
      <c r="F51" s="38"/>
      <c r="G51" s="38"/>
      <c r="H51" s="38"/>
      <c r="I51" s="38"/>
      <c r="J51" s="37">
        <v>45427</v>
      </c>
      <c r="K51" s="38">
        <v>37886</v>
      </c>
      <c r="L51" s="38">
        <v>33748</v>
      </c>
      <c r="M51" s="38">
        <v>28416</v>
      </c>
      <c r="N51" s="38">
        <v>27710</v>
      </c>
    </row>
    <row r="52" spans="2:14" x14ac:dyDescent="0.25">
      <c r="B52" t="s">
        <v>4</v>
      </c>
      <c r="E52" s="37"/>
      <c r="F52" s="38"/>
      <c r="G52" s="38"/>
      <c r="H52" s="38"/>
      <c r="I52" s="38"/>
      <c r="J52" s="37">
        <v>44483</v>
      </c>
      <c r="K52" s="38">
        <v>33712</v>
      </c>
      <c r="L52" s="38">
        <v>22697</v>
      </c>
      <c r="M52" s="38">
        <v>28416</v>
      </c>
      <c r="N52" s="38">
        <v>27710</v>
      </c>
    </row>
    <row r="53" spans="2:14" x14ac:dyDescent="0.25">
      <c r="B53" s="7" t="s">
        <v>5</v>
      </c>
      <c r="C53" s="7"/>
      <c r="D53" s="7"/>
      <c r="E53" s="42">
        <f>-0.5%*E49</f>
        <v>-17.495000000000001</v>
      </c>
      <c r="F53" s="41">
        <f>27.8%*F49</f>
        <v>4065.4720000000002</v>
      </c>
      <c r="G53" s="41">
        <v>2691</v>
      </c>
      <c r="H53" s="41">
        <v>1892</v>
      </c>
      <c r="I53" s="41">
        <v>5950</v>
      </c>
      <c r="J53" s="12">
        <f>40%*J51</f>
        <v>18170.8</v>
      </c>
      <c r="K53" s="13">
        <f>40%*K51</f>
        <v>15154.400000000001</v>
      </c>
      <c r="L53" s="13">
        <f t="shared" ref="L53:N53" si="0">40%*L51</f>
        <v>13499.2</v>
      </c>
      <c r="M53" s="13">
        <f t="shared" si="0"/>
        <v>11366.400000000001</v>
      </c>
      <c r="N53" s="13">
        <f t="shared" si="0"/>
        <v>11084</v>
      </c>
    </row>
    <row r="54" spans="2:14" x14ac:dyDescent="0.25">
      <c r="B54" t="s">
        <v>6</v>
      </c>
      <c r="E54" s="37">
        <v>18367</v>
      </c>
      <c r="F54" s="38">
        <v>19017</v>
      </c>
      <c r="G54" s="38">
        <v>18546</v>
      </c>
      <c r="H54" s="38">
        <v>17383</v>
      </c>
      <c r="I54" s="38">
        <v>17545</v>
      </c>
      <c r="J54" s="37">
        <v>18649</v>
      </c>
      <c r="K54" s="38">
        <v>17230</v>
      </c>
      <c r="L54" s="38">
        <v>15452</v>
      </c>
      <c r="M54" s="38">
        <v>16956</v>
      </c>
      <c r="N54" s="38">
        <v>13880</v>
      </c>
    </row>
    <row r="55" spans="2:14" x14ac:dyDescent="0.25">
      <c r="B55" s="6" t="s">
        <v>7</v>
      </c>
      <c r="C55" s="6"/>
      <c r="D55" s="6"/>
      <c r="E55" s="39">
        <v>13404</v>
      </c>
      <c r="F55" s="40">
        <v>13792</v>
      </c>
      <c r="G55" s="40">
        <v>14116</v>
      </c>
      <c r="H55" s="40">
        <v>8922</v>
      </c>
      <c r="I55" s="40">
        <v>8056</v>
      </c>
      <c r="J55" s="39"/>
      <c r="K55" s="40"/>
      <c r="L55" s="40"/>
      <c r="M55" s="40"/>
      <c r="N55" s="40"/>
    </row>
    <row r="56" spans="2:14" x14ac:dyDescent="0.25">
      <c r="B56" t="s">
        <v>2</v>
      </c>
      <c r="E56" s="37"/>
      <c r="F56" s="38"/>
      <c r="G56" s="38"/>
      <c r="H56" s="38"/>
      <c r="I56" s="38"/>
      <c r="J56" s="37">
        <v>14764</v>
      </c>
      <c r="K56" s="38">
        <v>14888</v>
      </c>
      <c r="L56" s="38">
        <v>15572</v>
      </c>
      <c r="M56" s="38">
        <v>14200</v>
      </c>
      <c r="N56" s="38">
        <v>14451</v>
      </c>
    </row>
    <row r="57" spans="2:14" x14ac:dyDescent="0.25">
      <c r="B57" t="s">
        <v>3</v>
      </c>
      <c r="E57" s="37"/>
      <c r="F57" s="38"/>
      <c r="G57" s="38"/>
      <c r="H57" s="38"/>
      <c r="I57" s="38"/>
      <c r="J57" s="37">
        <v>11530</v>
      </c>
      <c r="K57" s="38">
        <v>13115</v>
      </c>
      <c r="L57" s="38">
        <v>13800</v>
      </c>
      <c r="M57" s="38">
        <v>13674</v>
      </c>
      <c r="N57" s="38">
        <v>14400</v>
      </c>
    </row>
    <row r="58" spans="2:14" x14ac:dyDescent="0.25">
      <c r="B58" t="s">
        <v>4</v>
      </c>
      <c r="E58" s="37"/>
      <c r="F58" s="38"/>
      <c r="G58" s="38"/>
      <c r="H58" s="38"/>
      <c r="I58" s="38"/>
      <c r="J58" s="37">
        <v>10267</v>
      </c>
      <c r="K58" s="38">
        <v>12000</v>
      </c>
      <c r="L58" s="38">
        <v>12014</v>
      </c>
      <c r="M58" s="38">
        <v>12014</v>
      </c>
      <c r="N58" s="38">
        <v>14350</v>
      </c>
    </row>
    <row r="59" spans="2:14" x14ac:dyDescent="0.25">
      <c r="B59" s="6" t="s">
        <v>8</v>
      </c>
      <c r="C59" s="6"/>
      <c r="D59" s="6"/>
      <c r="E59" s="39">
        <v>-1193</v>
      </c>
      <c r="F59" s="40">
        <v>-2231</v>
      </c>
      <c r="G59" s="40">
        <v>-609</v>
      </c>
      <c r="H59" s="40">
        <v>-1107</v>
      </c>
      <c r="I59" s="40">
        <v>-2523</v>
      </c>
      <c r="J59" s="39">
        <f>-42.4%*I59+I59</f>
        <v>-1453.248</v>
      </c>
      <c r="K59" s="40">
        <f>10.7%*J59+J59</f>
        <v>-1608.7455360000001</v>
      </c>
      <c r="L59" s="40">
        <f>6.9%*K59+K59</f>
        <v>-1719.7489779840002</v>
      </c>
      <c r="M59" s="40">
        <f>6.9%*L59</f>
        <v>-118.66267948089603</v>
      </c>
      <c r="N59" s="40">
        <f>0.8%*M59+M59</f>
        <v>-119.61198091674319</v>
      </c>
    </row>
  </sheetData>
  <mergeCells count="2">
    <mergeCell ref="J3:N3"/>
    <mergeCell ref="E3:I3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E66A0-9446-464D-8344-C54AE8F6102A}">
  <dimension ref="B2:O47"/>
  <sheetViews>
    <sheetView showGridLines="0" topLeftCell="A10" workbookViewId="0">
      <selection activeCell="I1" sqref="I1"/>
    </sheetView>
  </sheetViews>
  <sheetFormatPr defaultRowHeight="15" x14ac:dyDescent="0.25"/>
  <cols>
    <col min="6" max="6" width="9" bestFit="1" customWidth="1"/>
    <col min="7" max="7" width="23.7109375" bestFit="1" customWidth="1"/>
    <col min="8" max="11" width="9.28515625" bestFit="1" customWidth="1"/>
  </cols>
  <sheetData>
    <row r="2" spans="2:15" x14ac:dyDescent="0.25">
      <c r="B2" s="2" t="s">
        <v>0</v>
      </c>
      <c r="C2" s="1"/>
      <c r="D2" s="1"/>
    </row>
    <row r="3" spans="2:15" x14ac:dyDescent="0.25">
      <c r="B3" s="2" t="s">
        <v>80</v>
      </c>
      <c r="C3" s="1"/>
      <c r="D3" s="1"/>
    </row>
    <row r="5" spans="2:15" x14ac:dyDescent="0.25">
      <c r="B5" s="63" t="s">
        <v>23</v>
      </c>
      <c r="C5" s="63"/>
      <c r="D5" s="63"/>
      <c r="E5" s="63"/>
      <c r="F5" s="63"/>
      <c r="G5" s="63"/>
      <c r="I5" s="4" t="s">
        <v>34</v>
      </c>
      <c r="J5" s="21">
        <v>0</v>
      </c>
      <c r="K5" s="22">
        <v>1</v>
      </c>
      <c r="L5" s="22">
        <v>2</v>
      </c>
      <c r="M5" s="22">
        <v>3</v>
      </c>
      <c r="N5" s="22">
        <v>4</v>
      </c>
      <c r="O5" s="22">
        <v>5</v>
      </c>
    </row>
    <row r="6" spans="2:15" x14ac:dyDescent="0.25">
      <c r="I6" t="s">
        <v>35</v>
      </c>
      <c r="J6" s="23">
        <f>'Historical, Street Estimates'!I49</f>
        <v>15860</v>
      </c>
      <c r="K6" s="24">
        <f>'Historical, Street Estimates'!J51</f>
        <v>45427</v>
      </c>
      <c r="L6" s="24">
        <f>'Historical, Street Estimates'!K51</f>
        <v>37886</v>
      </c>
      <c r="M6" s="24">
        <f>'Historical, Street Estimates'!L51</f>
        <v>33748</v>
      </c>
      <c r="N6" s="24">
        <f>'Historical, Street Estimates'!M51</f>
        <v>28416</v>
      </c>
      <c r="O6" s="24">
        <f>'Historical, Street Estimates'!N51</f>
        <v>27710</v>
      </c>
    </row>
    <row r="7" spans="2:15" x14ac:dyDescent="0.25">
      <c r="B7" s="19" t="s">
        <v>24</v>
      </c>
      <c r="C7" s="19"/>
      <c r="D7" s="19"/>
      <c r="E7" s="19"/>
      <c r="F7" s="19"/>
      <c r="G7" s="19"/>
      <c r="I7" t="s">
        <v>36</v>
      </c>
      <c r="J7" s="23">
        <f>-'Historical, Street Estimates'!I53</f>
        <v>-5950</v>
      </c>
      <c r="K7" s="24">
        <f>-'Historical, Street Estimates'!J53</f>
        <v>-18170.8</v>
      </c>
      <c r="L7" s="24">
        <f>-'Historical, Street Estimates'!K53</f>
        <v>-15154.400000000001</v>
      </c>
      <c r="M7" s="24">
        <f>-'Historical, Street Estimates'!L53</f>
        <v>-13499.2</v>
      </c>
      <c r="N7" s="24">
        <f>-'Historical, Street Estimates'!M53</f>
        <v>-11366.400000000001</v>
      </c>
      <c r="O7" s="24">
        <f>-'Historical, Street Estimates'!N53</f>
        <v>-11084</v>
      </c>
    </row>
    <row r="8" spans="2:15" x14ac:dyDescent="0.25">
      <c r="B8" t="s">
        <v>25</v>
      </c>
      <c r="G8" s="43">
        <v>-1.0800000000000001E-2</v>
      </c>
      <c r="I8" t="s">
        <v>37</v>
      </c>
      <c r="J8" s="23">
        <f>'Historical, Street Estimates'!I54</f>
        <v>17545</v>
      </c>
      <c r="K8" s="24">
        <f>'Historical, Street Estimates'!J54</f>
        <v>18649</v>
      </c>
      <c r="L8" s="24">
        <f>'Historical, Street Estimates'!K54</f>
        <v>17230</v>
      </c>
      <c r="M8" s="24">
        <f>'Historical, Street Estimates'!L54</f>
        <v>15452</v>
      </c>
      <c r="N8" s="24">
        <f>'Historical, Street Estimates'!M54</f>
        <v>16956</v>
      </c>
      <c r="O8" s="24">
        <f>'Historical, Street Estimates'!N54</f>
        <v>13880</v>
      </c>
    </row>
    <row r="9" spans="2:15" x14ac:dyDescent="0.25">
      <c r="B9" t="s">
        <v>26</v>
      </c>
      <c r="G9" s="44">
        <v>7.6</v>
      </c>
      <c r="I9" t="s">
        <v>38</v>
      </c>
      <c r="J9" s="23">
        <f>-'Historical, Street Estimates'!I55</f>
        <v>-8056</v>
      </c>
      <c r="K9" s="24">
        <f>-'Historical, Street Estimates'!J57</f>
        <v>-11530</v>
      </c>
      <c r="L9" s="24">
        <f>-'Historical, Street Estimates'!K57</f>
        <v>-13115</v>
      </c>
      <c r="M9" s="24">
        <f>-'Historical, Street Estimates'!L57</f>
        <v>-13800</v>
      </c>
      <c r="N9" s="24">
        <f>-'Historical, Street Estimates'!M57</f>
        <v>-13674</v>
      </c>
      <c r="O9" s="24">
        <f>-'Historical, Street Estimates'!N57</f>
        <v>-14400</v>
      </c>
    </row>
    <row r="10" spans="2:15" x14ac:dyDescent="0.25">
      <c r="B10" t="s">
        <v>27</v>
      </c>
      <c r="G10" s="43">
        <v>3.9E-2</v>
      </c>
      <c r="I10" t="s">
        <v>39</v>
      </c>
      <c r="J10" s="23">
        <f>'Historical, Street Estimates'!I59</f>
        <v>-2523</v>
      </c>
      <c r="K10" s="24">
        <f>'Historical, Street Estimates'!J59</f>
        <v>-1453.248</v>
      </c>
      <c r="L10" s="24">
        <f>'Historical, Street Estimates'!K59</f>
        <v>-1608.7455360000001</v>
      </c>
      <c r="M10" s="24">
        <f>'Historical, Street Estimates'!L59</f>
        <v>-1719.7489779840002</v>
      </c>
      <c r="N10" s="24">
        <f>'Historical, Street Estimates'!M59</f>
        <v>-118.66267948089603</v>
      </c>
      <c r="O10" s="24">
        <f>'Historical, Street Estimates'!N59</f>
        <v>-119.61198091674319</v>
      </c>
    </row>
    <row r="11" spans="2:15" x14ac:dyDescent="0.25">
      <c r="B11" t="s">
        <v>28</v>
      </c>
      <c r="G11" s="45">
        <v>0.45</v>
      </c>
      <c r="I11" s="20" t="s">
        <v>40</v>
      </c>
      <c r="J11" s="25">
        <f>SUM(J6:J10)</f>
        <v>16876</v>
      </c>
      <c r="K11" s="26">
        <f>SUM(K6:K10)</f>
        <v>32921.951999999997</v>
      </c>
      <c r="L11" s="26">
        <f t="shared" ref="L11:O11" si="0">SUM(L6:L10)</f>
        <v>25237.854464</v>
      </c>
      <c r="M11" s="26">
        <f t="shared" si="0"/>
        <v>20181.051022016003</v>
      </c>
      <c r="N11" s="26">
        <f t="shared" si="0"/>
        <v>20212.937320519104</v>
      </c>
      <c r="O11" s="26">
        <f t="shared" si="0"/>
        <v>15986.388019083257</v>
      </c>
    </row>
    <row r="12" spans="2:15" x14ac:dyDescent="0.25">
      <c r="B12" t="s">
        <v>29</v>
      </c>
      <c r="G12" s="43">
        <v>2.6800000000000001E-2</v>
      </c>
    </row>
    <row r="13" spans="2:15" x14ac:dyDescent="0.25">
      <c r="G13" s="44"/>
    </row>
    <row r="14" spans="2:15" x14ac:dyDescent="0.25">
      <c r="B14" t="s">
        <v>30</v>
      </c>
      <c r="G14" s="44">
        <v>1.1299999999999999</v>
      </c>
    </row>
    <row r="15" spans="2:15" x14ac:dyDescent="0.25">
      <c r="B15" t="s">
        <v>31</v>
      </c>
      <c r="G15" s="45">
        <v>7.0000000000000007E-2</v>
      </c>
    </row>
    <row r="16" spans="2:15" x14ac:dyDescent="0.25">
      <c r="B16" t="s">
        <v>32</v>
      </c>
      <c r="G16" s="46">
        <v>139100</v>
      </c>
    </row>
    <row r="17" spans="2:11" x14ac:dyDescent="0.25">
      <c r="B17" t="s">
        <v>33</v>
      </c>
      <c r="G17" s="46">
        <v>34872</v>
      </c>
    </row>
    <row r="19" spans="2:11" x14ac:dyDescent="0.25">
      <c r="B19" s="4" t="s">
        <v>61</v>
      </c>
      <c r="C19" s="5"/>
      <c r="D19" s="5"/>
      <c r="E19" s="5"/>
      <c r="F19" s="5"/>
      <c r="G19" s="5"/>
    </row>
    <row r="20" spans="2:11" x14ac:dyDescent="0.25">
      <c r="B20" t="s">
        <v>62</v>
      </c>
      <c r="G20" s="27">
        <f>G12+G14*(G15-G12)</f>
        <v>7.5616000000000003E-2</v>
      </c>
    </row>
    <row r="21" spans="2:11" x14ac:dyDescent="0.25">
      <c r="B21" t="s">
        <v>63</v>
      </c>
      <c r="G21" s="30">
        <f>G17/SUM(G16:G17)</f>
        <v>0.20044604878946037</v>
      </c>
    </row>
    <row r="22" spans="2:11" x14ac:dyDescent="0.25">
      <c r="B22" t="s">
        <v>64</v>
      </c>
      <c r="G22" s="30">
        <f>G16/SUM(G16:G17)</f>
        <v>0.79955395121053963</v>
      </c>
    </row>
    <row r="23" spans="2:11" x14ac:dyDescent="0.25">
      <c r="B23" s="20" t="s">
        <v>61</v>
      </c>
      <c r="C23" s="6"/>
      <c r="D23" s="6"/>
      <c r="E23" s="6"/>
      <c r="F23" s="6"/>
      <c r="G23" s="31">
        <f>G22*G20+G21*G10*(1-G11)</f>
        <v>6.4758639321270087E-2</v>
      </c>
    </row>
    <row r="25" spans="2:11" x14ac:dyDescent="0.25">
      <c r="B25" s="4" t="s">
        <v>65</v>
      </c>
      <c r="C25" s="5"/>
      <c r="D25" s="5"/>
      <c r="E25" s="5"/>
      <c r="F25" s="5"/>
      <c r="G25" s="5"/>
    </row>
    <row r="26" spans="2:11" x14ac:dyDescent="0.25">
      <c r="B26" t="s">
        <v>22</v>
      </c>
      <c r="G26" s="24">
        <f>O6+O8</f>
        <v>41590</v>
      </c>
    </row>
    <row r="27" spans="2:11" x14ac:dyDescent="0.25">
      <c r="B27" t="s">
        <v>26</v>
      </c>
      <c r="G27" s="24">
        <f>G26*G9</f>
        <v>316084</v>
      </c>
    </row>
    <row r="28" spans="2:11" x14ac:dyDescent="0.25">
      <c r="B28" s="19" t="s">
        <v>66</v>
      </c>
      <c r="C28" s="19"/>
      <c r="D28" s="19"/>
      <c r="E28" s="19"/>
      <c r="F28" s="19"/>
      <c r="G28" s="32">
        <f>O11*(1+G8)/(G23-G8)</f>
        <v>209290.89208764405</v>
      </c>
    </row>
    <row r="29" spans="2:11" x14ac:dyDescent="0.25">
      <c r="B29" s="8" t="s">
        <v>67</v>
      </c>
      <c r="G29" s="24">
        <f>AVERAGE(G27:G28)</f>
        <v>262687.44604382204</v>
      </c>
    </row>
    <row r="31" spans="2:11" x14ac:dyDescent="0.25">
      <c r="B31" s="4" t="s">
        <v>68</v>
      </c>
      <c r="C31" s="5"/>
      <c r="D31" s="5"/>
      <c r="E31" s="5"/>
      <c r="F31" s="5"/>
      <c r="G31" s="5">
        <v>1</v>
      </c>
      <c r="H31" s="5">
        <v>2</v>
      </c>
      <c r="I31" s="5">
        <v>3</v>
      </c>
      <c r="J31" s="5">
        <v>4</v>
      </c>
      <c r="K31" s="5">
        <v>5</v>
      </c>
    </row>
    <row r="32" spans="2:11" x14ac:dyDescent="0.25">
      <c r="B32" t="s">
        <v>69</v>
      </c>
      <c r="F32" s="11"/>
      <c r="G32" s="11">
        <f>1/(1+$G$23)^K5</f>
        <v>0.93917998227039479</v>
      </c>
      <c r="H32" s="11">
        <f t="shared" ref="H32:K32" si="1">1/(1+$G$23)^L5</f>
        <v>0.88205903909741901</v>
      </c>
      <c r="I32" s="11">
        <f t="shared" si="1"/>
        <v>0.82841219270095545</v>
      </c>
      <c r="J32" s="11">
        <f t="shared" si="1"/>
        <v>0.77802814845346213</v>
      </c>
      <c r="K32" s="11">
        <f t="shared" si="1"/>
        <v>0.73070846267039069</v>
      </c>
    </row>
    <row r="33" spans="2:11" x14ac:dyDescent="0.25">
      <c r="B33" t="s">
        <v>71</v>
      </c>
      <c r="F33" s="11"/>
      <c r="G33" s="11">
        <f>K11*G32</f>
        <v>30919.638295666788</v>
      </c>
      <c r="H33" s="11">
        <f t="shared" ref="H33:K33" si="2">L11*H32</f>
        <v>22261.277657396346</v>
      </c>
      <c r="I33" s="11">
        <f t="shared" si="2"/>
        <v>16718.228728158134</v>
      </c>
      <c r="J33" s="11">
        <f t="shared" si="2"/>
        <v>15726.234198289363</v>
      </c>
      <c r="K33" s="11">
        <f t="shared" si="2"/>
        <v>11681.389013076679</v>
      </c>
    </row>
    <row r="34" spans="2:11" x14ac:dyDescent="0.25">
      <c r="B34" s="19" t="s">
        <v>70</v>
      </c>
      <c r="C34" s="19"/>
      <c r="D34" s="19"/>
      <c r="E34" s="19"/>
      <c r="F34" s="33"/>
      <c r="G34" s="11"/>
      <c r="H34" s="11"/>
      <c r="I34" s="11"/>
      <c r="J34" s="11"/>
      <c r="K34" s="11">
        <f>K32*G29</f>
        <v>191947.9398614924</v>
      </c>
    </row>
    <row r="35" spans="2:11" x14ac:dyDescent="0.25">
      <c r="B35" s="8" t="s">
        <v>72</v>
      </c>
      <c r="F35" s="11">
        <f>SUM(G33:K34)</f>
        <v>289254.70775407972</v>
      </c>
      <c r="G35" s="11"/>
      <c r="H35" s="11"/>
      <c r="I35" s="11"/>
      <c r="J35" s="11"/>
      <c r="K35" s="11"/>
    </row>
    <row r="36" spans="2:11" x14ac:dyDescent="0.25">
      <c r="F36" s="11"/>
      <c r="G36" s="11"/>
      <c r="H36" s="11"/>
      <c r="I36" s="11"/>
      <c r="J36" s="11"/>
      <c r="K36" s="11"/>
    </row>
    <row r="37" spans="2:11" x14ac:dyDescent="0.25">
      <c r="B37" s="4" t="s">
        <v>73</v>
      </c>
      <c r="C37" s="5"/>
      <c r="D37" s="5"/>
      <c r="E37" s="5"/>
      <c r="F37" s="34"/>
      <c r="G37" s="11"/>
      <c r="H37" s="11"/>
      <c r="I37" s="11"/>
      <c r="J37" s="11"/>
      <c r="K37" s="11"/>
    </row>
    <row r="38" spans="2:11" x14ac:dyDescent="0.25">
      <c r="B38" t="s">
        <v>74</v>
      </c>
      <c r="F38" s="38">
        <v>11700</v>
      </c>
      <c r="G38" s="11"/>
      <c r="H38" s="11"/>
      <c r="I38" s="11"/>
      <c r="J38" s="11"/>
      <c r="K38" s="11"/>
    </row>
    <row r="39" spans="2:11" x14ac:dyDescent="0.25">
      <c r="B39" t="s">
        <v>75</v>
      </c>
      <c r="F39" s="11"/>
      <c r="G39" s="11"/>
      <c r="H39" s="11"/>
      <c r="I39" s="11"/>
      <c r="J39" s="11"/>
      <c r="K39" s="11"/>
    </row>
    <row r="40" spans="2:11" x14ac:dyDescent="0.25">
      <c r="B40" t="s">
        <v>76</v>
      </c>
      <c r="F40" s="38">
        <v>62</v>
      </c>
      <c r="G40" s="11"/>
      <c r="H40" s="11"/>
      <c r="I40" s="11"/>
      <c r="J40" s="11"/>
      <c r="K40" s="11"/>
    </row>
    <row r="41" spans="2:11" x14ac:dyDescent="0.25">
      <c r="B41" s="19" t="s">
        <v>77</v>
      </c>
      <c r="C41" s="19"/>
      <c r="D41" s="19"/>
      <c r="E41" s="19"/>
      <c r="F41" s="47">
        <v>30664</v>
      </c>
      <c r="G41" s="11"/>
      <c r="H41" s="11"/>
      <c r="I41" s="11"/>
      <c r="J41" s="11"/>
      <c r="K41" s="11"/>
    </row>
    <row r="42" spans="2:11" x14ac:dyDescent="0.25">
      <c r="B42" s="29" t="s">
        <v>32</v>
      </c>
      <c r="F42" s="11">
        <f>F35+F38-F41-F40</f>
        <v>270228.70775407972</v>
      </c>
      <c r="G42" s="11"/>
      <c r="H42" s="11"/>
      <c r="I42" s="11"/>
      <c r="J42" s="11"/>
      <c r="K42" s="11"/>
    </row>
    <row r="43" spans="2:11" x14ac:dyDescent="0.25">
      <c r="F43" s="11"/>
      <c r="G43" s="11"/>
      <c r="H43" s="11"/>
      <c r="I43" s="11"/>
      <c r="J43" s="11"/>
      <c r="K43" s="11"/>
    </row>
    <row r="44" spans="2:11" x14ac:dyDescent="0.25">
      <c r="B44" s="19" t="s">
        <v>78</v>
      </c>
      <c r="C44" s="19"/>
      <c r="D44" s="19"/>
      <c r="E44" s="19"/>
      <c r="F44" s="47">
        <v>1960</v>
      </c>
      <c r="G44" s="11"/>
      <c r="H44" s="11"/>
      <c r="I44" s="11"/>
      <c r="J44" s="11"/>
      <c r="K44" s="11"/>
    </row>
    <row r="45" spans="2:11" x14ac:dyDescent="0.25">
      <c r="B45" s="28" t="s">
        <v>32</v>
      </c>
      <c r="F45" s="35">
        <f>F42/F44</f>
        <v>137.87178967044883</v>
      </c>
      <c r="G45" s="11"/>
      <c r="H45" s="11"/>
      <c r="I45" s="11"/>
      <c r="J45" s="11"/>
      <c r="K45" s="11"/>
    </row>
    <row r="46" spans="2:11" x14ac:dyDescent="0.25">
      <c r="B46" s="28" t="s">
        <v>79</v>
      </c>
      <c r="F46" s="35">
        <v>-12.52</v>
      </c>
      <c r="G46" s="11"/>
      <c r="H46" s="11"/>
      <c r="I46" s="11"/>
      <c r="J46" s="11"/>
      <c r="K46" s="11"/>
    </row>
    <row r="47" spans="2:11" x14ac:dyDescent="0.25">
      <c r="B47" s="28" t="s">
        <v>81</v>
      </c>
      <c r="F47" s="36">
        <v>-1.72E-2</v>
      </c>
    </row>
  </sheetData>
  <mergeCells count="1">
    <mergeCell ref="B5:G5"/>
  </mergeCell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81026-8238-48A2-8618-B0EE8AF84184}">
  <dimension ref="A1:E2"/>
  <sheetViews>
    <sheetView tabSelected="1" workbookViewId="0">
      <selection activeCell="E3" sqref="E3"/>
    </sheetView>
  </sheetViews>
  <sheetFormatPr defaultRowHeight="15" x14ac:dyDescent="0.25"/>
  <cols>
    <col min="2" max="2" width="12.5703125" bestFit="1" customWidth="1"/>
    <col min="3" max="3" width="13.85546875" bestFit="1" customWidth="1"/>
    <col min="4" max="4" width="17" bestFit="1" customWidth="1"/>
  </cols>
  <sheetData>
    <row r="1" spans="1:5" x14ac:dyDescent="0.25">
      <c r="B1" t="s">
        <v>84</v>
      </c>
      <c r="C1" t="s">
        <v>85</v>
      </c>
      <c r="D1" t="s">
        <v>86</v>
      </c>
      <c r="E1" t="s">
        <v>81</v>
      </c>
    </row>
    <row r="2" spans="1:5" x14ac:dyDescent="0.25">
      <c r="A2" s="64">
        <v>44784</v>
      </c>
      <c r="B2">
        <v>159.62</v>
      </c>
      <c r="C2">
        <v>137.87</v>
      </c>
      <c r="D2">
        <f>C2-B2</f>
        <v>-21.75</v>
      </c>
      <c r="E2" s="27">
        <v>-2.8899999999999999E-2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Historical, Street Estimates</vt:lpstr>
      <vt:lpstr>DCF Model</vt:lpstr>
      <vt:lpstr>Historical Estimates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Shashwat Sharma</dc:creator>
  <cp:lastModifiedBy>Shashwat Sharma</cp:lastModifiedBy>
  <dcterms:created xsi:type="dcterms:W3CDTF">2022-07-28T00:40:48Z</dcterms:created>
  <dcterms:modified xsi:type="dcterms:W3CDTF">2022-08-23T01:26:35Z</dcterms:modified>
</cp:coreProperties>
</file>