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IBM\"/>
    </mc:Choice>
  </mc:AlternateContent>
  <xr:revisionPtr revIDLastSave="0" documentId="13_ncr:1_{75EF10D1-1091-4FEB-BF36-EB9D699104F4}" xr6:coauthVersionLast="47" xr6:coauthVersionMax="47" xr10:uidLastSave="{00000000-0000-0000-0000-000000000000}"/>
  <bookViews>
    <workbookView xWindow="23880" yWindow="-7830" windowWidth="24240" windowHeight="18240" activeTab="1" xr2:uid="{4BA94E53-DEDC-40FA-B9A6-0C9E6799928E}"/>
  </bookViews>
  <sheets>
    <sheet name="DCF Model and Forecast" sheetId="1" r:id="rId1"/>
    <sheet name="Historical Price Proje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O11" i="1"/>
  <c r="N11" i="1"/>
  <c r="M11" i="1"/>
  <c r="L11" i="1"/>
  <c r="K11" i="1"/>
  <c r="J11" i="1"/>
  <c r="O10" i="1"/>
  <c r="N10" i="1"/>
  <c r="M10" i="1"/>
  <c r="L10" i="1"/>
  <c r="K10" i="1"/>
  <c r="J9" i="1"/>
  <c r="O7" i="1"/>
  <c r="N7" i="1"/>
  <c r="M7" i="1"/>
  <c r="L7" i="1"/>
  <c r="K7" i="1"/>
  <c r="M6" i="1"/>
  <c r="N6" i="1" s="1"/>
  <c r="O6" i="1" s="1"/>
  <c r="G26" i="1" s="1"/>
  <c r="G27" i="1" s="1"/>
  <c r="L6" i="1"/>
  <c r="K6" i="1"/>
  <c r="G22" i="1"/>
  <c r="G21" i="1"/>
  <c r="G20" i="1"/>
  <c r="G23" i="1" l="1"/>
  <c r="K32" i="1" s="1"/>
  <c r="G32" i="1" l="1"/>
  <c r="G33" i="1" s="1"/>
  <c r="I32" i="1"/>
  <c r="I33" i="1" s="1"/>
  <c r="J32" i="1"/>
  <c r="J33" i="1" s="1"/>
  <c r="H32" i="1"/>
  <c r="H33" i="1" s="1"/>
  <c r="K33" i="1"/>
  <c r="G28" i="1"/>
  <c r="G29" i="1" s="1"/>
  <c r="K34" i="1" s="1"/>
  <c r="F35" i="1" l="1"/>
  <c r="F42" i="1" s="1"/>
  <c r="F45" i="1" s="1"/>
</calcChain>
</file>

<file path=xl/sharedStrings.xml><?xml version="1.0" encoding="utf-8"?>
<sst xmlns="http://schemas.openxmlformats.org/spreadsheetml/2006/main" count="49" uniqueCount="46">
  <si>
    <t>Current Price:</t>
  </si>
  <si>
    <t>Discounted Cash Flow Model</t>
  </si>
  <si>
    <t>Period</t>
  </si>
  <si>
    <t>EBIT</t>
  </si>
  <si>
    <t>Assumptions:</t>
  </si>
  <si>
    <t>Tax</t>
  </si>
  <si>
    <t>Growth Rate</t>
  </si>
  <si>
    <t>D&amp;A</t>
  </si>
  <si>
    <t>EV / EBITDA</t>
  </si>
  <si>
    <t>CapEx</t>
  </si>
  <si>
    <t>Cost of Debt</t>
  </si>
  <si>
    <t>NWC</t>
  </si>
  <si>
    <t>Tax Rate</t>
  </si>
  <si>
    <t>FCF</t>
  </si>
  <si>
    <t>Risk Free Rate</t>
  </si>
  <si>
    <t>Beta</t>
  </si>
  <si>
    <t>Market Return</t>
  </si>
  <si>
    <t>Equity Value</t>
  </si>
  <si>
    <t>Debt Value</t>
  </si>
  <si>
    <t>WACC:</t>
  </si>
  <si>
    <t>Cost of Equity</t>
  </si>
  <si>
    <t>D/D+E</t>
  </si>
  <si>
    <t>E/D+E</t>
  </si>
  <si>
    <t>WACC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</si>
  <si>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</si>
  <si>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</si>
  <si>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</si>
  <si>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</si>
  <si>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</si>
  <si>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</si>
  <si>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</si>
  <si>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</si>
  <si>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</si>
  <si>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</si>
  <si>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</si>
  <si>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</si>
  <si>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</si>
  <si>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</si>
  <si>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</si>
  <si>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Ticker: IBM</t>
  </si>
  <si>
    <t>Date</t>
  </si>
  <si>
    <t>Current Price</t>
  </si>
  <si>
    <t>Intrinsic Value</t>
  </si>
  <si>
    <t>Upside/Downside</t>
  </si>
  <si>
    <t>CAGR</t>
  </si>
  <si>
    <t>(5-year)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</si>
</sst>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0.0%"/>
    <numFmt numFmtId="166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1" xfId="0" applyBorder="1"/>
    <xf numFmtId="10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164" fontId="0" fillId="0" borderId="1" xfId="0" applyNumberFormat="1" applyBorder="1"/>
    <xf numFmtId="9" fontId="3" fillId="0" borderId="0" xfId="0" applyNumberFormat="1" applyFont="1"/>
    <xf numFmtId="0" fontId="2" fillId="0" borderId="4" xfId="0" applyFont="1" applyBorder="1"/>
    <xf numFmtId="164" fontId="0" fillId="0" borderId="5" xfId="0" applyNumberFormat="1" applyBorder="1"/>
    <xf numFmtId="0" fontId="0" fillId="2" borderId="1" xfId="0" applyFill="1" applyBorder="1"/>
    <xf numFmtId="10" fontId="0" fillId="0" borderId="0" xfId="0" applyNumberFormat="1"/>
    <xf numFmtId="165" fontId="0" fillId="0" borderId="0" xfId="1" applyNumberFormat="1" applyFont="1"/>
    <xf numFmtId="0" fontId="0" fillId="0" borderId="4" xfId="0" applyBorder="1"/>
    <xf numFmtId="165" fontId="0" fillId="0" borderId="4" xfId="1" applyNumberFormat="1" applyFont="1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166" fontId="0" fillId="0" borderId="0" xfId="0" applyNumberFormat="1"/>
    <xf numFmtId="164" fontId="0" fillId="0" borderId="4" xfId="0" applyNumberFormat="1" applyBorder="1"/>
    <xf numFmtId="164" fontId="3" fillId="0" borderId="0" xfId="0" applyNumberFormat="1" applyFont="1"/>
    <xf numFmtId="164" fontId="3" fillId="0" borderId="1" xfId="0" applyNumberFormat="1" applyFont="1" applyBorder="1"/>
    <xf numFmtId="3" fontId="3" fillId="0" borderId="0" xfId="0" applyNumberFormat="1" applyFont="1"/>
    <xf numFmtId="166" fontId="2" fillId="0" borderId="0" xfId="0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3809-60B6-4672-8899-EDECA6C78092}">
  <dimension ref="B2:O45"/>
  <sheetViews>
    <sheetView showGridLines="0" topLeftCell="A31" workbookViewId="0">
      <selection activeCell="B46" sqref="B46"/>
    </sheetView>
  </sheetViews>
  <sheetFormatPr defaultRowHeight="15" x14ac:dyDescent="0.25"/>
  <sheetData>
    <row r="2" spans="2:15" x14ac:dyDescent="0.25">
      <c r="B2" s="1" t="s">
        <v>39</v>
      </c>
      <c r="C2" s="2"/>
      <c r="D2" s="2"/>
    </row>
    <row r="3" spans="2:15" x14ac:dyDescent="0.25">
      <c r="B3" s="1" t="s">
        <v>0</v>
      </c>
      <c r="C3" s="2"/>
      <c r="D3" s="2"/>
    </row>
    <row r="5" spans="2:15" x14ac:dyDescent="0.25">
      <c r="B5" s="3" t="s">
        <v>1</v>
      </c>
      <c r="C5" s="3"/>
      <c r="D5" s="3"/>
      <c r="E5" s="3"/>
      <c r="F5" s="3"/>
      <c r="G5" s="3"/>
      <c r="I5" s="4" t="s">
        <v>2</v>
      </c>
      <c r="J5" s="5">
        <v>0</v>
      </c>
      <c r="K5" s="4">
        <v>1</v>
      </c>
      <c r="L5" s="4">
        <v>2</v>
      </c>
      <c r="M5" s="4">
        <v>3</v>
      </c>
      <c r="N5" s="4">
        <v>4</v>
      </c>
      <c r="O5" s="4">
        <v>5</v>
      </c>
    </row>
    <row r="6" spans="2:15" x14ac:dyDescent="0.25">
      <c r="I6" t="s">
        <v>3</v>
      </c>
      <c r="J6" s="6">
        <v>5772</v>
      </c>
      <c r="K6" s="7">
        <f>1.01*J6</f>
        <v>5829.72</v>
      </c>
      <c r="L6" s="7">
        <f>1.03*K6</f>
        <v>6004.6116000000002</v>
      </c>
      <c r="M6" s="7">
        <f t="shared" ref="M6:O6" si="0">1.03*L6</f>
        <v>6184.7499480000006</v>
      </c>
      <c r="N6" s="7">
        <f t="shared" si="0"/>
        <v>6370.2924464400012</v>
      </c>
      <c r="O6" s="7">
        <f t="shared" si="0"/>
        <v>6561.4012198332011</v>
      </c>
    </row>
    <row r="7" spans="2:15" x14ac:dyDescent="0.25">
      <c r="B7" s="8" t="s">
        <v>4</v>
      </c>
      <c r="C7" s="8"/>
      <c r="D7" s="8"/>
      <c r="E7" s="8"/>
      <c r="F7" s="8"/>
      <c r="G7" s="8"/>
      <c r="I7" t="s">
        <v>5</v>
      </c>
      <c r="J7" s="6">
        <v>-124</v>
      </c>
      <c r="K7" s="7">
        <f>-15%*K6</f>
        <v>-874.45799999999997</v>
      </c>
      <c r="L7" s="7">
        <f t="shared" ref="L7:O7" si="1">-15%*L6</f>
        <v>-900.69173999999998</v>
      </c>
      <c r="M7" s="7">
        <f t="shared" si="1"/>
        <v>-927.71249220000004</v>
      </c>
      <c r="N7" s="7">
        <f t="shared" si="1"/>
        <v>-955.54386696600011</v>
      </c>
      <c r="O7" s="7">
        <f t="shared" si="1"/>
        <v>-984.21018297498017</v>
      </c>
    </row>
    <row r="8" spans="2:15" x14ac:dyDescent="0.25">
      <c r="B8" t="s">
        <v>6</v>
      </c>
      <c r="G8" s="9">
        <v>-1.15E-2</v>
      </c>
      <c r="I8" t="s">
        <v>7</v>
      </c>
      <c r="J8" s="6">
        <v>6417</v>
      </c>
      <c r="K8" s="7">
        <v>5417</v>
      </c>
      <c r="L8" s="7">
        <v>5052</v>
      </c>
      <c r="M8" s="7">
        <v>5854</v>
      </c>
      <c r="N8" s="7">
        <v>6452</v>
      </c>
      <c r="O8" s="7">
        <v>6769</v>
      </c>
    </row>
    <row r="9" spans="2:15" x14ac:dyDescent="0.25">
      <c r="B9" t="s">
        <v>8</v>
      </c>
      <c r="G9" s="10">
        <v>15.4</v>
      </c>
      <c r="I9" t="s">
        <v>9</v>
      </c>
      <c r="J9" s="6">
        <f>-2062</f>
        <v>-2062</v>
      </c>
      <c r="K9" s="7">
        <v>-1929</v>
      </c>
      <c r="L9" s="7">
        <v>-2000</v>
      </c>
      <c r="M9" s="7">
        <v>-1997</v>
      </c>
      <c r="N9" s="7">
        <v>-2156</v>
      </c>
      <c r="O9" s="7">
        <v>-2221</v>
      </c>
    </row>
    <row r="10" spans="2:15" x14ac:dyDescent="0.25">
      <c r="B10" t="s">
        <v>10</v>
      </c>
      <c r="G10" s="11">
        <v>5.8999999999999997E-2</v>
      </c>
      <c r="I10" t="s">
        <v>11</v>
      </c>
      <c r="J10" s="6">
        <v>3569</v>
      </c>
      <c r="K10" s="12">
        <f>-0.045*J10+J10</f>
        <v>3408.395</v>
      </c>
      <c r="L10" s="12">
        <f>-0.031*K10+K10</f>
        <v>3302.734755</v>
      </c>
      <c r="M10" s="12">
        <f>-0.06*L10+L10</f>
        <v>3104.5706697000001</v>
      </c>
      <c r="N10" s="12">
        <f>-0.09*M10+M10</f>
        <v>2825.1593094270002</v>
      </c>
      <c r="O10" s="12">
        <f>-0.05*N10+N10</f>
        <v>2683.9013439556502</v>
      </c>
    </row>
    <row r="11" spans="2:15" x14ac:dyDescent="0.25">
      <c r="B11" t="s">
        <v>12</v>
      </c>
      <c r="G11" s="13">
        <v>0.15</v>
      </c>
      <c r="I11" s="14" t="s">
        <v>13</v>
      </c>
      <c r="J11" s="15">
        <f>SUM(J6:J10)</f>
        <v>13572</v>
      </c>
      <c r="K11" s="7">
        <f>SUM(K6:K10)</f>
        <v>11851.657000000001</v>
      </c>
      <c r="L11" s="7">
        <f t="shared" ref="L11:O11" si="2">SUM(L6:L10)</f>
        <v>11458.654614999999</v>
      </c>
      <c r="M11" s="7">
        <f t="shared" si="2"/>
        <v>12218.608125500001</v>
      </c>
      <c r="N11" s="7">
        <f t="shared" si="2"/>
        <v>12535.907888901002</v>
      </c>
      <c r="O11" s="7">
        <f t="shared" si="2"/>
        <v>12809.092380813872</v>
      </c>
    </row>
    <row r="12" spans="2:15" x14ac:dyDescent="0.25">
      <c r="B12" t="s">
        <v>14</v>
      </c>
      <c r="G12" s="13">
        <v>0.03</v>
      </c>
    </row>
    <row r="13" spans="2:15" x14ac:dyDescent="0.25">
      <c r="G13" s="10"/>
    </row>
    <row r="14" spans="2:15" x14ac:dyDescent="0.25">
      <c r="B14" t="s">
        <v>15</v>
      </c>
      <c r="G14" s="10">
        <v>0.85</v>
      </c>
    </row>
    <row r="15" spans="2:15" x14ac:dyDescent="0.25">
      <c r="B15" t="s">
        <v>16</v>
      </c>
      <c r="G15" s="9">
        <v>7.0000000000000007E-2</v>
      </c>
    </row>
    <row r="16" spans="2:15" x14ac:dyDescent="0.25">
      <c r="B16" t="s">
        <v>17</v>
      </c>
      <c r="G16" s="27">
        <v>122430</v>
      </c>
    </row>
    <row r="17" spans="2:11" x14ac:dyDescent="0.25">
      <c r="B17" t="s">
        <v>18</v>
      </c>
      <c r="G17" s="27">
        <v>55140</v>
      </c>
    </row>
    <row r="19" spans="2:11" x14ac:dyDescent="0.25">
      <c r="B19" s="4" t="s">
        <v>19</v>
      </c>
      <c r="C19" s="16"/>
      <c r="D19" s="16"/>
      <c r="E19" s="16"/>
      <c r="F19" s="16"/>
      <c r="G19" s="16"/>
    </row>
    <row r="20" spans="2:11" x14ac:dyDescent="0.25">
      <c r="B20" t="s">
        <v>20</v>
      </c>
      <c r="G20" s="17">
        <f>G12+G14*(G15-G12)</f>
        <v>6.4000000000000001E-2</v>
      </c>
    </row>
    <row r="21" spans="2:11" x14ac:dyDescent="0.25">
      <c r="B21" t="s">
        <v>21</v>
      </c>
      <c r="G21" s="18">
        <f>G17/SUM(G16:G17)</f>
        <v>0.31052542659232979</v>
      </c>
    </row>
    <row r="22" spans="2:11" x14ac:dyDescent="0.25">
      <c r="B22" t="s">
        <v>22</v>
      </c>
      <c r="G22" s="18">
        <f>G16/SUM(G16:G17)</f>
        <v>0.68947457340767027</v>
      </c>
    </row>
    <row r="23" spans="2:11" x14ac:dyDescent="0.25">
      <c r="B23" s="19" t="s">
        <v>23</v>
      </c>
      <c r="C23" s="19"/>
      <c r="D23" s="19"/>
      <c r="E23" s="19"/>
      <c r="F23" s="19"/>
      <c r="G23" s="20">
        <f>G22*G20+G21*G10*(1-G11)</f>
        <v>5.9699222841696237E-2</v>
      </c>
    </row>
    <row r="25" spans="2:11" x14ac:dyDescent="0.25">
      <c r="B25" s="4" t="s">
        <v>24</v>
      </c>
      <c r="C25" s="16"/>
      <c r="D25" s="16"/>
      <c r="E25" s="16"/>
      <c r="F25" s="16"/>
      <c r="G25" s="16"/>
    </row>
    <row r="26" spans="2:11" x14ac:dyDescent="0.25">
      <c r="B26" t="s">
        <v>25</v>
      </c>
      <c r="F26" s="7"/>
      <c r="G26" s="7">
        <f>O6+O8</f>
        <v>13330.401219833202</v>
      </c>
      <c r="H26" s="7"/>
      <c r="I26" s="7"/>
      <c r="J26" s="7"/>
      <c r="K26" s="7"/>
    </row>
    <row r="27" spans="2:11" x14ac:dyDescent="0.25">
      <c r="B27" t="s">
        <v>8</v>
      </c>
      <c r="F27" s="7"/>
      <c r="G27" s="7">
        <f>G26*G9</f>
        <v>205288.17878543132</v>
      </c>
      <c r="H27" s="7"/>
      <c r="I27" s="7"/>
      <c r="J27" s="7"/>
      <c r="K27" s="7"/>
    </row>
    <row r="28" spans="2:11" x14ac:dyDescent="0.25">
      <c r="B28" s="8" t="s">
        <v>26</v>
      </c>
      <c r="C28" s="8"/>
      <c r="D28" s="8"/>
      <c r="E28" s="8"/>
      <c r="F28" s="12"/>
      <c r="G28" s="12">
        <f>O11*(1+G8)/(G23-G8)</f>
        <v>177836.03967962725</v>
      </c>
      <c r="H28" s="7"/>
      <c r="I28" s="7"/>
      <c r="J28" s="7"/>
      <c r="K28" s="7"/>
    </row>
    <row r="29" spans="2:11" x14ac:dyDescent="0.25">
      <c r="B29" t="s">
        <v>27</v>
      </c>
      <c r="F29" s="7"/>
      <c r="G29" s="7">
        <f>AVERAGE(G27:G28)</f>
        <v>191562.1092325293</v>
      </c>
      <c r="H29" s="7"/>
      <c r="I29" s="7"/>
      <c r="J29" s="7"/>
      <c r="K29" s="7"/>
    </row>
    <row r="30" spans="2:11" x14ac:dyDescent="0.25">
      <c r="F30" s="7"/>
      <c r="G30" s="7"/>
      <c r="H30" s="7"/>
      <c r="I30" s="7"/>
      <c r="J30" s="7"/>
      <c r="K30" s="7"/>
    </row>
    <row r="31" spans="2:11" x14ac:dyDescent="0.25">
      <c r="B31" s="4" t="s">
        <v>28</v>
      </c>
      <c r="C31" s="16"/>
      <c r="D31" s="16"/>
      <c r="E31" s="16"/>
      <c r="F31" s="21"/>
      <c r="G31" s="22">
        <v>1</v>
      </c>
      <c r="H31" s="22">
        <v>2</v>
      </c>
      <c r="I31" s="22">
        <v>3</v>
      </c>
      <c r="J31" s="22">
        <v>4</v>
      </c>
      <c r="K31" s="22">
        <v>5</v>
      </c>
    </row>
    <row r="32" spans="2:11" x14ac:dyDescent="0.25">
      <c r="B32" t="s">
        <v>29</v>
      </c>
      <c r="F32" s="7"/>
      <c r="G32" s="23">
        <f>1/(1+$G$23)^K5</f>
        <v>0.94366399299453452</v>
      </c>
      <c r="H32" s="23">
        <f t="shared" ref="H32:K32" si="3">1/(1+$G$23)^L5</f>
        <v>0.89050173167438884</v>
      </c>
      <c r="I32" s="23">
        <f t="shared" si="3"/>
        <v>0.84033441988040136</v>
      </c>
      <c r="J32" s="23">
        <f t="shared" si="3"/>
        <v>0.79299333411508532</v>
      </c>
      <c r="K32" s="23">
        <f t="shared" si="3"/>
        <v>0.74831925608909033</v>
      </c>
    </row>
    <row r="33" spans="2:11" x14ac:dyDescent="0.25">
      <c r="B33" t="s">
        <v>30</v>
      </c>
      <c r="F33" s="7"/>
      <c r="G33" s="7">
        <f>K11*G32</f>
        <v>11183.981968221628</v>
      </c>
      <c r="H33" s="7">
        <f t="shared" ref="H33:K33" si="4">L11*H32</f>
        <v>10203.951777316226</v>
      </c>
      <c r="I33" s="7">
        <f t="shared" si="4"/>
        <v>10267.716970888001</v>
      </c>
      <c r="J33" s="7">
        <f t="shared" si="4"/>
        <v>9940.8913929792052</v>
      </c>
      <c r="K33" s="7">
        <f t="shared" si="4"/>
        <v>9585.2904815870716</v>
      </c>
    </row>
    <row r="34" spans="2:11" x14ac:dyDescent="0.25">
      <c r="B34" t="s">
        <v>31</v>
      </c>
      <c r="F34" s="7"/>
      <c r="G34" s="7"/>
      <c r="H34" s="7"/>
      <c r="I34" s="7"/>
      <c r="J34" s="7"/>
      <c r="K34" s="7">
        <f>K32*G29</f>
        <v>143349.61507574338</v>
      </c>
    </row>
    <row r="35" spans="2:11" x14ac:dyDescent="0.25">
      <c r="B35" s="14" t="s">
        <v>32</v>
      </c>
      <c r="C35" s="19"/>
      <c r="D35" s="19"/>
      <c r="E35" s="19"/>
      <c r="F35" s="24">
        <f>SUM(G33:K34)</f>
        <v>194531.4476667355</v>
      </c>
      <c r="G35" s="7"/>
      <c r="H35" s="7"/>
      <c r="I35" s="7"/>
      <c r="J35" s="7"/>
      <c r="K35" s="7"/>
    </row>
    <row r="36" spans="2:11" x14ac:dyDescent="0.25">
      <c r="F36" s="7"/>
      <c r="G36" s="7"/>
      <c r="H36" s="7"/>
      <c r="I36" s="7"/>
      <c r="J36" s="7"/>
      <c r="K36" s="7"/>
    </row>
    <row r="37" spans="2:11" x14ac:dyDescent="0.25">
      <c r="B37" s="4" t="s">
        <v>33</v>
      </c>
      <c r="C37" s="16"/>
      <c r="D37" s="16"/>
      <c r="E37" s="16"/>
      <c r="F37" s="21"/>
      <c r="G37" s="7"/>
      <c r="H37" s="7"/>
      <c r="I37" s="7"/>
      <c r="J37" s="7"/>
      <c r="K37" s="7"/>
    </row>
    <row r="38" spans="2:11" x14ac:dyDescent="0.25">
      <c r="B38" t="s">
        <v>34</v>
      </c>
      <c r="F38" s="25">
        <v>7250</v>
      </c>
      <c r="G38" s="7"/>
      <c r="H38" s="7"/>
      <c r="I38" s="7"/>
      <c r="J38" s="7"/>
      <c r="K38" s="7"/>
    </row>
    <row r="39" spans="2:11" x14ac:dyDescent="0.25">
      <c r="B39" t="s">
        <v>35</v>
      </c>
      <c r="F39" s="25"/>
      <c r="G39" s="7"/>
      <c r="H39" s="7"/>
      <c r="I39" s="7"/>
      <c r="J39" s="7"/>
      <c r="K39" s="7"/>
    </row>
    <row r="40" spans="2:11" x14ac:dyDescent="0.25">
      <c r="B40" t="s">
        <v>36</v>
      </c>
      <c r="F40" s="25">
        <v>22</v>
      </c>
      <c r="G40" s="7"/>
      <c r="H40" s="7"/>
      <c r="I40" s="7"/>
      <c r="J40" s="7"/>
      <c r="K40" s="7"/>
    </row>
    <row r="41" spans="2:11" x14ac:dyDescent="0.25">
      <c r="B41" s="8" t="s">
        <v>37</v>
      </c>
      <c r="C41" s="8"/>
      <c r="D41" s="8"/>
      <c r="E41" s="8"/>
      <c r="F41" s="26">
        <v>44854</v>
      </c>
      <c r="G41" s="7"/>
      <c r="H41" s="7"/>
      <c r="I41" s="7"/>
      <c r="J41" s="7"/>
      <c r="K41" s="7"/>
    </row>
    <row r="42" spans="2:11" x14ac:dyDescent="0.25">
      <c r="B42" t="s">
        <v>17</v>
      </c>
      <c r="F42" s="7">
        <f>F35+F38-F40-F41</f>
        <v>156905.4476667355</v>
      </c>
      <c r="G42" s="7"/>
      <c r="H42" s="7"/>
      <c r="I42" s="7"/>
      <c r="J42" s="7"/>
      <c r="K42" s="7"/>
    </row>
    <row r="43" spans="2:11" x14ac:dyDescent="0.25">
      <c r="F43" s="7"/>
      <c r="G43" s="7"/>
      <c r="H43" s="7"/>
      <c r="I43" s="7"/>
      <c r="J43" s="7"/>
      <c r="K43" s="7"/>
    </row>
    <row r="44" spans="2:11" x14ac:dyDescent="0.25">
      <c r="B44" s="8" t="s">
        <v>38</v>
      </c>
      <c r="C44" s="8"/>
      <c r="D44" s="8"/>
      <c r="E44" s="8"/>
      <c r="F44" s="12">
        <v>1030</v>
      </c>
      <c r="G44" s="7"/>
      <c r="H44" s="7"/>
      <c r="I44" s="7"/>
      <c r="J44" s="7"/>
      <c r="K44" s="7"/>
    </row>
    <row r="45" spans="2:11" x14ac:dyDescent="0.25">
      <c r="B45" t="s">
        <v>17</v>
      </c>
      <c r="F45" s="28">
        <f>F42/F44</f>
        <v>152.33538608420923</v>
      </c>
      <c r="G45" s="7"/>
      <c r="H45" s="7"/>
      <c r="I45" s="7"/>
      <c r="J45" s="7"/>
      <c r="K45" s="7"/>
    </row>
  </sheetData>
  <mergeCells count="1">
    <mergeCell ref="B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5F22-2364-4A2F-8C45-B8CF7043B7D4}">
  <dimension ref="A1:G2"/>
  <sheetViews>
    <sheetView tabSelected="1" workbookViewId="0">
      <selection activeCell="H9" sqref="H9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3.85546875" bestFit="1" customWidth="1"/>
    <col min="4" max="4" width="17" bestFit="1" customWidth="1"/>
    <col min="5" max="5" width="6.140625" bestFit="1" customWidth="1"/>
  </cols>
  <sheetData>
    <row r="1" spans="1: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G1" t="s">
        <v>45</v>
      </c>
    </row>
    <row r="2" spans="1:7" x14ac:dyDescent="0.25">
      <c r="A2" s="29">
        <v>44795</v>
      </c>
      <c r="B2">
        <v>135.55000000000001</v>
      </c>
      <c r="C2">
        <v>152.34</v>
      </c>
      <c r="D2">
        <f>C2-B2</f>
        <v>16.789999999999992</v>
      </c>
      <c r="E2" s="17">
        <v>2.3599999999999999E-2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Model and Forecast</vt:lpstr>
      <vt:lpstr>Historical Price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2022-08-23T03:05:19Z</dcterms:created>
  <dcterms:modified xsi:type="dcterms:W3CDTF">2022-08-23T03:52:46Z</dcterms:modified>
</cp:coreProperties>
</file>